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5517DFEF-EF26-487D-8174-A496913D05B0}" xr6:coauthVersionLast="47" xr6:coauthVersionMax="47" xr10:uidLastSave="{00000000-0000-0000-0000-000000000000}"/>
  <bookViews>
    <workbookView xWindow="5850" yWindow="2970" windowWidth="17100" windowHeight="10395" tabRatio="899" firstSheet="14" activeTab="29" xr2:uid="{00000000-000D-0000-FFFF-FFFF00000000}"/>
  </bookViews>
  <sheets>
    <sheet name="2017 Pre PH FI" sheetId="70" state="hidden" r:id="rId1"/>
    <sheet name="2017 Post PH FI" sheetId="69" state="hidden" r:id="rId2"/>
    <sheet name="Brooke" sheetId="71" state="hidden" r:id="rId3"/>
    <sheet name="Sheet1" sheetId="72" state="hidden" r:id="rId4"/>
    <sheet name="CAF Spring 2021" sheetId="89" state="hidden" r:id="rId5"/>
    <sheet name="M2020 BLS  SALARY CHART" sheetId="101" state="hidden" r:id="rId6"/>
    <sheet name="new FALL CAF 2021" sheetId="105" state="hidden" r:id="rId7"/>
    <sheet name="FI FY23old" sheetId="99" state="hidden" r:id="rId8"/>
    <sheet name="FI FY21" sheetId="85" state="hidden" r:id="rId9"/>
    <sheet name="Chart" sheetId="82" state="hidden" r:id="rId10"/>
    <sheet name="FY21 Unit Rate Expend" sheetId="102" state="hidden" r:id="rId11"/>
    <sheet name="FY21 Expend Conting &amp; Occup" sheetId="103" state="hidden" r:id="rId12"/>
    <sheet name="Note from 2023 RR" sheetId="81" state="hidden" r:id="rId13"/>
    <sheet name="Food September 2023 ACCS" sheetId="111" state="hidden" r:id="rId14"/>
    <sheet name="Fall CAF 2023" sheetId="109" r:id="rId15"/>
    <sheet name="M2022 BLS SALARY CHART (53_PCT)" sheetId="108" r:id="rId16"/>
    <sheet name="Rates FY25 " sheetId="104" r:id="rId17"/>
    <sheet name="Integrated Team " sheetId="91" r:id="rId18"/>
    <sheet name="Below the line" sheetId="106" state="hidden" r:id="rId19"/>
    <sheet name="Notes " sheetId="86" state="hidden" r:id="rId20"/>
    <sheet name="11.22.19 ALTR Add on Rates" sheetId="83" state="hidden" r:id="rId21"/>
    <sheet name="Integrated Team (FY21)" sheetId="4" state="hidden" r:id="rId22"/>
    <sheet name="shouldve been PH GLE " sheetId="74" state="hidden" r:id="rId23"/>
    <sheet name="GLE (FY21)" sheetId="73" state="hidden" r:id="rId24"/>
    <sheet name="GLE" sheetId="18" state="hidden" r:id="rId25"/>
    <sheet name="GLE SIE" sheetId="92" r:id="rId26"/>
    <sheet name="Med_Int_Spec  " sheetId="94" r:id="rId27"/>
    <sheet name="Med_Int_Spec (FY21)" sheetId="75" state="hidden" r:id="rId28"/>
    <sheet name="Med_Int_Spec" sheetId="7" state="hidden" r:id="rId29"/>
    <sheet name="Int_Beh FY25" sheetId="95" r:id="rId30"/>
    <sheet name="Int_Beh (FY21)" sheetId="78" state="hidden" r:id="rId31"/>
    <sheet name="Int_Beh" sheetId="8" state="hidden" r:id="rId32"/>
    <sheet name="Int_Fire_Safety " sheetId="96" r:id="rId33"/>
    <sheet name="Int_Fire_Safety (FY21)" sheetId="79" state="hidden" r:id="rId34"/>
    <sheet name="Int_Fire_Safety" sheetId="20" state="hidden" r:id="rId35"/>
    <sheet name="Clin_Int " sheetId="97" r:id="rId36"/>
    <sheet name="Clin_Int (FY21)" sheetId="22" state="hidden" r:id="rId37"/>
    <sheet name="Clin_Int" sheetId="80" state="hidden" r:id="rId38"/>
    <sheet name=" Enhanced Medical Model" sheetId="113" r:id="rId39"/>
    <sheet name="Int_DBT" sheetId="98" r:id="rId40"/>
    <sheet name="Int_DBT(FY21)" sheetId="23" state="hidden" r:id="rId41"/>
    <sheet name="FY15 Salary Benchmark" sheetId="46" state="hidden" r:id="rId42"/>
    <sheet name="FY15 UFR Summary" sheetId="50" state="hidden" r:id="rId43"/>
    <sheet name="FTE Benchmark Tables" sheetId="48" state="hidden" r:id="rId44"/>
    <sheet name="Lease Mgmt Add-On" sheetId="87" r:id="rId45"/>
    <sheet name="CAF 2019 Fall" sheetId="77" state="hidden" r:id="rId46"/>
    <sheet name="FY19_20 CAF" sheetId="64" state="hidden" r:id="rId47"/>
    <sheet name="Occ. Cost Index" sheetId="66" state="hidden" r:id="rId48"/>
    <sheet name="Occ. Modifiers" sheetId="67" state="hidden" r:id="rId49"/>
    <sheet name="Occupancy - ACCS" sheetId="88" state="hidden" r:id="rId50"/>
  </sheets>
  <externalReferences>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xlnm._FilterDatabase" localSheetId="1" hidden="1">'2017 Post PH FI'!$A$3:$S$49</definedName>
    <definedName name="_xlnm._FilterDatabase" localSheetId="0" hidden="1">'2017 Pre PH FI'!$A$2:$K$48</definedName>
    <definedName name="_Key1" hidden="1">#REF!</definedName>
    <definedName name="_Sort" hidden="1">#REF!</definedName>
    <definedName name="alldata" localSheetId="38">#REF!</definedName>
    <definedName name="alldata" localSheetId="35">#REF!</definedName>
    <definedName name="alldata" localSheetId="25">#REF!</definedName>
    <definedName name="alldata" localSheetId="29">#REF!</definedName>
    <definedName name="alldata" localSheetId="39">#REF!</definedName>
    <definedName name="alldata" localSheetId="32">#REF!</definedName>
    <definedName name="alldata" localSheetId="17">#REF!</definedName>
    <definedName name="alldata" localSheetId="5">#REF!</definedName>
    <definedName name="alldata" localSheetId="15">#REF!</definedName>
    <definedName name="alldata" localSheetId="26">#REF!</definedName>
    <definedName name="alldata">#REF!</definedName>
    <definedName name="alled" localSheetId="38">#REF!</definedName>
    <definedName name="alled" localSheetId="35">#REF!</definedName>
    <definedName name="alled" localSheetId="25">#REF!</definedName>
    <definedName name="alled" localSheetId="29">#REF!</definedName>
    <definedName name="alled" localSheetId="39">#REF!</definedName>
    <definedName name="alled" localSheetId="32">#REF!</definedName>
    <definedName name="alled" localSheetId="17">#REF!</definedName>
    <definedName name="alled" localSheetId="5">#REF!</definedName>
    <definedName name="alled" localSheetId="15">#REF!</definedName>
    <definedName name="alled" localSheetId="26">#REF!</definedName>
    <definedName name="alled">#REF!</definedName>
    <definedName name="allstem" localSheetId="38">#REF!</definedName>
    <definedName name="allstem" localSheetId="35">#REF!</definedName>
    <definedName name="allstem" localSheetId="25">#REF!</definedName>
    <definedName name="allstem" localSheetId="29">#REF!</definedName>
    <definedName name="allstem" localSheetId="39">#REF!</definedName>
    <definedName name="allstem" localSheetId="32">#REF!</definedName>
    <definedName name="allstem" localSheetId="17">#REF!</definedName>
    <definedName name="allstem" localSheetId="5">#REF!</definedName>
    <definedName name="allstem" localSheetId="15">#REF!</definedName>
    <definedName name="allstem" localSheetId="26">#REF!</definedName>
    <definedName name="allstem">#REF!</definedName>
    <definedName name="Area">[1]Sheet2!$A$2:$A$28</definedName>
    <definedName name="ARENEW">[2]amendA!$B$1:$U$51</definedName>
    <definedName name="asdfasd" localSheetId="38">'[3]Complete UFR List'!#REF!</definedName>
    <definedName name="asdfasd" localSheetId="15">'[3]Complete UFR List'!#REF!</definedName>
    <definedName name="asdfasd">'[3]Complete UFR List'!#REF!</definedName>
    <definedName name="asdfasdf" localSheetId="38">#REF!</definedName>
    <definedName name="asdfasdf" localSheetId="20">#REF!</definedName>
    <definedName name="asdfasdf" localSheetId="37">#REF!</definedName>
    <definedName name="asdfasdf" localSheetId="35">#REF!</definedName>
    <definedName name="asdfasdf" localSheetId="23">#REF!</definedName>
    <definedName name="asdfasdf" localSheetId="25">#REF!</definedName>
    <definedName name="asdfasdf" localSheetId="30">#REF!</definedName>
    <definedName name="asdfasdf" localSheetId="29">#REF!</definedName>
    <definedName name="asdfasdf" localSheetId="39">#REF!</definedName>
    <definedName name="asdfasdf" localSheetId="32">#REF!</definedName>
    <definedName name="asdfasdf" localSheetId="33">#REF!</definedName>
    <definedName name="asdfasdf" localSheetId="17">#REF!</definedName>
    <definedName name="asdfasdf" localSheetId="15">#REF!</definedName>
    <definedName name="asdfasdf" localSheetId="26">#REF!</definedName>
    <definedName name="asdfasdf" localSheetId="27">#REF!</definedName>
    <definedName name="asdfasdf" localSheetId="47">#REF!</definedName>
    <definedName name="asdfasdf" localSheetId="48">#REF!</definedName>
    <definedName name="asdfasdf" localSheetId="22">#REF!</definedName>
    <definedName name="asdfasdf">#REF!</definedName>
    <definedName name="ATTABOY">[2]amendA!$B$2:$S$2</definedName>
    <definedName name="AutoInsurance">[4]Universal!$C$19</definedName>
    <definedName name="autsupp2" localSheetId="38">#REF!</definedName>
    <definedName name="autsupp2" localSheetId="15">#REF!</definedName>
    <definedName name="autsupp2">#REF!</definedName>
    <definedName name="Average" localSheetId="38">#REF!</definedName>
    <definedName name="Average" localSheetId="35">#REF!</definedName>
    <definedName name="Average" localSheetId="25">#REF!</definedName>
    <definedName name="Average" localSheetId="29">#REF!</definedName>
    <definedName name="Average" localSheetId="39">#REF!</definedName>
    <definedName name="Average" localSheetId="32">#REF!</definedName>
    <definedName name="Average" localSheetId="17">#REF!</definedName>
    <definedName name="Average" localSheetId="15">#REF!</definedName>
    <definedName name="Average" localSheetId="26">#REF!</definedName>
    <definedName name="Average">#REF!</definedName>
    <definedName name="BB6_4">#REF!</definedName>
    <definedName name="break">'[5]Tech Stuff'!$E$5</definedName>
    <definedName name="CAF_NEW">[6]RawDataCalcs!$L$70:$DB$70</definedName>
    <definedName name="Cap" localSheetId="20">[7]RawDataCalcs!$L$70:$DB$70</definedName>
    <definedName name="Cap" localSheetId="5">[8]RawDataCalcs!$L$35:$DB$35</definedName>
    <definedName name="Cap" localSheetId="15">[8]RawDataCalcs!$L$35:$DB$35</definedName>
    <definedName name="Cap">[9]RawDataCalcs!$L$13:$DB$13</definedName>
    <definedName name="capa">[10]RawDataCalcs!$L$17:$DB$17</definedName>
    <definedName name="chart" localSheetId="38">#REF!</definedName>
    <definedName name="chart">#REF!</definedName>
    <definedName name="COLA">[4]Universal!$C$12</definedName>
    <definedName name="Data" localSheetId="38">#REF!</definedName>
    <definedName name="Data" localSheetId="35">#REF!</definedName>
    <definedName name="Data" localSheetId="25">#REF!</definedName>
    <definedName name="Data" localSheetId="29">#REF!</definedName>
    <definedName name="Data" localSheetId="39">#REF!</definedName>
    <definedName name="Data" localSheetId="32">#REF!</definedName>
    <definedName name="Data" localSheetId="17">#REF!</definedName>
    <definedName name="Data" localSheetId="15">#REF!</definedName>
    <definedName name="Data" localSheetId="26">#REF!</definedName>
    <definedName name="Data">#REF!</definedName>
    <definedName name="Electricity">[4]Universal!$C$21</definedName>
    <definedName name="Fisc" localSheetId="38">'[3]Complete UFR List'!#REF!</definedName>
    <definedName name="Fisc" localSheetId="15">'[3]Complete UFR List'!#REF!</definedName>
    <definedName name="Fisc">'[3]Complete UFR List'!#REF!</definedName>
    <definedName name="FiveDay">[4]Universal!$C$17</definedName>
    <definedName name="Floor" localSheetId="20">[7]RawDataCalcs!$L$69:$DB$69</definedName>
    <definedName name="Floor" localSheetId="5">[8]RawDataCalcs!$L$34:$DB$34</definedName>
    <definedName name="Floor" localSheetId="15">[8]RawDataCalcs!$L$34:$DB$34</definedName>
    <definedName name="Floor">[9]RawDataCalcs!$L$12:$DB$12</definedName>
    <definedName name="Fringe">[4]Universal!$C$8</definedName>
    <definedName name="FROM">[2]amendA!$G$7</definedName>
    <definedName name="Funds">'[11]RawDataCalcs3386&amp;3401'!$L$68:$DB$68</definedName>
    <definedName name="GA">[4]Universal!$C$13</definedName>
    <definedName name="Gas">[4]Universal!$C$22</definedName>
    <definedName name="gk" localSheetId="38">#REF!</definedName>
    <definedName name="gk" localSheetId="20">#REF!</definedName>
    <definedName name="gk" localSheetId="37">#REF!</definedName>
    <definedName name="gk" localSheetId="35">#REF!</definedName>
    <definedName name="gk" localSheetId="36">#REF!</definedName>
    <definedName name="gk" localSheetId="13">#REF!</definedName>
    <definedName name="gk" localSheetId="24">#REF!</definedName>
    <definedName name="gk" localSheetId="23">#REF!</definedName>
    <definedName name="gk" localSheetId="25">#REF!</definedName>
    <definedName name="gk" localSheetId="31">#REF!</definedName>
    <definedName name="gk" localSheetId="30">#REF!</definedName>
    <definedName name="gk" localSheetId="29">#REF!</definedName>
    <definedName name="gk" localSheetId="39">#REF!</definedName>
    <definedName name="gk" localSheetId="40">#REF!</definedName>
    <definedName name="gk" localSheetId="34">#REF!</definedName>
    <definedName name="gk" localSheetId="32">#REF!</definedName>
    <definedName name="gk" localSheetId="33">#REF!</definedName>
    <definedName name="gk" localSheetId="17">#REF!</definedName>
    <definedName name="gk" localSheetId="21">#REF!</definedName>
    <definedName name="gk" localSheetId="15">#REF!</definedName>
    <definedName name="gk" localSheetId="28">#REF!</definedName>
    <definedName name="gk" localSheetId="26">#REF!</definedName>
    <definedName name="gk" localSheetId="27">#REF!</definedName>
    <definedName name="gk" localSheetId="47">#REF!</definedName>
    <definedName name="gk" localSheetId="48">#REF!</definedName>
    <definedName name="gk" localSheetId="22">#REF!</definedName>
    <definedName name="gk">#REF!</definedName>
    <definedName name="hhh" localSheetId="38">#REF!</definedName>
    <definedName name="hhh" localSheetId="35">#REF!</definedName>
    <definedName name="hhh" localSheetId="25">#REF!</definedName>
    <definedName name="hhh" localSheetId="29">#REF!</definedName>
    <definedName name="hhh" localSheetId="39">#REF!</definedName>
    <definedName name="hhh" localSheetId="32">#REF!</definedName>
    <definedName name="hhh" localSheetId="17">#REF!</definedName>
    <definedName name="hhh" localSheetId="15">#REF!</definedName>
    <definedName name="hhh" localSheetId="26">#REF!</definedName>
    <definedName name="hhh">#REF!</definedName>
    <definedName name="Holidays">[4]Universal!$C$49:$C$59</definedName>
    <definedName name="JailDAverage" localSheetId="38">#REF!</definedName>
    <definedName name="JailDAverage" localSheetId="35">#REF!</definedName>
    <definedName name="JailDAverage" localSheetId="25">#REF!</definedName>
    <definedName name="JailDAverage" localSheetId="29">#REF!</definedName>
    <definedName name="JailDAverage" localSheetId="39">#REF!</definedName>
    <definedName name="JailDAverage" localSheetId="32">#REF!</definedName>
    <definedName name="JailDAverage" localSheetId="17">#REF!</definedName>
    <definedName name="JailDAverage" localSheetId="15">#REF!</definedName>
    <definedName name="JailDAverage" localSheetId="26">#REF!</definedName>
    <definedName name="JailDAverage">#REF!</definedName>
    <definedName name="JailDCap">[12]ALLRawDataCalcs!$L$80:$DB$80</definedName>
    <definedName name="JailDFloor">[12]ALLRawDataCalcs!$L$79:$DB$79</definedName>
    <definedName name="JailDgk" localSheetId="38">#REF!</definedName>
    <definedName name="JailDgk" localSheetId="35">#REF!</definedName>
    <definedName name="JailDgk" localSheetId="25">#REF!</definedName>
    <definedName name="JailDgk" localSheetId="29">#REF!</definedName>
    <definedName name="JailDgk" localSheetId="39">#REF!</definedName>
    <definedName name="JailDgk" localSheetId="32">#REF!</definedName>
    <definedName name="JailDgk" localSheetId="17">#REF!</definedName>
    <definedName name="JailDgk" localSheetId="15">#REF!</definedName>
    <definedName name="JailDgk" localSheetId="26">#REF!</definedName>
    <definedName name="JailDgk">#REF!</definedName>
    <definedName name="JailDMax" localSheetId="38">#REF!</definedName>
    <definedName name="JailDMax" localSheetId="35">#REF!</definedName>
    <definedName name="JailDMax" localSheetId="25">#REF!</definedName>
    <definedName name="JailDMax" localSheetId="29">#REF!</definedName>
    <definedName name="JailDMax" localSheetId="39">#REF!</definedName>
    <definedName name="JailDMax" localSheetId="32">#REF!</definedName>
    <definedName name="JailDMax" localSheetId="17">#REF!</definedName>
    <definedName name="JailDMax" localSheetId="15">#REF!</definedName>
    <definedName name="JailDMax" localSheetId="26">#REF!</definedName>
    <definedName name="JailDMax">#REF!</definedName>
    <definedName name="JailDMedian" localSheetId="38">#REF!</definedName>
    <definedName name="JailDMedian" localSheetId="35">#REF!</definedName>
    <definedName name="JailDMedian" localSheetId="25">#REF!</definedName>
    <definedName name="JailDMedian" localSheetId="29">#REF!</definedName>
    <definedName name="JailDMedian" localSheetId="39">#REF!</definedName>
    <definedName name="JailDMedian" localSheetId="32">#REF!</definedName>
    <definedName name="JailDMedian" localSheetId="17">#REF!</definedName>
    <definedName name="JailDMedian" localSheetId="15">#REF!</definedName>
    <definedName name="JailDMedian" localSheetId="26">#REF!</definedName>
    <definedName name="JailDMedian">#REF!</definedName>
    <definedName name="jm" localSheetId="38">'[3]Complete UFR List'!#REF!</definedName>
    <definedName name="jm" localSheetId="15">'[3]Complete UFR List'!#REF!</definedName>
    <definedName name="jm">'[3]Complete UFR List'!#REF!</definedName>
    <definedName name="KARA" localSheetId="38">#REF!</definedName>
    <definedName name="KARA">#REF!</definedName>
    <definedName name="kls" localSheetId="38">#REF!</definedName>
    <definedName name="kls" localSheetId="35">#REF!</definedName>
    <definedName name="kls" localSheetId="25">#REF!</definedName>
    <definedName name="kls" localSheetId="29">#REF!</definedName>
    <definedName name="kls" localSheetId="39">#REF!</definedName>
    <definedName name="kls" localSheetId="32">#REF!</definedName>
    <definedName name="kls" localSheetId="17">#REF!</definedName>
    <definedName name="kls" localSheetId="15">#REF!</definedName>
    <definedName name="kls" localSheetId="26">#REF!</definedName>
    <definedName name="kls">#REF!</definedName>
    <definedName name="ListProviders">'[13]List of Programs'!$A$24:$A$29</definedName>
    <definedName name="Max" localSheetId="38">#REF!</definedName>
    <definedName name="Max" localSheetId="35">#REF!</definedName>
    <definedName name="Max" localSheetId="25">#REF!</definedName>
    <definedName name="Max" localSheetId="29">#REF!</definedName>
    <definedName name="Max" localSheetId="39">#REF!</definedName>
    <definedName name="Max" localSheetId="32">#REF!</definedName>
    <definedName name="Max" localSheetId="17">#REF!</definedName>
    <definedName name="Max" localSheetId="15">#REF!</definedName>
    <definedName name="Max" localSheetId="26">#REF!</definedName>
    <definedName name="Max">#REF!</definedName>
    <definedName name="Median" localSheetId="38">#REF!</definedName>
    <definedName name="Median" localSheetId="35">#REF!</definedName>
    <definedName name="Median" localSheetId="25">#REF!</definedName>
    <definedName name="Median" localSheetId="29">#REF!</definedName>
    <definedName name="Median" localSheetId="39">#REF!</definedName>
    <definedName name="Median" localSheetId="32">#REF!</definedName>
    <definedName name="Median" localSheetId="17">#REF!</definedName>
    <definedName name="Median" localSheetId="15">#REF!</definedName>
    <definedName name="Median" localSheetId="26">#REF!</definedName>
    <definedName name="Median">#REF!</definedName>
    <definedName name="Min" localSheetId="38">#REF!</definedName>
    <definedName name="Min" localSheetId="35">#REF!</definedName>
    <definedName name="Min" localSheetId="25">#REF!</definedName>
    <definedName name="Min" localSheetId="29">#REF!</definedName>
    <definedName name="Min" localSheetId="39">#REF!</definedName>
    <definedName name="Min" localSheetId="32">#REF!</definedName>
    <definedName name="Min" localSheetId="17">#REF!</definedName>
    <definedName name="Min" localSheetId="15">#REF!</definedName>
    <definedName name="Min" localSheetId="26">#REF!</definedName>
    <definedName name="Min">#REF!</definedName>
    <definedName name="mr" localSheetId="38">#REF!</definedName>
    <definedName name="mr">#REF!</definedName>
    <definedName name="MT" localSheetId="38">#REF!</definedName>
    <definedName name="MT" localSheetId="35">#REF!</definedName>
    <definedName name="MT" localSheetId="13">#REF!</definedName>
    <definedName name="MT" localSheetId="25">#REF!</definedName>
    <definedName name="MT" localSheetId="29">#REF!</definedName>
    <definedName name="MT" localSheetId="39">#REF!</definedName>
    <definedName name="MT" localSheetId="32">#REF!</definedName>
    <definedName name="MT" localSheetId="17">#REF!</definedName>
    <definedName name="MT" localSheetId="15">#REF!</definedName>
    <definedName name="MT" localSheetId="26">#REF!</definedName>
    <definedName name="MT">#REF!</definedName>
    <definedName name="new" localSheetId="38">#REF!</definedName>
    <definedName name="new" localSheetId="35">#REF!</definedName>
    <definedName name="new" localSheetId="25">#REF!</definedName>
    <definedName name="new" localSheetId="29">#REF!</definedName>
    <definedName name="new" localSheetId="39">#REF!</definedName>
    <definedName name="new" localSheetId="32">#REF!</definedName>
    <definedName name="new" localSheetId="17">#REF!</definedName>
    <definedName name="new" localSheetId="15">#REF!</definedName>
    <definedName name="new" localSheetId="26">#REF!</definedName>
    <definedName name="new">#REF!</definedName>
    <definedName name="Oil">[4]Universal!$C$23</definedName>
    <definedName name="ok" localSheetId="38">#REF!</definedName>
    <definedName name="ok" localSheetId="35">#REF!</definedName>
    <definedName name="ok" localSheetId="25">#REF!</definedName>
    <definedName name="ok" localSheetId="29">#REF!</definedName>
    <definedName name="ok" localSheetId="39">#REF!</definedName>
    <definedName name="ok" localSheetId="32">#REF!</definedName>
    <definedName name="ok" localSheetId="17">#REF!</definedName>
    <definedName name="ok" localSheetId="15">#REF!</definedName>
    <definedName name="ok" localSheetId="26">#REF!</definedName>
    <definedName name="ok">#REF!</definedName>
    <definedName name="Paydays">[4]Universal!$C$33:$N$33</definedName>
    <definedName name="Phone">[4]Universal!$C$25</definedName>
    <definedName name="_xlnm.Print_Area" localSheetId="38">' Enhanced Medical Model'!$B$1:$G$25</definedName>
    <definedName name="_xlnm.Print_Area" localSheetId="20">'11.22.19 ALTR Add on Rates'!$A$1:$L$27</definedName>
    <definedName name="_xlnm.Print_Area" localSheetId="9">Chart!$B$1:$G$32</definedName>
    <definedName name="_xlnm.Print_Area" localSheetId="37">Clin_Int!$B$55:$F$94</definedName>
    <definedName name="_xlnm.Print_Area" localSheetId="35">'Clin_Int '!$B$1:$G$102</definedName>
    <definedName name="_xlnm.Print_Area" localSheetId="36">'Clin_Int (FY21)'!$B$1:$F$101</definedName>
    <definedName name="_xlnm.Print_Area" localSheetId="8">'FI FY21'!$A$3:$I$30</definedName>
    <definedName name="_xlnm.Print_Area" localSheetId="7">'FI FY23old'!$A$3:$I$30</definedName>
    <definedName name="_xlnm.Print_Area" localSheetId="43">'FTE Benchmark Tables'!$A$2:$P$62</definedName>
    <definedName name="_xlnm.Print_Area" localSheetId="41">'FY15 Salary Benchmark'!$A$1:$C$34</definedName>
    <definedName name="_xlnm.Print_Area" localSheetId="42">'FY15 UFR Summary'!$A$1:$E$91</definedName>
    <definedName name="_xlnm.Print_Area" localSheetId="46">'FY19_20 CAF'!$BI$5:$BU$43</definedName>
    <definedName name="_xlnm.Print_Area" localSheetId="24">GLE!$L$9:$AB$86</definedName>
    <definedName name="_xlnm.Print_Area" localSheetId="23">'GLE (FY21)'!$B$1:$J$96</definedName>
    <definedName name="_xlnm.Print_Area" localSheetId="25">'GLE SIE'!$B$1:$K$100</definedName>
    <definedName name="_xlnm.Print_Area" localSheetId="31">Int_Beh!$B$102:$G$180</definedName>
    <definedName name="_xlnm.Print_Area" localSheetId="30">'Int_Beh (FY21)'!$B$1:$G$65</definedName>
    <definedName name="_xlnm.Print_Area" localSheetId="29">'Int_Beh FY25'!$B$1:$H$64</definedName>
    <definedName name="_xlnm.Print_Area" localSheetId="39">Int_DBT!$B$1:$N$92</definedName>
    <definedName name="_xlnm.Print_Area" localSheetId="40">'Int_DBT(FY21)'!$B$1:$N$92</definedName>
    <definedName name="_xlnm.Print_Area" localSheetId="34">Int_Fire_Safety!$I$8:$M$47</definedName>
    <definedName name="_xlnm.Print_Area" localSheetId="32">'Int_Fire_Safety '!$B$1:$G$45</definedName>
    <definedName name="_xlnm.Print_Area" localSheetId="33">'Int_Fire_Safety (FY21)'!$B$1:$G$46</definedName>
    <definedName name="_xlnm.Print_Area" localSheetId="17">'Integrated Team '!$J$1:$O$96</definedName>
    <definedName name="_xlnm.Print_Area" localSheetId="21">'Integrated Team (FY21)'!$J$1:$O$98</definedName>
    <definedName name="_xlnm.Print_Area" localSheetId="5">'M2020 BLS  SALARY CHART'!$B$1:$G$44</definedName>
    <definedName name="_xlnm.Print_Area" localSheetId="15">'M2022 BLS SALARY CHART (53_PCT)'!$B$1:$E$46</definedName>
    <definedName name="_xlnm.Print_Area" localSheetId="28">Med_Int_Spec!$I$8:$M$136</definedName>
    <definedName name="_xlnm.Print_Area" localSheetId="26">'Med_Int_Spec  '!$B$1:$H$58</definedName>
    <definedName name="_xlnm.Print_Area" localSheetId="27">'Med_Int_Spec (FY21)'!$B$1:$G$60</definedName>
    <definedName name="_xlnm.Print_Area" localSheetId="47">'Occ. Cost Index'!$A$1:$X$46</definedName>
    <definedName name="_xlnm.Print_Area" localSheetId="16">'Rates FY25 '!$A$3:$A$30</definedName>
    <definedName name="_xlnm.Print_Area" localSheetId="22">'shouldve been PH GLE '!$B$1:$J$94</definedName>
    <definedName name="_xlnm.Print_Titles" localSheetId="38">' Enhanced Medical Model'!$1:$1</definedName>
    <definedName name="_xlnm.Print_Titles" localSheetId="45">'CAF 2019 Fall'!$A:$A</definedName>
    <definedName name="_xlnm.Print_Titles" localSheetId="4">'CAF Spring 2021'!$A:$A</definedName>
    <definedName name="_xlnm.Print_Titles" localSheetId="14">'Fall CAF 2023'!$A:$A</definedName>
    <definedName name="_xlnm.Print_Titles" localSheetId="42">'FY15 UFR Summary'!$1:$1</definedName>
    <definedName name="_xlnm.Print_Titles" localSheetId="46">'FY19_20 CAF'!$A:$A</definedName>
    <definedName name="_xlnm.Print_Titles" localSheetId="24">GLE!$1:$1</definedName>
    <definedName name="_xlnm.Print_Titles" localSheetId="23">'GLE (FY21)'!$1:$1</definedName>
    <definedName name="_xlnm.Print_Titles" localSheetId="25">'GLE SIE'!$1:$1</definedName>
    <definedName name="_xlnm.Print_Titles" localSheetId="31">Int_Beh!$1:$1</definedName>
    <definedName name="_xlnm.Print_Titles" localSheetId="30">'Int_Beh (FY21)'!$1:$1</definedName>
    <definedName name="_xlnm.Print_Titles" localSheetId="29">'Int_Beh FY25'!$1:$1</definedName>
    <definedName name="_xlnm.Print_Titles" localSheetId="39">Int_DBT!$1:$1</definedName>
    <definedName name="_xlnm.Print_Titles" localSheetId="40">'Int_DBT(FY21)'!$1:$1</definedName>
    <definedName name="_xlnm.Print_Titles" localSheetId="34">Int_Fire_Safety!$1:$1</definedName>
    <definedName name="_xlnm.Print_Titles" localSheetId="32">'Int_Fire_Safety '!$1:$1</definedName>
    <definedName name="_xlnm.Print_Titles" localSheetId="33">'Int_Fire_Safety (FY21)'!$1:$1</definedName>
    <definedName name="_xlnm.Print_Titles" localSheetId="28">Med_Int_Spec!$1:$1</definedName>
    <definedName name="_xlnm.Print_Titles" localSheetId="26">'Med_Int_Spec  '!$1:$1</definedName>
    <definedName name="_xlnm.Print_Titles" localSheetId="27">'Med_Int_Spec (FY21)'!$1:$1</definedName>
    <definedName name="_xlnm.Print_Titles" localSheetId="6">'new FALL CAF 2021'!$A:$A</definedName>
    <definedName name="_xlnm.Print_Titles" localSheetId="47">'Occ. Cost Index'!$A:$C</definedName>
    <definedName name="_xlnm.Print_Titles" localSheetId="49">'Occupancy - ACCS'!$2:$2</definedName>
    <definedName name="_xlnm.Print_Titles" localSheetId="22">'shouldve been PH GLE '!$1:$1</definedName>
    <definedName name="Program_File" localSheetId="38">#REF!</definedName>
    <definedName name="Program_File" localSheetId="35">#REF!</definedName>
    <definedName name="Program_File" localSheetId="25">#REF!</definedName>
    <definedName name="Program_File" localSheetId="29">#REF!</definedName>
    <definedName name="Program_File" localSheetId="39">#REF!</definedName>
    <definedName name="Program_File" localSheetId="32">#REF!</definedName>
    <definedName name="Program_File" localSheetId="17">#REF!</definedName>
    <definedName name="Program_File" localSheetId="15">#REF!</definedName>
    <definedName name="Program_File" localSheetId="26">#REF!</definedName>
    <definedName name="Program_File">#REF!</definedName>
    <definedName name="Programs">'[13]List of Programs'!$B$3:$B$19</definedName>
    <definedName name="PropInsurance">[4]Universal!$C$20</definedName>
    <definedName name="ProvFTE">'[14]FTE Data'!$A$3:$AW$56</definedName>
    <definedName name="PTO_Hours">[4]Universal!$F$72:$F$78</definedName>
    <definedName name="PTO_Years">[4]Universal!$B$72:$B$78</definedName>
    <definedName name="PurchasedBy">'[14]FTE Data'!$C$263:$AZ$657</definedName>
    <definedName name="REGION">[1]Sheet2!$B$1:$B$5</definedName>
    <definedName name="Relief">[4]Universal!$C$14</definedName>
    <definedName name="resmay2007" localSheetId="38">#REF!</definedName>
    <definedName name="resmay2007" localSheetId="35">#REF!</definedName>
    <definedName name="resmay2007" localSheetId="25">#REF!</definedName>
    <definedName name="resmay2007" localSheetId="29">#REF!</definedName>
    <definedName name="resmay2007" localSheetId="39">#REF!</definedName>
    <definedName name="resmay2007" localSheetId="32">#REF!</definedName>
    <definedName name="resmay2007" localSheetId="17">#REF!</definedName>
    <definedName name="resmay2007" localSheetId="15">#REF!</definedName>
    <definedName name="resmay2007" localSheetId="26">#REF!</definedName>
    <definedName name="resmay2007">#REF!</definedName>
    <definedName name="SevenDay">[4]Universal!$C$18</definedName>
    <definedName name="sheet1" localSheetId="38">#REF!</definedName>
    <definedName name="sheet1" localSheetId="35">#REF!</definedName>
    <definedName name="sheet1" localSheetId="25">#REF!</definedName>
    <definedName name="sheet1" localSheetId="29">#REF!</definedName>
    <definedName name="sheet1" localSheetId="39">#REF!</definedName>
    <definedName name="sheet1" localSheetId="32">#REF!</definedName>
    <definedName name="sheet1" localSheetId="17">#REF!</definedName>
    <definedName name="sheet1" localSheetId="5">#REF!</definedName>
    <definedName name="sheet1" localSheetId="15">#REF!</definedName>
    <definedName name="sheet1" localSheetId="26">#REF!</definedName>
    <definedName name="sheet1">#REF!</definedName>
    <definedName name="Site_list">[14]Lists!$A$2:$A$53</definedName>
    <definedName name="Source" localSheetId="38">#REF!</definedName>
    <definedName name="Source" localSheetId="35">#REF!</definedName>
    <definedName name="Source" localSheetId="25">#REF!</definedName>
    <definedName name="Source" localSheetId="29">#REF!</definedName>
    <definedName name="Source" localSheetId="39">#REF!</definedName>
    <definedName name="Source" localSheetId="32">#REF!</definedName>
    <definedName name="Source" localSheetId="17">#REF!</definedName>
    <definedName name="Source" localSheetId="15">#REF!</definedName>
    <definedName name="Source" localSheetId="26">#REF!</definedName>
    <definedName name="Source">#REF!</definedName>
    <definedName name="Source_2" localSheetId="38">#REF!</definedName>
    <definedName name="Source_2" localSheetId="20">#REF!</definedName>
    <definedName name="Source_2" localSheetId="37">#REF!</definedName>
    <definedName name="Source_2" localSheetId="35">#REF!</definedName>
    <definedName name="Source_2" localSheetId="23">#REF!</definedName>
    <definedName name="Source_2" localSheetId="25">#REF!</definedName>
    <definedName name="Source_2" localSheetId="30">#REF!</definedName>
    <definedName name="Source_2" localSheetId="29">#REF!</definedName>
    <definedName name="Source_2" localSheetId="39">#REF!</definedName>
    <definedName name="Source_2" localSheetId="32">#REF!</definedName>
    <definedName name="Source_2" localSheetId="33">#REF!</definedName>
    <definedName name="Source_2" localSheetId="17">#REF!</definedName>
    <definedName name="Source_2" localSheetId="15">#REF!</definedName>
    <definedName name="Source_2" localSheetId="26">#REF!</definedName>
    <definedName name="Source_2" localSheetId="27">#REF!</definedName>
    <definedName name="Source_2" localSheetId="47">#REF!</definedName>
    <definedName name="Source_2" localSheetId="48">#REF!</definedName>
    <definedName name="Source_2" localSheetId="22">#REF!</definedName>
    <definedName name="Source_2">#REF!</definedName>
    <definedName name="SourcePathAndFileName" localSheetId="38">#REF!</definedName>
    <definedName name="SourcePathAndFileName" localSheetId="35">#REF!</definedName>
    <definedName name="SourcePathAndFileName" localSheetId="25">#REF!</definedName>
    <definedName name="SourcePathAndFileName" localSheetId="29">#REF!</definedName>
    <definedName name="SourcePathAndFileName" localSheetId="39">#REF!</definedName>
    <definedName name="SourcePathAndFileName" localSheetId="32">#REF!</definedName>
    <definedName name="SourcePathAndFileName" localSheetId="17">#REF!</definedName>
    <definedName name="SourcePathAndFileName" localSheetId="15">#REF!</definedName>
    <definedName name="SourcePathAndFileName" localSheetId="26">#REF!</definedName>
    <definedName name="SourcePathAndFileName">#REF!</definedName>
    <definedName name="StaffApp">[4]Universal!$C$11</definedName>
    <definedName name="Tax">[4]Universal!$C$7</definedName>
    <definedName name="TO">[2]amendA!$K$7:$O$7</definedName>
    <definedName name="Total_UFR" localSheetId="38">#REF!</definedName>
    <definedName name="Total_UFR" localSheetId="20">#REF!</definedName>
    <definedName name="Total_UFR" localSheetId="35">#REF!</definedName>
    <definedName name="Total_UFR" localSheetId="13">#REF!</definedName>
    <definedName name="Total_UFR" localSheetId="23">#REF!</definedName>
    <definedName name="Total_UFR" localSheetId="25">#REF!</definedName>
    <definedName name="Total_UFR" localSheetId="30">#REF!</definedName>
    <definedName name="Total_UFR" localSheetId="29">#REF!</definedName>
    <definedName name="Total_UFR" localSheetId="39">#REF!</definedName>
    <definedName name="Total_UFR" localSheetId="32">#REF!</definedName>
    <definedName name="Total_UFR" localSheetId="33">#REF!</definedName>
    <definedName name="Total_UFR" localSheetId="17">#REF!</definedName>
    <definedName name="Total_UFR" localSheetId="15">#REF!</definedName>
    <definedName name="Total_UFR" localSheetId="26">#REF!</definedName>
    <definedName name="Total_UFR" localSheetId="27">#REF!</definedName>
    <definedName name="Total_UFR" localSheetId="47">#REF!</definedName>
    <definedName name="Total_UFR" localSheetId="48">#REF!</definedName>
    <definedName name="Total_UFR" localSheetId="22">#REF!</definedName>
    <definedName name="Total_UFR">#REF!</definedName>
    <definedName name="Total_UFRs" localSheetId="38">#REF!</definedName>
    <definedName name="Total_UFRs" localSheetId="20">#REF!</definedName>
    <definedName name="Total_UFRs" localSheetId="35">#REF!</definedName>
    <definedName name="Total_UFRs" localSheetId="23">#REF!</definedName>
    <definedName name="Total_UFRs" localSheetId="25">#REF!</definedName>
    <definedName name="Total_UFRs" localSheetId="30">#REF!</definedName>
    <definedName name="Total_UFRs" localSheetId="29">#REF!</definedName>
    <definedName name="Total_UFRs" localSheetId="39">#REF!</definedName>
    <definedName name="Total_UFRs" localSheetId="32">#REF!</definedName>
    <definedName name="Total_UFRs" localSheetId="33">#REF!</definedName>
    <definedName name="Total_UFRs" localSheetId="17">#REF!</definedName>
    <definedName name="Total_UFRs" localSheetId="15">#REF!</definedName>
    <definedName name="Total_UFRs" localSheetId="26">#REF!</definedName>
    <definedName name="Total_UFRs" localSheetId="27">#REF!</definedName>
    <definedName name="Total_UFRs" localSheetId="47">#REF!</definedName>
    <definedName name="Total_UFRs" localSheetId="48">#REF!</definedName>
    <definedName name="Total_UFRs" localSheetId="22">#REF!</definedName>
    <definedName name="Total_UFRs">#REF!</definedName>
    <definedName name="Total_UFRs_" localSheetId="38">#REF!</definedName>
    <definedName name="Total_UFRs_" localSheetId="20">#REF!</definedName>
    <definedName name="Total_UFRs_" localSheetId="35">#REF!</definedName>
    <definedName name="Total_UFRs_" localSheetId="23">#REF!</definedName>
    <definedName name="Total_UFRs_" localSheetId="25">#REF!</definedName>
    <definedName name="Total_UFRs_" localSheetId="30">#REF!</definedName>
    <definedName name="Total_UFRs_" localSheetId="29">#REF!</definedName>
    <definedName name="Total_UFRs_" localSheetId="39">#REF!</definedName>
    <definedName name="Total_UFRs_" localSheetId="32">#REF!</definedName>
    <definedName name="Total_UFRs_" localSheetId="33">#REF!</definedName>
    <definedName name="Total_UFRs_" localSheetId="17">#REF!</definedName>
    <definedName name="Total_UFRs_" localSheetId="15">#REF!</definedName>
    <definedName name="Total_UFRs_" localSheetId="26">#REF!</definedName>
    <definedName name="Total_UFRs_" localSheetId="27">#REF!</definedName>
    <definedName name="Total_UFRs_" localSheetId="47">#REF!</definedName>
    <definedName name="Total_UFRs_" localSheetId="48">#REF!</definedName>
    <definedName name="Total_UFRs_" localSheetId="22">#REF!</definedName>
    <definedName name="Total_UFRs_">#REF!</definedName>
    <definedName name="TotalDays">[4]Universal!$C$30:$N$30</definedName>
    <definedName name="UFR" localSheetId="38">'[3]Complete UFR List'!#REF!</definedName>
    <definedName name="UFR" localSheetId="35">'[3]Complete UFR List'!#REF!</definedName>
    <definedName name="UFR" localSheetId="25">'[3]Complete UFR List'!#REF!</definedName>
    <definedName name="UFR" localSheetId="29">'[3]Complete UFR List'!#REF!</definedName>
    <definedName name="UFR" localSheetId="39">'[3]Complete UFR List'!#REF!</definedName>
    <definedName name="UFR" localSheetId="32">'[3]Complete UFR List'!#REF!</definedName>
    <definedName name="UFR" localSheetId="17">'[3]Complete UFR List'!#REF!</definedName>
    <definedName name="UFR" localSheetId="15">'[3]Complete UFR List'!#REF!</definedName>
    <definedName name="UFR" localSheetId="26">'[3]Complete UFR List'!#REF!</definedName>
    <definedName name="UFR">'[3]Complete UFR List'!#REF!</definedName>
    <definedName name="UFRS" localSheetId="38">'[3]Complete UFR List'!#REF!</definedName>
    <definedName name="UFRS" localSheetId="35">'[3]Complete UFR List'!#REF!</definedName>
    <definedName name="UFRS" localSheetId="25">'[3]Complete UFR List'!#REF!</definedName>
    <definedName name="UFRS" localSheetId="29">'[3]Complete UFR List'!#REF!</definedName>
    <definedName name="UFRS" localSheetId="39">'[3]Complete UFR List'!#REF!</definedName>
    <definedName name="UFRS" localSheetId="32">'[3]Complete UFR List'!#REF!</definedName>
    <definedName name="UFRS" localSheetId="17">'[3]Complete UFR List'!#REF!</definedName>
    <definedName name="UFRS" localSheetId="15">'[3]Complete UFR List'!#REF!</definedName>
    <definedName name="UFRS" localSheetId="26">'[3]Complete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38">'[3]Complete UFR List'!#REF!</definedName>
    <definedName name="wefqwerqwe" localSheetId="15">'[3]Complete UFR List'!#REF!</definedName>
    <definedName name="wefqwerqwe">'[3]Complete UFR List'!#REF!</definedName>
    <definedName name="yes" localSheetId="38">'[3]Complete UFR List'!#REF!</definedName>
    <definedName name="yes">'[3]Complete UFR List'!#REF!</definedName>
  </definedNames>
  <calcPr calcId="191029"/>
  <pivotCaches>
    <pivotCache cacheId="0" r:id="rId7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 i="104" l="1"/>
  <c r="L8" i="104"/>
  <c r="L12" i="104"/>
  <c r="L16" i="104"/>
  <c r="L31" i="104"/>
  <c r="L32" i="104"/>
  <c r="L33" i="104"/>
  <c r="O16" i="104"/>
  <c r="L35" i="113"/>
  <c r="K21" i="113"/>
  <c r="Q21" i="113" s="1"/>
  <c r="D22" i="98"/>
  <c r="D33" i="113"/>
  <c r="D32" i="113"/>
  <c r="D31" i="113"/>
  <c r="Q81" i="92"/>
  <c r="Q79" i="92"/>
  <c r="O77" i="92"/>
  <c r="Q77" i="92"/>
  <c r="Q76" i="92"/>
  <c r="Q73" i="92"/>
  <c r="R67" i="92"/>
  <c r="R71" i="92" s="1"/>
  <c r="R68" i="92"/>
  <c r="R69" i="92"/>
  <c r="S69" i="92" s="1"/>
  <c r="R70" i="92"/>
  <c r="R66" i="92"/>
  <c r="Q69" i="92"/>
  <c r="Q66" i="92"/>
  <c r="O67" i="92"/>
  <c r="O68" i="92"/>
  <c r="O69" i="92"/>
  <c r="O70" i="92"/>
  <c r="O66" i="92"/>
  <c r="C73" i="92"/>
  <c r="C72" i="92"/>
  <c r="K16" i="113"/>
  <c r="M16" i="113" s="1"/>
  <c r="K24" i="113"/>
  <c r="Q24" i="113" s="1"/>
  <c r="W24" i="113" s="1"/>
  <c r="L28" i="113"/>
  <c r="M28" i="113" s="1"/>
  <c r="L29" i="113"/>
  <c r="M29" i="113" s="1"/>
  <c r="L30" i="113"/>
  <c r="M30" i="113" s="1"/>
  <c r="L31" i="113"/>
  <c r="M31" i="113" s="1"/>
  <c r="L32" i="113"/>
  <c r="M32" i="113" s="1"/>
  <c r="L33" i="113"/>
  <c r="M33" i="113" s="1"/>
  <c r="L36" i="113"/>
  <c r="R36" i="113"/>
  <c r="X36" i="113" s="1"/>
  <c r="R35" i="113"/>
  <c r="X35" i="113" s="1"/>
  <c r="M21" i="113"/>
  <c r="C10" i="108"/>
  <c r="K20" i="113"/>
  <c r="Q20" i="113"/>
  <c r="I22" i="113"/>
  <c r="O22" i="113"/>
  <c r="U22" i="113"/>
  <c r="X21" i="113"/>
  <c r="R21" i="113"/>
  <c r="O21" i="113"/>
  <c r="U21" i="113"/>
  <c r="L21" i="113"/>
  <c r="I21" i="113"/>
  <c r="X20" i="113"/>
  <c r="R20" i="113"/>
  <c r="L20" i="113"/>
  <c r="I20" i="113"/>
  <c r="O20" i="113"/>
  <c r="U20" i="113"/>
  <c r="X19" i="113"/>
  <c r="R19" i="113"/>
  <c r="O19" i="113"/>
  <c r="U19" i="113"/>
  <c r="L19" i="113"/>
  <c r="I19" i="113"/>
  <c r="X18" i="113"/>
  <c r="R18" i="113"/>
  <c r="L18" i="113"/>
  <c r="I18" i="113"/>
  <c r="O18" i="113"/>
  <c r="U18" i="113"/>
  <c r="X17" i="113"/>
  <c r="R17" i="113"/>
  <c r="O17" i="113"/>
  <c r="U17" i="113"/>
  <c r="L17" i="113"/>
  <c r="I17" i="113"/>
  <c r="X16" i="113"/>
  <c r="R16" i="113"/>
  <c r="L16" i="113"/>
  <c r="I16" i="113"/>
  <c r="O16" i="113"/>
  <c r="U16" i="113"/>
  <c r="Y13" i="113"/>
  <c r="S13" i="113"/>
  <c r="M13" i="113"/>
  <c r="D7" i="113"/>
  <c r="D8" i="113"/>
  <c r="D9" i="113"/>
  <c r="D6" i="113"/>
  <c r="D5" i="113"/>
  <c r="D4" i="113"/>
  <c r="M20" i="113"/>
  <c r="S20" i="113"/>
  <c r="W20" i="113"/>
  <c r="Y20" i="113"/>
  <c r="D19" i="113"/>
  <c r="R22" i="113"/>
  <c r="R23" i="113"/>
  <c r="E19" i="113"/>
  <c r="X22" i="113"/>
  <c r="C19" i="113"/>
  <c r="L22" i="113"/>
  <c r="L23" i="113"/>
  <c r="X23" i="113"/>
  <c r="G37" i="104"/>
  <c r="F6" i="104"/>
  <c r="G6" i="104"/>
  <c r="F7" i="104"/>
  <c r="K7" i="104"/>
  <c r="F8" i="104"/>
  <c r="G8" i="104"/>
  <c r="F9" i="104"/>
  <c r="G9" i="104"/>
  <c r="F10" i="104"/>
  <c r="G10" i="104"/>
  <c r="F11" i="104"/>
  <c r="G11" i="104"/>
  <c r="F12" i="104"/>
  <c r="G12" i="104"/>
  <c r="F13" i="104"/>
  <c r="F14" i="104"/>
  <c r="G14" i="104"/>
  <c r="F15" i="104"/>
  <c r="G15" i="104"/>
  <c r="F16" i="104"/>
  <c r="G16" i="104"/>
  <c r="F17" i="104"/>
  <c r="G17" i="104"/>
  <c r="F18" i="104"/>
  <c r="G18" i="104"/>
  <c r="F19" i="104"/>
  <c r="G19" i="104"/>
  <c r="F20" i="104"/>
  <c r="G20" i="104"/>
  <c r="F21" i="104"/>
  <c r="G21" i="104"/>
  <c r="F22" i="104"/>
  <c r="G22" i="104"/>
  <c r="F23" i="104"/>
  <c r="G23" i="104"/>
  <c r="F24" i="104"/>
  <c r="G24" i="104"/>
  <c r="F25" i="104"/>
  <c r="G25" i="104"/>
  <c r="F26" i="104"/>
  <c r="G26" i="104"/>
  <c r="F27" i="104"/>
  <c r="G27" i="104"/>
  <c r="F28" i="104"/>
  <c r="G28" i="104"/>
  <c r="F29" i="104"/>
  <c r="G29" i="104"/>
  <c r="F30" i="104"/>
  <c r="G30" i="104"/>
  <c r="F5" i="104"/>
  <c r="G5" i="104"/>
  <c r="D34" i="104"/>
  <c r="E34" i="104"/>
  <c r="C34" i="104"/>
  <c r="G7" i="104"/>
  <c r="K12" i="104"/>
  <c r="G13" i="104"/>
  <c r="K16" i="104"/>
  <c r="K8" i="104"/>
  <c r="G34" i="104"/>
  <c r="B12" i="87"/>
  <c r="B6" i="87"/>
  <c r="D17" i="97"/>
  <c r="D70" i="97"/>
  <c r="D22" i="95"/>
  <c r="D26" i="94"/>
  <c r="D21" i="94"/>
  <c r="D18" i="94"/>
  <c r="C33" i="92"/>
  <c r="D32" i="98" s="1"/>
  <c r="L73" i="98" s="1"/>
  <c r="M73" i="98" s="1"/>
  <c r="K7" i="111"/>
  <c r="L7" i="111"/>
  <c r="M7" i="111"/>
  <c r="K8" i="111"/>
  <c r="L8" i="111"/>
  <c r="M8" i="111"/>
  <c r="M13" i="111"/>
  <c r="K9" i="111"/>
  <c r="L9" i="111"/>
  <c r="M9" i="111"/>
  <c r="K10" i="111"/>
  <c r="L10" i="111"/>
  <c r="M10" i="111"/>
  <c r="K11" i="111"/>
  <c r="L11" i="111"/>
  <c r="L13" i="111"/>
  <c r="M11" i="111"/>
  <c r="K12" i="111"/>
  <c r="L12" i="111"/>
  <c r="M12" i="111"/>
  <c r="K13" i="111"/>
  <c r="K21" i="111"/>
  <c r="L21" i="111"/>
  <c r="K18" i="111"/>
  <c r="L18" i="111"/>
  <c r="K20" i="111"/>
  <c r="L20" i="111"/>
  <c r="K19" i="111"/>
  <c r="L19" i="111"/>
  <c r="E47" i="91"/>
  <c r="C41" i="92"/>
  <c r="C90" i="92"/>
  <c r="AC81" i="92" s="1"/>
  <c r="H63" i="92"/>
  <c r="H62" i="92"/>
  <c r="C17" i="92"/>
  <c r="O20" i="92" s="1"/>
  <c r="E32" i="91"/>
  <c r="E29" i="91"/>
  <c r="E26" i="91"/>
  <c r="E23" i="91"/>
  <c r="E17" i="91"/>
  <c r="CP26" i="109"/>
  <c r="CO26" i="109"/>
  <c r="CN26" i="109"/>
  <c r="CM26" i="109"/>
  <c r="CL26" i="109"/>
  <c r="CK26" i="109"/>
  <c r="CJ26" i="109"/>
  <c r="CI26" i="109"/>
  <c r="CR26" i="109"/>
  <c r="CP25" i="109"/>
  <c r="CO25" i="109"/>
  <c r="CN25" i="109"/>
  <c r="CM25" i="109"/>
  <c r="CL25" i="109"/>
  <c r="CK25" i="109"/>
  <c r="CJ25" i="109"/>
  <c r="CI25" i="109"/>
  <c r="CI22" i="109"/>
  <c r="CR22" i="109"/>
  <c r="CR28" i="109"/>
  <c r="C52" i="108"/>
  <c r="C51" i="108"/>
  <c r="C50" i="108"/>
  <c r="C46" i="108"/>
  <c r="C38" i="108"/>
  <c r="C36" i="108"/>
  <c r="C33" i="108"/>
  <c r="C34" i="108" s="1"/>
  <c r="C31" i="108"/>
  <c r="C32" i="108" s="1"/>
  <c r="C29" i="108"/>
  <c r="C30" i="108" s="1"/>
  <c r="C27" i="108"/>
  <c r="C28" i="108" s="1"/>
  <c r="D16" i="95" s="1"/>
  <c r="L126" i="95" s="1"/>
  <c r="C25" i="108"/>
  <c r="C26" i="108" s="1"/>
  <c r="C23" i="108"/>
  <c r="C24" i="108" s="1"/>
  <c r="D18" i="96" s="1"/>
  <c r="K18" i="96" s="1"/>
  <c r="M18" i="96" s="1"/>
  <c r="C21" i="108"/>
  <c r="C22" i="108" s="1"/>
  <c r="D27" i="113" s="1"/>
  <c r="C19" i="108"/>
  <c r="C20" i="108"/>
  <c r="C18" i="108"/>
  <c r="D28" i="113" s="1"/>
  <c r="C17" i="108"/>
  <c r="C15" i="108"/>
  <c r="C16" i="108"/>
  <c r="D30" i="113" s="1"/>
  <c r="C13" i="108"/>
  <c r="C14" i="108"/>
  <c r="E20" i="91" s="1"/>
  <c r="C11" i="108"/>
  <c r="C12" i="108" s="1"/>
  <c r="C15" i="92" s="1"/>
  <c r="AA18" i="92" s="1"/>
  <c r="AC18" i="92" s="1"/>
  <c r="C9" i="108"/>
  <c r="C7" i="108"/>
  <c r="C8" i="108" s="1"/>
  <c r="C6" i="108"/>
  <c r="C47" i="108"/>
  <c r="E14" i="91"/>
  <c r="L56" i="91" s="1"/>
  <c r="O56" i="91" s="1"/>
  <c r="L69" i="97"/>
  <c r="L70" i="97"/>
  <c r="N30" i="91"/>
  <c r="I70" i="97"/>
  <c r="B70" i="97"/>
  <c r="I20" i="97"/>
  <c r="L19" i="97"/>
  <c r="M20" i="94"/>
  <c r="M21" i="94"/>
  <c r="N17" i="91"/>
  <c r="N18" i="91"/>
  <c r="L79" i="97"/>
  <c r="L28" i="97"/>
  <c r="L16" i="96"/>
  <c r="B23" i="96"/>
  <c r="I23" i="96" s="1"/>
  <c r="G73" i="92"/>
  <c r="AJ69" i="92" s="1"/>
  <c r="E73" i="92"/>
  <c r="D73" i="92"/>
  <c r="X69" i="92" s="1"/>
  <c r="G72" i="92"/>
  <c r="AJ68" i="92" s="1"/>
  <c r="E72" i="92"/>
  <c r="AD68" i="92" s="1"/>
  <c r="D72" i="92"/>
  <c r="X68" i="92" s="1"/>
  <c r="E27" i="92"/>
  <c r="D27" i="92"/>
  <c r="V20" i="92" s="1"/>
  <c r="C27" i="92"/>
  <c r="P20" i="92" s="1"/>
  <c r="E26" i="92"/>
  <c r="AB19" i="92" s="1"/>
  <c r="D26" i="92"/>
  <c r="V19" i="92" s="1"/>
  <c r="C26" i="92"/>
  <c r="P19" i="92" s="1"/>
  <c r="B26" i="92"/>
  <c r="B62" i="92" s="1"/>
  <c r="B72" i="92" s="1"/>
  <c r="M19" i="92"/>
  <c r="U68" i="92" s="1"/>
  <c r="D17" i="91"/>
  <c r="C17" i="91"/>
  <c r="N12" i="91"/>
  <c r="N78" i="91"/>
  <c r="N77" i="91"/>
  <c r="N71" i="91"/>
  <c r="N68" i="91"/>
  <c r="N67" i="91"/>
  <c r="N66" i="91"/>
  <c r="N65" i="91"/>
  <c r="N64" i="91"/>
  <c r="N62" i="91"/>
  <c r="N61" i="91"/>
  <c r="N60" i="91"/>
  <c r="N59" i="91"/>
  <c r="N57" i="91"/>
  <c r="N56" i="91"/>
  <c r="N55" i="91"/>
  <c r="N24" i="91"/>
  <c r="N22" i="91"/>
  <c r="N21" i="91"/>
  <c r="N20" i="91"/>
  <c r="N19" i="91"/>
  <c r="N15" i="91"/>
  <c r="N14" i="91"/>
  <c r="N13" i="91"/>
  <c r="N10" i="91"/>
  <c r="N9" i="91"/>
  <c r="N8" i="91"/>
  <c r="H14" i="92"/>
  <c r="H14" i="94" s="1"/>
  <c r="H13" i="95" s="1"/>
  <c r="C14" i="92"/>
  <c r="D14" i="94" s="1"/>
  <c r="D13" i="95" s="1"/>
  <c r="B14" i="94"/>
  <c r="B13" i="95"/>
  <c r="B13" i="96"/>
  <c r="B13" i="97" s="1"/>
  <c r="I41" i="98"/>
  <c r="I84" i="98"/>
  <c r="G13" i="98"/>
  <c r="B95" i="97"/>
  <c r="I95" i="97"/>
  <c r="I42" i="97"/>
  <c r="G28" i="97"/>
  <c r="J40" i="95"/>
  <c r="J76" i="95"/>
  <c r="J112" i="95"/>
  <c r="J153" i="95"/>
  <c r="J196" i="95"/>
  <c r="H82" i="92"/>
  <c r="T125" i="106"/>
  <c r="C23" i="102"/>
  <c r="T124" i="106"/>
  <c r="U124" i="106"/>
  <c r="AQ300" i="106"/>
  <c r="AO300" i="106"/>
  <c r="AM300" i="106"/>
  <c r="AK300" i="106"/>
  <c r="AI300" i="106"/>
  <c r="AG300" i="106"/>
  <c r="AE300" i="106"/>
  <c r="AC300" i="106"/>
  <c r="AA300" i="106"/>
  <c r="Y300" i="106"/>
  <c r="W300" i="106"/>
  <c r="U300" i="106"/>
  <c r="S300" i="106"/>
  <c r="Q300" i="106"/>
  <c r="O300" i="106"/>
  <c r="M300" i="106"/>
  <c r="K300" i="106"/>
  <c r="I300" i="106"/>
  <c r="G300" i="106"/>
  <c r="E300" i="106"/>
  <c r="AQ299" i="106"/>
  <c r="AO299" i="106"/>
  <c r="AM299" i="106"/>
  <c r="AK299" i="106"/>
  <c r="AI299" i="106"/>
  <c r="AG299" i="106"/>
  <c r="AE299" i="106"/>
  <c r="AC299" i="106"/>
  <c r="AA299" i="106"/>
  <c r="Y299" i="106"/>
  <c r="W299" i="106"/>
  <c r="U299" i="106"/>
  <c r="S299" i="106"/>
  <c r="Q299" i="106"/>
  <c r="O299" i="106"/>
  <c r="M299" i="106"/>
  <c r="K299" i="106"/>
  <c r="I299" i="106"/>
  <c r="G299" i="106"/>
  <c r="E299" i="106"/>
  <c r="AQ298" i="106"/>
  <c r="AO298" i="106"/>
  <c r="AM298" i="106"/>
  <c r="AK298" i="106"/>
  <c r="AI298" i="106"/>
  <c r="AG298" i="106"/>
  <c r="AE298" i="106"/>
  <c r="AC298" i="106"/>
  <c r="AA298" i="106"/>
  <c r="Y298" i="106"/>
  <c r="W298" i="106"/>
  <c r="U298" i="106"/>
  <c r="S298" i="106"/>
  <c r="Q298" i="106"/>
  <c r="O298" i="106"/>
  <c r="M298" i="106"/>
  <c r="K298" i="106"/>
  <c r="I298" i="106"/>
  <c r="G298" i="106"/>
  <c r="E298" i="106"/>
  <c r="AQ297" i="106"/>
  <c r="AO297" i="106"/>
  <c r="AM297" i="106"/>
  <c r="AK297" i="106"/>
  <c r="AI297" i="106"/>
  <c r="AG297" i="106"/>
  <c r="AE297" i="106"/>
  <c r="AC297" i="106"/>
  <c r="AA297" i="106"/>
  <c r="Y297" i="106"/>
  <c r="W297" i="106"/>
  <c r="U297" i="106"/>
  <c r="S297" i="106"/>
  <c r="Q297" i="106"/>
  <c r="O297" i="106"/>
  <c r="M297" i="106"/>
  <c r="K297" i="106"/>
  <c r="I297" i="106"/>
  <c r="G297" i="106"/>
  <c r="E297" i="106"/>
  <c r="AQ296" i="106"/>
  <c r="AO296" i="106"/>
  <c r="AM296" i="106"/>
  <c r="AK296" i="106"/>
  <c r="AI296" i="106"/>
  <c r="AG296" i="106"/>
  <c r="AE296" i="106"/>
  <c r="AC296" i="106"/>
  <c r="AA296" i="106"/>
  <c r="Y296" i="106"/>
  <c r="W296" i="106"/>
  <c r="U296" i="106"/>
  <c r="S296" i="106"/>
  <c r="Q296" i="106"/>
  <c r="O296" i="106"/>
  <c r="M296" i="106"/>
  <c r="K296" i="106"/>
  <c r="I296" i="106"/>
  <c r="G296" i="106"/>
  <c r="E296" i="106"/>
  <c r="AQ295" i="106"/>
  <c r="AO295" i="106"/>
  <c r="AM295" i="106"/>
  <c r="AK295" i="106"/>
  <c r="AI295" i="106"/>
  <c r="AG295" i="106"/>
  <c r="AE295" i="106"/>
  <c r="AC295" i="106"/>
  <c r="AA295" i="106"/>
  <c r="Y295" i="106"/>
  <c r="W295" i="106"/>
  <c r="U295" i="106"/>
  <c r="S295" i="106"/>
  <c r="Q295" i="106"/>
  <c r="O295" i="106"/>
  <c r="M295" i="106"/>
  <c r="K295" i="106"/>
  <c r="I295" i="106"/>
  <c r="G295" i="106"/>
  <c r="E295" i="106"/>
  <c r="AQ294" i="106"/>
  <c r="AO294" i="106"/>
  <c r="AM294" i="106"/>
  <c r="AK294" i="106"/>
  <c r="AI294" i="106"/>
  <c r="AG294" i="106"/>
  <c r="AE294" i="106"/>
  <c r="AC294" i="106"/>
  <c r="AA294" i="106"/>
  <c r="Y294" i="106"/>
  <c r="W294" i="106"/>
  <c r="U294" i="106"/>
  <c r="S294" i="106"/>
  <c r="Q294" i="106"/>
  <c r="O294" i="106"/>
  <c r="M294" i="106"/>
  <c r="K294" i="106"/>
  <c r="I294" i="106"/>
  <c r="G294" i="106"/>
  <c r="E294" i="106"/>
  <c r="AQ293" i="106"/>
  <c r="AO293" i="106"/>
  <c r="AM293" i="106"/>
  <c r="AK293" i="106"/>
  <c r="AI293" i="106"/>
  <c r="AG293" i="106"/>
  <c r="AE293" i="106"/>
  <c r="AC293" i="106"/>
  <c r="AA293" i="106"/>
  <c r="Y293" i="106"/>
  <c r="W293" i="106"/>
  <c r="U293" i="106"/>
  <c r="S293" i="106"/>
  <c r="Q293" i="106"/>
  <c r="O293" i="106"/>
  <c r="M293" i="106"/>
  <c r="K293" i="106"/>
  <c r="I293" i="106"/>
  <c r="G293" i="106"/>
  <c r="E293" i="106"/>
  <c r="AQ292" i="106"/>
  <c r="AO292" i="106"/>
  <c r="AM292" i="106"/>
  <c r="AK292" i="106"/>
  <c r="AI292" i="106"/>
  <c r="AG292" i="106"/>
  <c r="AE292" i="106"/>
  <c r="AC292" i="106"/>
  <c r="AA292" i="106"/>
  <c r="Y292" i="106"/>
  <c r="W292" i="106"/>
  <c r="U292" i="106"/>
  <c r="S292" i="106"/>
  <c r="Q292" i="106"/>
  <c r="O292" i="106"/>
  <c r="M292" i="106"/>
  <c r="K292" i="106"/>
  <c r="I292" i="106"/>
  <c r="G292" i="106"/>
  <c r="E292" i="106"/>
  <c r="AQ291" i="106"/>
  <c r="AO291" i="106"/>
  <c r="AM291" i="106"/>
  <c r="AK291" i="106"/>
  <c r="AI291" i="106"/>
  <c r="AG291" i="106"/>
  <c r="AE291" i="106"/>
  <c r="AC291" i="106"/>
  <c r="AA291" i="106"/>
  <c r="Y291" i="106"/>
  <c r="W291" i="106"/>
  <c r="U291" i="106"/>
  <c r="S291" i="106"/>
  <c r="Q291" i="106"/>
  <c r="O291" i="106"/>
  <c r="M291" i="106"/>
  <c r="K291" i="106"/>
  <c r="I291" i="106"/>
  <c r="G291" i="106"/>
  <c r="E291" i="106"/>
  <c r="AQ290" i="106"/>
  <c r="AO290" i="106"/>
  <c r="AM290" i="106"/>
  <c r="AK290" i="106"/>
  <c r="AI290" i="106"/>
  <c r="AG290" i="106"/>
  <c r="AE290" i="106"/>
  <c r="AC290" i="106"/>
  <c r="AA290" i="106"/>
  <c r="Y290" i="106"/>
  <c r="W290" i="106"/>
  <c r="U290" i="106"/>
  <c r="S290" i="106"/>
  <c r="Q290" i="106"/>
  <c r="O290" i="106"/>
  <c r="M290" i="106"/>
  <c r="K290" i="106"/>
  <c r="I290" i="106"/>
  <c r="G290" i="106"/>
  <c r="E290" i="106"/>
  <c r="AQ289" i="106"/>
  <c r="AO289" i="106"/>
  <c r="AM289" i="106"/>
  <c r="AK289" i="106"/>
  <c r="AI289" i="106"/>
  <c r="AG289" i="106"/>
  <c r="AE289" i="106"/>
  <c r="AC289" i="106"/>
  <c r="AA289" i="106"/>
  <c r="Y289" i="106"/>
  <c r="W289" i="106"/>
  <c r="U289" i="106"/>
  <c r="S289" i="106"/>
  <c r="Q289" i="106"/>
  <c r="O289" i="106"/>
  <c r="M289" i="106"/>
  <c r="K289" i="106"/>
  <c r="I289" i="106"/>
  <c r="G289" i="106"/>
  <c r="E289" i="106"/>
  <c r="AQ288" i="106"/>
  <c r="AO288" i="106"/>
  <c r="AM288" i="106"/>
  <c r="AK288" i="106"/>
  <c r="AI288" i="106"/>
  <c r="AG288" i="106"/>
  <c r="AE288" i="106"/>
  <c r="AC288" i="106"/>
  <c r="AA288" i="106"/>
  <c r="Y288" i="106"/>
  <c r="W288" i="106"/>
  <c r="U288" i="106"/>
  <c r="S288" i="106"/>
  <c r="Q288" i="106"/>
  <c r="O288" i="106"/>
  <c r="M288" i="106"/>
  <c r="K288" i="106"/>
  <c r="I288" i="106"/>
  <c r="G288" i="106"/>
  <c r="E288" i="106"/>
  <c r="AQ287" i="106"/>
  <c r="AO287" i="106"/>
  <c r="AM287" i="106"/>
  <c r="AK287" i="106"/>
  <c r="AI287" i="106"/>
  <c r="AG287" i="106"/>
  <c r="AE287" i="106"/>
  <c r="AC287" i="106"/>
  <c r="AA287" i="106"/>
  <c r="Y287" i="106"/>
  <c r="W287" i="106"/>
  <c r="U287" i="106"/>
  <c r="S287" i="106"/>
  <c r="Q287" i="106"/>
  <c r="O287" i="106"/>
  <c r="M287" i="106"/>
  <c r="K287" i="106"/>
  <c r="I287" i="106"/>
  <c r="G287" i="106"/>
  <c r="E287" i="106"/>
  <c r="AQ286" i="106"/>
  <c r="AO286" i="106"/>
  <c r="AM286" i="106"/>
  <c r="AK286" i="106"/>
  <c r="AI286" i="106"/>
  <c r="AG286" i="106"/>
  <c r="AE286" i="106"/>
  <c r="AC286" i="106"/>
  <c r="AA286" i="106"/>
  <c r="Y286" i="106"/>
  <c r="W286" i="106"/>
  <c r="U286" i="106"/>
  <c r="S286" i="106"/>
  <c r="Q286" i="106"/>
  <c r="O286" i="106"/>
  <c r="M286" i="106"/>
  <c r="K286" i="106"/>
  <c r="I286" i="106"/>
  <c r="G286" i="106"/>
  <c r="E286" i="106"/>
  <c r="AQ285" i="106"/>
  <c r="AO285" i="106"/>
  <c r="AM285" i="106"/>
  <c r="AK285" i="106"/>
  <c r="AI285" i="106"/>
  <c r="AG285" i="106"/>
  <c r="AE285" i="106"/>
  <c r="AC285" i="106"/>
  <c r="AA285" i="106"/>
  <c r="Y285" i="106"/>
  <c r="W285" i="106"/>
  <c r="U285" i="106"/>
  <c r="S285" i="106"/>
  <c r="Q285" i="106"/>
  <c r="O285" i="106"/>
  <c r="M285" i="106"/>
  <c r="K285" i="106"/>
  <c r="I285" i="106"/>
  <c r="G285" i="106"/>
  <c r="E285" i="106"/>
  <c r="AQ284" i="106"/>
  <c r="AO284" i="106"/>
  <c r="AM284" i="106"/>
  <c r="AK284" i="106"/>
  <c r="AI284" i="106"/>
  <c r="AG284" i="106"/>
  <c r="AE284" i="106"/>
  <c r="AC284" i="106"/>
  <c r="AA284" i="106"/>
  <c r="Y284" i="106"/>
  <c r="W284" i="106"/>
  <c r="U284" i="106"/>
  <c r="S284" i="106"/>
  <c r="Q284" i="106"/>
  <c r="O284" i="106"/>
  <c r="M284" i="106"/>
  <c r="K284" i="106"/>
  <c r="I284" i="106"/>
  <c r="G284" i="106"/>
  <c r="E284" i="106"/>
  <c r="AQ283" i="106"/>
  <c r="AO283" i="106"/>
  <c r="AM283" i="106"/>
  <c r="AK283" i="106"/>
  <c r="AI283" i="106"/>
  <c r="AG283" i="106"/>
  <c r="AE283" i="106"/>
  <c r="AC283" i="106"/>
  <c r="AA283" i="106"/>
  <c r="Y283" i="106"/>
  <c r="W283" i="106"/>
  <c r="U283" i="106"/>
  <c r="S283" i="106"/>
  <c r="Q283" i="106"/>
  <c r="O283" i="106"/>
  <c r="M283" i="106"/>
  <c r="K283" i="106"/>
  <c r="I283" i="106"/>
  <c r="G283" i="106"/>
  <c r="E283" i="106"/>
  <c r="AQ282" i="106"/>
  <c r="AO282" i="106"/>
  <c r="AM282" i="106"/>
  <c r="AK282" i="106"/>
  <c r="AI282" i="106"/>
  <c r="AG282" i="106"/>
  <c r="AE282" i="106"/>
  <c r="AC282" i="106"/>
  <c r="AA282" i="106"/>
  <c r="Y282" i="106"/>
  <c r="W282" i="106"/>
  <c r="U282" i="106"/>
  <c r="S282" i="106"/>
  <c r="Q282" i="106"/>
  <c r="O282" i="106"/>
  <c r="M282" i="106"/>
  <c r="K282" i="106"/>
  <c r="I282" i="106"/>
  <c r="G282" i="106"/>
  <c r="E282" i="106"/>
  <c r="AQ281" i="106"/>
  <c r="AO281" i="106"/>
  <c r="AM281" i="106"/>
  <c r="AK281" i="106"/>
  <c r="AI281" i="106"/>
  <c r="AG281" i="106"/>
  <c r="AE281" i="106"/>
  <c r="AC281" i="106"/>
  <c r="AA281" i="106"/>
  <c r="Y281" i="106"/>
  <c r="W281" i="106"/>
  <c r="U281" i="106"/>
  <c r="S281" i="106"/>
  <c r="Q281" i="106"/>
  <c r="O281" i="106"/>
  <c r="M281" i="106"/>
  <c r="K281" i="106"/>
  <c r="I281" i="106"/>
  <c r="G281" i="106"/>
  <c r="E281" i="106"/>
  <c r="AQ280" i="106"/>
  <c r="AO280" i="106"/>
  <c r="AM280" i="106"/>
  <c r="AK280" i="106"/>
  <c r="AI280" i="106"/>
  <c r="AG280" i="106"/>
  <c r="AE280" i="106"/>
  <c r="AC280" i="106"/>
  <c r="AA280" i="106"/>
  <c r="Y280" i="106"/>
  <c r="W280" i="106"/>
  <c r="U280" i="106"/>
  <c r="S280" i="106"/>
  <c r="Q280" i="106"/>
  <c r="O280" i="106"/>
  <c r="M280" i="106"/>
  <c r="K280" i="106"/>
  <c r="I280" i="106"/>
  <c r="G280" i="106"/>
  <c r="E280" i="106"/>
  <c r="AQ279" i="106"/>
  <c r="AO279" i="106"/>
  <c r="AM279" i="106"/>
  <c r="AK279" i="106"/>
  <c r="AI279" i="106"/>
  <c r="AG279" i="106"/>
  <c r="AE279" i="106"/>
  <c r="AC279" i="106"/>
  <c r="AA279" i="106"/>
  <c r="Y279" i="106"/>
  <c r="W279" i="106"/>
  <c r="U279" i="106"/>
  <c r="S279" i="106"/>
  <c r="Q279" i="106"/>
  <c r="O279" i="106"/>
  <c r="M279" i="106"/>
  <c r="K279" i="106"/>
  <c r="I279" i="106"/>
  <c r="G279" i="106"/>
  <c r="E279" i="106"/>
  <c r="AQ278" i="106"/>
  <c r="AO278" i="106"/>
  <c r="AM278" i="106"/>
  <c r="AK278" i="106"/>
  <c r="AI278" i="106"/>
  <c r="AG278" i="106"/>
  <c r="AE278" i="106"/>
  <c r="AC278" i="106"/>
  <c r="AA278" i="106"/>
  <c r="Y278" i="106"/>
  <c r="W278" i="106"/>
  <c r="U278" i="106"/>
  <c r="S278" i="106"/>
  <c r="Q278" i="106"/>
  <c r="O278" i="106"/>
  <c r="M278" i="106"/>
  <c r="K278" i="106"/>
  <c r="I278" i="106"/>
  <c r="G278" i="106"/>
  <c r="E278" i="106"/>
  <c r="AQ277" i="106"/>
  <c r="AO277" i="106"/>
  <c r="AM277" i="106"/>
  <c r="AK277" i="106"/>
  <c r="AI277" i="106"/>
  <c r="AG277" i="106"/>
  <c r="AE277" i="106"/>
  <c r="AC277" i="106"/>
  <c r="AA277" i="106"/>
  <c r="Y277" i="106"/>
  <c r="W277" i="106"/>
  <c r="U277" i="106"/>
  <c r="S277" i="106"/>
  <c r="Q277" i="106"/>
  <c r="O277" i="106"/>
  <c r="M277" i="106"/>
  <c r="K277" i="106"/>
  <c r="I277" i="106"/>
  <c r="G277" i="106"/>
  <c r="E277" i="106"/>
  <c r="AQ276" i="106"/>
  <c r="AO276" i="106"/>
  <c r="AM276" i="106"/>
  <c r="AK276" i="106"/>
  <c r="AI276" i="106"/>
  <c r="AG276" i="106"/>
  <c r="AE276" i="106"/>
  <c r="AC276" i="106"/>
  <c r="AA276" i="106"/>
  <c r="Y276" i="106"/>
  <c r="W276" i="106"/>
  <c r="U276" i="106"/>
  <c r="S276" i="106"/>
  <c r="Q276" i="106"/>
  <c r="O276" i="106"/>
  <c r="M276" i="106"/>
  <c r="K276" i="106"/>
  <c r="I276" i="106"/>
  <c r="G276" i="106"/>
  <c r="E276" i="106"/>
  <c r="AQ275" i="106"/>
  <c r="AO275" i="106"/>
  <c r="AM275" i="106"/>
  <c r="AK275" i="106"/>
  <c r="AI275" i="106"/>
  <c r="AG275" i="106"/>
  <c r="AE275" i="106"/>
  <c r="AC275" i="106"/>
  <c r="AA275" i="106"/>
  <c r="Y275" i="106"/>
  <c r="W275" i="106"/>
  <c r="U275" i="106"/>
  <c r="S275" i="106"/>
  <c r="Q275" i="106"/>
  <c r="O275" i="106"/>
  <c r="M275" i="106"/>
  <c r="K275" i="106"/>
  <c r="I275" i="106"/>
  <c r="G275" i="106"/>
  <c r="E275" i="106"/>
  <c r="AQ274" i="106"/>
  <c r="AO274" i="106"/>
  <c r="AM274" i="106"/>
  <c r="AK274" i="106"/>
  <c r="AI274" i="106"/>
  <c r="AG274" i="106"/>
  <c r="AE274" i="106"/>
  <c r="AC274" i="106"/>
  <c r="AA274" i="106"/>
  <c r="Y274" i="106"/>
  <c r="W274" i="106"/>
  <c r="U274" i="106"/>
  <c r="S274" i="106"/>
  <c r="Q274" i="106"/>
  <c r="O274" i="106"/>
  <c r="M274" i="106"/>
  <c r="K274" i="106"/>
  <c r="I274" i="106"/>
  <c r="G274" i="106"/>
  <c r="E274" i="106"/>
  <c r="AQ273" i="106"/>
  <c r="AO273" i="106"/>
  <c r="AM273" i="106"/>
  <c r="AK273" i="106"/>
  <c r="AI273" i="106"/>
  <c r="AG273" i="106"/>
  <c r="AE273" i="106"/>
  <c r="AC273" i="106"/>
  <c r="AA273" i="106"/>
  <c r="Y273" i="106"/>
  <c r="W273" i="106"/>
  <c r="U273" i="106"/>
  <c r="S273" i="106"/>
  <c r="Q273" i="106"/>
  <c r="O273" i="106"/>
  <c r="M273" i="106"/>
  <c r="K273" i="106"/>
  <c r="I273" i="106"/>
  <c r="G273" i="106"/>
  <c r="E273" i="106"/>
  <c r="AQ272" i="106"/>
  <c r="AO272" i="106"/>
  <c r="AM272" i="106"/>
  <c r="AK272" i="106"/>
  <c r="AI272" i="106"/>
  <c r="AG272" i="106"/>
  <c r="AE272" i="106"/>
  <c r="AC272" i="106"/>
  <c r="AA272" i="106"/>
  <c r="Y272" i="106"/>
  <c r="W272" i="106"/>
  <c r="U272" i="106"/>
  <c r="S272" i="106"/>
  <c r="Q272" i="106"/>
  <c r="O272" i="106"/>
  <c r="M272" i="106"/>
  <c r="K272" i="106"/>
  <c r="I272" i="106"/>
  <c r="G272" i="106"/>
  <c r="E272" i="106"/>
  <c r="AQ271" i="106"/>
  <c r="AO271" i="106"/>
  <c r="AM271" i="106"/>
  <c r="AK271" i="106"/>
  <c r="AI271" i="106"/>
  <c r="AG271" i="106"/>
  <c r="AE271" i="106"/>
  <c r="AC271" i="106"/>
  <c r="AA271" i="106"/>
  <c r="Y271" i="106"/>
  <c r="W271" i="106"/>
  <c r="U271" i="106"/>
  <c r="S271" i="106"/>
  <c r="Q271" i="106"/>
  <c r="O271" i="106"/>
  <c r="M271" i="106"/>
  <c r="K271" i="106"/>
  <c r="I271" i="106"/>
  <c r="G271" i="106"/>
  <c r="E271" i="106"/>
  <c r="AQ270" i="106"/>
  <c r="AO270" i="106"/>
  <c r="AM270" i="106"/>
  <c r="AK270" i="106"/>
  <c r="AI270" i="106"/>
  <c r="AG270" i="106"/>
  <c r="AE270" i="106"/>
  <c r="AC270" i="106"/>
  <c r="AA270" i="106"/>
  <c r="Y270" i="106"/>
  <c r="W270" i="106"/>
  <c r="U270" i="106"/>
  <c r="S270" i="106"/>
  <c r="Q270" i="106"/>
  <c r="O270" i="106"/>
  <c r="M270" i="106"/>
  <c r="K270" i="106"/>
  <c r="I270" i="106"/>
  <c r="G270" i="106"/>
  <c r="E270" i="106"/>
  <c r="AQ269" i="106"/>
  <c r="AO269" i="106"/>
  <c r="AM269" i="106"/>
  <c r="AK269" i="106"/>
  <c r="AI269" i="106"/>
  <c r="AG269" i="106"/>
  <c r="AE269" i="106"/>
  <c r="AC269" i="106"/>
  <c r="AA269" i="106"/>
  <c r="Y269" i="106"/>
  <c r="W269" i="106"/>
  <c r="U269" i="106"/>
  <c r="S269" i="106"/>
  <c r="Q269" i="106"/>
  <c r="O269" i="106"/>
  <c r="M269" i="106"/>
  <c r="K269" i="106"/>
  <c r="I269" i="106"/>
  <c r="G269" i="106"/>
  <c r="E269" i="106"/>
  <c r="AQ268" i="106"/>
  <c r="AO268" i="106"/>
  <c r="AM268" i="106"/>
  <c r="AK268" i="106"/>
  <c r="AI268" i="106"/>
  <c r="AG268" i="106"/>
  <c r="AE268" i="106"/>
  <c r="AC268" i="106"/>
  <c r="AA268" i="106"/>
  <c r="Y268" i="106"/>
  <c r="W268" i="106"/>
  <c r="U268" i="106"/>
  <c r="S268" i="106"/>
  <c r="Q268" i="106"/>
  <c r="O268" i="106"/>
  <c r="M268" i="106"/>
  <c r="K268" i="106"/>
  <c r="I268" i="106"/>
  <c r="G268" i="106"/>
  <c r="E268" i="106"/>
  <c r="AQ267" i="106"/>
  <c r="AO267" i="106"/>
  <c r="AM267" i="106"/>
  <c r="AK267" i="106"/>
  <c r="AI267" i="106"/>
  <c r="AG267" i="106"/>
  <c r="AE267" i="106"/>
  <c r="AC267" i="106"/>
  <c r="AA267" i="106"/>
  <c r="Y267" i="106"/>
  <c r="W267" i="106"/>
  <c r="U267" i="106"/>
  <c r="S267" i="106"/>
  <c r="Q267" i="106"/>
  <c r="O267" i="106"/>
  <c r="M267" i="106"/>
  <c r="K267" i="106"/>
  <c r="I267" i="106"/>
  <c r="G267" i="106"/>
  <c r="E267" i="106"/>
  <c r="AQ266" i="106"/>
  <c r="AO266" i="106"/>
  <c r="AM266" i="106"/>
  <c r="AK266" i="106"/>
  <c r="AI266" i="106"/>
  <c r="AG266" i="106"/>
  <c r="AE266" i="106"/>
  <c r="AC266" i="106"/>
  <c r="AA266" i="106"/>
  <c r="Y266" i="106"/>
  <c r="W266" i="106"/>
  <c r="U266" i="106"/>
  <c r="S266" i="106"/>
  <c r="Q266" i="106"/>
  <c r="O266" i="106"/>
  <c r="M266" i="106"/>
  <c r="K266" i="106"/>
  <c r="I266" i="106"/>
  <c r="G266" i="106"/>
  <c r="E266" i="106"/>
  <c r="AQ265" i="106"/>
  <c r="AO265" i="106"/>
  <c r="AM265" i="106"/>
  <c r="AK265" i="106"/>
  <c r="AI265" i="106"/>
  <c r="AG265" i="106"/>
  <c r="AE265" i="106"/>
  <c r="AC265" i="106"/>
  <c r="AA265" i="106"/>
  <c r="Y265" i="106"/>
  <c r="W265" i="106"/>
  <c r="U265" i="106"/>
  <c r="S265" i="106"/>
  <c r="Q265" i="106"/>
  <c r="O265" i="106"/>
  <c r="M265" i="106"/>
  <c r="K265" i="106"/>
  <c r="I265" i="106"/>
  <c r="G265" i="106"/>
  <c r="E265" i="106"/>
  <c r="AQ264" i="106"/>
  <c r="AO264" i="106"/>
  <c r="AM264" i="106"/>
  <c r="AK264" i="106"/>
  <c r="AI264" i="106"/>
  <c r="AG264" i="106"/>
  <c r="AE264" i="106"/>
  <c r="AC264" i="106"/>
  <c r="AA264" i="106"/>
  <c r="Y264" i="106"/>
  <c r="W264" i="106"/>
  <c r="U264" i="106"/>
  <c r="S264" i="106"/>
  <c r="Q264" i="106"/>
  <c r="O264" i="106"/>
  <c r="M264" i="106"/>
  <c r="K264" i="106"/>
  <c r="I264" i="106"/>
  <c r="G264" i="106"/>
  <c r="E264" i="106"/>
  <c r="AQ263" i="106"/>
  <c r="AO263" i="106"/>
  <c r="AM263" i="106"/>
  <c r="AK263" i="106"/>
  <c r="AI263" i="106"/>
  <c r="AG263" i="106"/>
  <c r="AE263" i="106"/>
  <c r="AC263" i="106"/>
  <c r="AA263" i="106"/>
  <c r="Y263" i="106"/>
  <c r="W263" i="106"/>
  <c r="U263" i="106"/>
  <c r="S263" i="106"/>
  <c r="Q263" i="106"/>
  <c r="O263" i="106"/>
  <c r="M263" i="106"/>
  <c r="K263" i="106"/>
  <c r="I263" i="106"/>
  <c r="G263" i="106"/>
  <c r="E263" i="106"/>
  <c r="AQ262" i="106"/>
  <c r="AO262" i="106"/>
  <c r="AM262" i="106"/>
  <c r="AK262" i="106"/>
  <c r="AI262" i="106"/>
  <c r="AG262" i="106"/>
  <c r="AE262" i="106"/>
  <c r="AC262" i="106"/>
  <c r="AA262" i="106"/>
  <c r="Y262" i="106"/>
  <c r="W262" i="106"/>
  <c r="U262" i="106"/>
  <c r="S262" i="106"/>
  <c r="Q262" i="106"/>
  <c r="O262" i="106"/>
  <c r="M262" i="106"/>
  <c r="K262" i="106"/>
  <c r="I262" i="106"/>
  <c r="G262" i="106"/>
  <c r="E262" i="106"/>
  <c r="AQ261" i="106"/>
  <c r="AO261" i="106"/>
  <c r="AM261" i="106"/>
  <c r="AK261" i="106"/>
  <c r="AI261" i="106"/>
  <c r="AG261" i="106"/>
  <c r="AE261" i="106"/>
  <c r="AC261" i="106"/>
  <c r="AA261" i="106"/>
  <c r="Y261" i="106"/>
  <c r="W261" i="106"/>
  <c r="U261" i="106"/>
  <c r="S261" i="106"/>
  <c r="Q261" i="106"/>
  <c r="O261" i="106"/>
  <c r="M261" i="106"/>
  <c r="K261" i="106"/>
  <c r="I261" i="106"/>
  <c r="G261" i="106"/>
  <c r="E261" i="106"/>
  <c r="AQ260" i="106"/>
  <c r="AO260" i="106"/>
  <c r="AM260" i="106"/>
  <c r="AK260" i="106"/>
  <c r="AI260" i="106"/>
  <c r="AG260" i="106"/>
  <c r="AE260" i="106"/>
  <c r="AC260" i="106"/>
  <c r="AA260" i="106"/>
  <c r="Y260" i="106"/>
  <c r="W260" i="106"/>
  <c r="U260" i="106"/>
  <c r="S260" i="106"/>
  <c r="Q260" i="106"/>
  <c r="O260" i="106"/>
  <c r="M260" i="106"/>
  <c r="K260" i="106"/>
  <c r="I260" i="106"/>
  <c r="G260" i="106"/>
  <c r="E260" i="106"/>
  <c r="AQ259" i="106"/>
  <c r="AO259" i="106"/>
  <c r="AM259" i="106"/>
  <c r="AK259" i="106"/>
  <c r="AI259" i="106"/>
  <c r="AG259" i="106"/>
  <c r="AE259" i="106"/>
  <c r="AC259" i="106"/>
  <c r="AA259" i="106"/>
  <c r="Y259" i="106"/>
  <c r="W259" i="106"/>
  <c r="U259" i="106"/>
  <c r="S259" i="106"/>
  <c r="Q259" i="106"/>
  <c r="O259" i="106"/>
  <c r="M259" i="106"/>
  <c r="K259" i="106"/>
  <c r="I259" i="106"/>
  <c r="G259" i="106"/>
  <c r="E259" i="106"/>
  <c r="AQ258" i="106"/>
  <c r="AO258" i="106"/>
  <c r="AM258" i="106"/>
  <c r="AK258" i="106"/>
  <c r="AI258" i="106"/>
  <c r="AG258" i="106"/>
  <c r="AE258" i="106"/>
  <c r="AC258" i="106"/>
  <c r="AA258" i="106"/>
  <c r="Y258" i="106"/>
  <c r="W258" i="106"/>
  <c r="U258" i="106"/>
  <c r="S258" i="106"/>
  <c r="Q258" i="106"/>
  <c r="O258" i="106"/>
  <c r="M258" i="106"/>
  <c r="K258" i="106"/>
  <c r="I258" i="106"/>
  <c r="G258" i="106"/>
  <c r="E258" i="106"/>
  <c r="AQ257" i="106"/>
  <c r="AO257" i="106"/>
  <c r="AM257" i="106"/>
  <c r="AK257" i="106"/>
  <c r="AI257" i="106"/>
  <c r="AG257" i="106"/>
  <c r="AE257" i="106"/>
  <c r="AC257" i="106"/>
  <c r="AA257" i="106"/>
  <c r="Y257" i="106"/>
  <c r="W257" i="106"/>
  <c r="U257" i="106"/>
  <c r="S257" i="106"/>
  <c r="Q257" i="106"/>
  <c r="O257" i="106"/>
  <c r="M257" i="106"/>
  <c r="K257" i="106"/>
  <c r="I257" i="106"/>
  <c r="G257" i="106"/>
  <c r="E257" i="106"/>
  <c r="AQ256" i="106"/>
  <c r="AO256" i="106"/>
  <c r="AM256" i="106"/>
  <c r="AK256" i="106"/>
  <c r="AI256" i="106"/>
  <c r="AG256" i="106"/>
  <c r="AE256" i="106"/>
  <c r="AC256" i="106"/>
  <c r="AA256" i="106"/>
  <c r="Y256" i="106"/>
  <c r="W256" i="106"/>
  <c r="U256" i="106"/>
  <c r="S256" i="106"/>
  <c r="Q256" i="106"/>
  <c r="O256" i="106"/>
  <c r="M256" i="106"/>
  <c r="K256" i="106"/>
  <c r="I256" i="106"/>
  <c r="G256" i="106"/>
  <c r="E256" i="106"/>
  <c r="AQ255" i="106"/>
  <c r="AO255" i="106"/>
  <c r="AM255" i="106"/>
  <c r="AK255" i="106"/>
  <c r="AI255" i="106"/>
  <c r="AG255" i="106"/>
  <c r="AE255" i="106"/>
  <c r="AC255" i="106"/>
  <c r="AA255" i="106"/>
  <c r="Y255" i="106"/>
  <c r="W255" i="106"/>
  <c r="U255" i="106"/>
  <c r="S255" i="106"/>
  <c r="Q255" i="106"/>
  <c r="O255" i="106"/>
  <c r="M255" i="106"/>
  <c r="K255" i="106"/>
  <c r="I255" i="106"/>
  <c r="G255" i="106"/>
  <c r="E255" i="106"/>
  <c r="AQ254" i="106"/>
  <c r="AO254" i="106"/>
  <c r="AM254" i="106"/>
  <c r="AK254" i="106"/>
  <c r="AI254" i="106"/>
  <c r="AG254" i="106"/>
  <c r="AE254" i="106"/>
  <c r="AC254" i="106"/>
  <c r="AA254" i="106"/>
  <c r="Y254" i="106"/>
  <c r="W254" i="106"/>
  <c r="U254" i="106"/>
  <c r="S254" i="106"/>
  <c r="Q254" i="106"/>
  <c r="O254" i="106"/>
  <c r="M254" i="106"/>
  <c r="K254" i="106"/>
  <c r="I254" i="106"/>
  <c r="G254" i="106"/>
  <c r="E254" i="106"/>
  <c r="AQ253" i="106"/>
  <c r="AO253" i="106"/>
  <c r="AM253" i="106"/>
  <c r="AK253" i="106"/>
  <c r="AI253" i="106"/>
  <c r="AG253" i="106"/>
  <c r="AE253" i="106"/>
  <c r="AC253" i="106"/>
  <c r="AA253" i="106"/>
  <c r="Y253" i="106"/>
  <c r="W253" i="106"/>
  <c r="U253" i="106"/>
  <c r="S253" i="106"/>
  <c r="Q253" i="106"/>
  <c r="O253" i="106"/>
  <c r="M253" i="106"/>
  <c r="K253" i="106"/>
  <c r="I253" i="106"/>
  <c r="G253" i="106"/>
  <c r="E253" i="106"/>
  <c r="AQ252" i="106"/>
  <c r="AO252" i="106"/>
  <c r="AM252" i="106"/>
  <c r="AK252" i="106"/>
  <c r="AI252" i="106"/>
  <c r="AG252" i="106"/>
  <c r="AE252" i="106"/>
  <c r="AC252" i="106"/>
  <c r="AA252" i="106"/>
  <c r="Y252" i="106"/>
  <c r="W252" i="106"/>
  <c r="U252" i="106"/>
  <c r="S252" i="106"/>
  <c r="Q252" i="106"/>
  <c r="O252" i="106"/>
  <c r="M252" i="106"/>
  <c r="K252" i="106"/>
  <c r="I252" i="106"/>
  <c r="G252" i="106"/>
  <c r="E252" i="106"/>
  <c r="AQ251" i="106"/>
  <c r="AO251" i="106"/>
  <c r="AM251" i="106"/>
  <c r="AK251" i="106"/>
  <c r="AI251" i="106"/>
  <c r="AG251" i="106"/>
  <c r="AE251" i="106"/>
  <c r="AC251" i="106"/>
  <c r="AA251" i="106"/>
  <c r="Y251" i="106"/>
  <c r="W251" i="106"/>
  <c r="U251" i="106"/>
  <c r="S251" i="106"/>
  <c r="Q251" i="106"/>
  <c r="O251" i="106"/>
  <c r="M251" i="106"/>
  <c r="K251" i="106"/>
  <c r="I251" i="106"/>
  <c r="G251" i="106"/>
  <c r="E251" i="106"/>
  <c r="AQ250" i="106"/>
  <c r="AO250" i="106"/>
  <c r="AM250" i="106"/>
  <c r="AK250" i="106"/>
  <c r="AI250" i="106"/>
  <c r="AG250" i="106"/>
  <c r="AE250" i="106"/>
  <c r="AC250" i="106"/>
  <c r="AA250" i="106"/>
  <c r="Y250" i="106"/>
  <c r="W250" i="106"/>
  <c r="U250" i="106"/>
  <c r="S250" i="106"/>
  <c r="Q250" i="106"/>
  <c r="O250" i="106"/>
  <c r="M250" i="106"/>
  <c r="K250" i="106"/>
  <c r="I250" i="106"/>
  <c r="G250" i="106"/>
  <c r="E250" i="106"/>
  <c r="AQ249" i="106"/>
  <c r="AO249" i="106"/>
  <c r="AM249" i="106"/>
  <c r="AK249" i="106"/>
  <c r="AI249" i="106"/>
  <c r="AG249" i="106"/>
  <c r="AE249" i="106"/>
  <c r="AC249" i="106"/>
  <c r="AA249" i="106"/>
  <c r="Y249" i="106"/>
  <c r="W249" i="106"/>
  <c r="U249" i="106"/>
  <c r="S249" i="106"/>
  <c r="Q249" i="106"/>
  <c r="O249" i="106"/>
  <c r="M249" i="106"/>
  <c r="K249" i="106"/>
  <c r="I249" i="106"/>
  <c r="G249" i="106"/>
  <c r="E249" i="106"/>
  <c r="AQ248" i="106"/>
  <c r="AO248" i="106"/>
  <c r="AM248" i="106"/>
  <c r="AK248" i="106"/>
  <c r="AI248" i="106"/>
  <c r="AG248" i="106"/>
  <c r="AE248" i="106"/>
  <c r="AC248" i="106"/>
  <c r="AA248" i="106"/>
  <c r="Y248" i="106"/>
  <c r="W248" i="106"/>
  <c r="U248" i="106"/>
  <c r="S248" i="106"/>
  <c r="Q248" i="106"/>
  <c r="O248" i="106"/>
  <c r="M248" i="106"/>
  <c r="K248" i="106"/>
  <c r="I248" i="106"/>
  <c r="G248" i="106"/>
  <c r="E248" i="106"/>
  <c r="AQ247" i="106"/>
  <c r="AO247" i="106"/>
  <c r="AM247" i="106"/>
  <c r="AK247" i="106"/>
  <c r="AI247" i="106"/>
  <c r="AG247" i="106"/>
  <c r="AE247" i="106"/>
  <c r="AC247" i="106"/>
  <c r="AA247" i="106"/>
  <c r="Y247" i="106"/>
  <c r="W247" i="106"/>
  <c r="U247" i="106"/>
  <c r="S247" i="106"/>
  <c r="Q247" i="106"/>
  <c r="O247" i="106"/>
  <c r="M247" i="106"/>
  <c r="K247" i="106"/>
  <c r="I247" i="106"/>
  <c r="G247" i="106"/>
  <c r="E247" i="106"/>
  <c r="AQ246" i="106"/>
  <c r="AO246" i="106"/>
  <c r="AM246" i="106"/>
  <c r="AK246" i="106"/>
  <c r="AI246" i="106"/>
  <c r="AG246" i="106"/>
  <c r="AE246" i="106"/>
  <c r="AC246" i="106"/>
  <c r="AA246" i="106"/>
  <c r="Y246" i="106"/>
  <c r="W246" i="106"/>
  <c r="U246" i="106"/>
  <c r="S246" i="106"/>
  <c r="Q246" i="106"/>
  <c r="O246" i="106"/>
  <c r="M246" i="106"/>
  <c r="K246" i="106"/>
  <c r="I246" i="106"/>
  <c r="G246" i="106"/>
  <c r="E246" i="106"/>
  <c r="AQ245" i="106"/>
  <c r="AO245" i="106"/>
  <c r="AM245" i="106"/>
  <c r="AK245" i="106"/>
  <c r="AI245" i="106"/>
  <c r="AG245" i="106"/>
  <c r="AE245" i="106"/>
  <c r="AC245" i="106"/>
  <c r="AA245" i="106"/>
  <c r="Y245" i="106"/>
  <c r="W245" i="106"/>
  <c r="U245" i="106"/>
  <c r="S245" i="106"/>
  <c r="Q245" i="106"/>
  <c r="O245" i="106"/>
  <c r="M245" i="106"/>
  <c r="K245" i="106"/>
  <c r="I245" i="106"/>
  <c r="G245" i="106"/>
  <c r="E245" i="106"/>
  <c r="AQ244" i="106"/>
  <c r="AO244" i="106"/>
  <c r="AM244" i="106"/>
  <c r="AK244" i="106"/>
  <c r="AI244" i="106"/>
  <c r="AG244" i="106"/>
  <c r="AE244" i="106"/>
  <c r="AC244" i="106"/>
  <c r="AA244" i="106"/>
  <c r="Y244" i="106"/>
  <c r="W244" i="106"/>
  <c r="U244" i="106"/>
  <c r="S244" i="106"/>
  <c r="Q244" i="106"/>
  <c r="O244" i="106"/>
  <c r="M244" i="106"/>
  <c r="K244" i="106"/>
  <c r="I244" i="106"/>
  <c r="G244" i="106"/>
  <c r="E244" i="106"/>
  <c r="AQ243" i="106"/>
  <c r="AO243" i="106"/>
  <c r="AM243" i="106"/>
  <c r="AK243" i="106"/>
  <c r="AI243" i="106"/>
  <c r="AG243" i="106"/>
  <c r="AE243" i="106"/>
  <c r="AC243" i="106"/>
  <c r="AA243" i="106"/>
  <c r="Y243" i="106"/>
  <c r="W243" i="106"/>
  <c r="U243" i="106"/>
  <c r="S243" i="106"/>
  <c r="Q243" i="106"/>
  <c r="O243" i="106"/>
  <c r="M243" i="106"/>
  <c r="K243" i="106"/>
  <c r="I243" i="106"/>
  <c r="G243" i="106"/>
  <c r="E243" i="106"/>
  <c r="AQ242" i="106"/>
  <c r="AO242" i="106"/>
  <c r="AM242" i="106"/>
  <c r="AK242" i="106"/>
  <c r="AI242" i="106"/>
  <c r="AG242" i="106"/>
  <c r="AE242" i="106"/>
  <c r="AC242" i="106"/>
  <c r="AA242" i="106"/>
  <c r="Y242" i="106"/>
  <c r="W242" i="106"/>
  <c r="U242" i="106"/>
  <c r="S242" i="106"/>
  <c r="Q242" i="106"/>
  <c r="O242" i="106"/>
  <c r="M242" i="106"/>
  <c r="K242" i="106"/>
  <c r="I242" i="106"/>
  <c r="G242" i="106"/>
  <c r="E242" i="106"/>
  <c r="AQ241" i="106"/>
  <c r="AO241" i="106"/>
  <c r="AM241" i="106"/>
  <c r="AK241" i="106"/>
  <c r="AI241" i="106"/>
  <c r="AG241" i="106"/>
  <c r="AE241" i="106"/>
  <c r="AC241" i="106"/>
  <c r="AA241" i="106"/>
  <c r="Y241" i="106"/>
  <c r="W241" i="106"/>
  <c r="U241" i="106"/>
  <c r="S241" i="106"/>
  <c r="Q241" i="106"/>
  <c r="O241" i="106"/>
  <c r="M241" i="106"/>
  <c r="K241" i="106"/>
  <c r="I241" i="106"/>
  <c r="G241" i="106"/>
  <c r="E241" i="106"/>
  <c r="AQ240" i="106"/>
  <c r="AO240" i="106"/>
  <c r="AM240" i="106"/>
  <c r="AK240" i="106"/>
  <c r="AI240" i="106"/>
  <c r="AG240" i="106"/>
  <c r="AE240" i="106"/>
  <c r="AC240" i="106"/>
  <c r="AA240" i="106"/>
  <c r="Y240" i="106"/>
  <c r="W240" i="106"/>
  <c r="U240" i="106"/>
  <c r="S240" i="106"/>
  <c r="Q240" i="106"/>
  <c r="O240" i="106"/>
  <c r="M240" i="106"/>
  <c r="K240" i="106"/>
  <c r="I240" i="106"/>
  <c r="G240" i="106"/>
  <c r="E240" i="106"/>
  <c r="AQ239" i="106"/>
  <c r="AO239" i="106"/>
  <c r="AM239" i="106"/>
  <c r="AK239" i="106"/>
  <c r="AI239" i="106"/>
  <c r="AG239" i="106"/>
  <c r="AE239" i="106"/>
  <c r="AC239" i="106"/>
  <c r="AA239" i="106"/>
  <c r="Y239" i="106"/>
  <c r="W239" i="106"/>
  <c r="U239" i="106"/>
  <c r="S239" i="106"/>
  <c r="Q239" i="106"/>
  <c r="O239" i="106"/>
  <c r="M239" i="106"/>
  <c r="K239" i="106"/>
  <c r="I239" i="106"/>
  <c r="G239" i="106"/>
  <c r="E239" i="106"/>
  <c r="AQ238" i="106"/>
  <c r="AO238" i="106"/>
  <c r="AM238" i="106"/>
  <c r="AK238" i="106"/>
  <c r="AI238" i="106"/>
  <c r="AG238" i="106"/>
  <c r="AE238" i="106"/>
  <c r="AC238" i="106"/>
  <c r="AA238" i="106"/>
  <c r="Y238" i="106"/>
  <c r="W238" i="106"/>
  <c r="U238" i="106"/>
  <c r="S238" i="106"/>
  <c r="Q238" i="106"/>
  <c r="O238" i="106"/>
  <c r="M238" i="106"/>
  <c r="K238" i="106"/>
  <c r="I238" i="106"/>
  <c r="G238" i="106"/>
  <c r="E238" i="106"/>
  <c r="AQ237" i="106"/>
  <c r="AO237" i="106"/>
  <c r="AM237" i="106"/>
  <c r="AK237" i="106"/>
  <c r="AI237" i="106"/>
  <c r="AG237" i="106"/>
  <c r="AE237" i="106"/>
  <c r="AC237" i="106"/>
  <c r="AA237" i="106"/>
  <c r="Y237" i="106"/>
  <c r="W237" i="106"/>
  <c r="U237" i="106"/>
  <c r="S237" i="106"/>
  <c r="Q237" i="106"/>
  <c r="O237" i="106"/>
  <c r="M237" i="106"/>
  <c r="K237" i="106"/>
  <c r="I237" i="106"/>
  <c r="G237" i="106"/>
  <c r="E237" i="106"/>
  <c r="AQ236" i="106"/>
  <c r="AO236" i="106"/>
  <c r="AM236" i="106"/>
  <c r="AK236" i="106"/>
  <c r="AI236" i="106"/>
  <c r="AG236" i="106"/>
  <c r="AE236" i="106"/>
  <c r="AC236" i="106"/>
  <c r="AA236" i="106"/>
  <c r="Y236" i="106"/>
  <c r="W236" i="106"/>
  <c r="U236" i="106"/>
  <c r="S236" i="106"/>
  <c r="Q236" i="106"/>
  <c r="O236" i="106"/>
  <c r="M236" i="106"/>
  <c r="K236" i="106"/>
  <c r="I236" i="106"/>
  <c r="G236" i="106"/>
  <c r="E236" i="106"/>
  <c r="AQ235" i="106"/>
  <c r="AO235" i="106"/>
  <c r="AM235" i="106"/>
  <c r="AK235" i="106"/>
  <c r="AI235" i="106"/>
  <c r="AG235" i="106"/>
  <c r="AE235" i="106"/>
  <c r="AC235" i="106"/>
  <c r="AA235" i="106"/>
  <c r="Y235" i="106"/>
  <c r="W235" i="106"/>
  <c r="U235" i="106"/>
  <c r="S235" i="106"/>
  <c r="Q235" i="106"/>
  <c r="O235" i="106"/>
  <c r="M235" i="106"/>
  <c r="K235" i="106"/>
  <c r="I235" i="106"/>
  <c r="G235" i="106"/>
  <c r="E235" i="106"/>
  <c r="AQ234" i="106"/>
  <c r="AO234" i="106"/>
  <c r="AM234" i="106"/>
  <c r="AK234" i="106"/>
  <c r="AI234" i="106"/>
  <c r="AG234" i="106"/>
  <c r="AE234" i="106"/>
  <c r="AC234" i="106"/>
  <c r="AA234" i="106"/>
  <c r="Y234" i="106"/>
  <c r="W234" i="106"/>
  <c r="U234" i="106"/>
  <c r="S234" i="106"/>
  <c r="Q234" i="106"/>
  <c r="O234" i="106"/>
  <c r="M234" i="106"/>
  <c r="K234" i="106"/>
  <c r="I234" i="106"/>
  <c r="G234" i="106"/>
  <c r="E234" i="106"/>
  <c r="AQ233" i="106"/>
  <c r="AO233" i="106"/>
  <c r="AM233" i="106"/>
  <c r="AK233" i="106"/>
  <c r="AI233" i="106"/>
  <c r="AG233" i="106"/>
  <c r="AE233" i="106"/>
  <c r="AC233" i="106"/>
  <c r="AA233" i="106"/>
  <c r="Y233" i="106"/>
  <c r="W233" i="106"/>
  <c r="U233" i="106"/>
  <c r="S233" i="106"/>
  <c r="Q233" i="106"/>
  <c r="O233" i="106"/>
  <c r="M233" i="106"/>
  <c r="K233" i="106"/>
  <c r="I233" i="106"/>
  <c r="G233" i="106"/>
  <c r="E233" i="106"/>
  <c r="AQ232" i="106"/>
  <c r="AO232" i="106"/>
  <c r="AM232" i="106"/>
  <c r="AK232" i="106"/>
  <c r="AI232" i="106"/>
  <c r="AG232" i="106"/>
  <c r="AE232" i="106"/>
  <c r="AC232" i="106"/>
  <c r="AA232" i="106"/>
  <c r="Y232" i="106"/>
  <c r="W232" i="106"/>
  <c r="U232" i="106"/>
  <c r="S232" i="106"/>
  <c r="Q232" i="106"/>
  <c r="O232" i="106"/>
  <c r="M232" i="106"/>
  <c r="K232" i="106"/>
  <c r="I232" i="106"/>
  <c r="G232" i="106"/>
  <c r="E232" i="106"/>
  <c r="AQ231" i="106"/>
  <c r="AO231" i="106"/>
  <c r="AM231" i="106"/>
  <c r="AK231" i="106"/>
  <c r="AI231" i="106"/>
  <c r="AG231" i="106"/>
  <c r="AE231" i="106"/>
  <c r="AC231" i="106"/>
  <c r="AA231" i="106"/>
  <c r="Y231" i="106"/>
  <c r="W231" i="106"/>
  <c r="U231" i="106"/>
  <c r="S231" i="106"/>
  <c r="Q231" i="106"/>
  <c r="O231" i="106"/>
  <c r="M231" i="106"/>
  <c r="K231" i="106"/>
  <c r="I231" i="106"/>
  <c r="G231" i="106"/>
  <c r="E231" i="106"/>
  <c r="AQ230" i="106"/>
  <c r="AO230" i="106"/>
  <c r="AM230" i="106"/>
  <c r="AK230" i="106"/>
  <c r="AI230" i="106"/>
  <c r="AG230" i="106"/>
  <c r="AE230" i="106"/>
  <c r="AC230" i="106"/>
  <c r="AA230" i="106"/>
  <c r="Y230" i="106"/>
  <c r="W230" i="106"/>
  <c r="U230" i="106"/>
  <c r="S230" i="106"/>
  <c r="Q230" i="106"/>
  <c r="O230" i="106"/>
  <c r="M230" i="106"/>
  <c r="K230" i="106"/>
  <c r="I230" i="106"/>
  <c r="G230" i="106"/>
  <c r="E230" i="106"/>
  <c r="AQ229" i="106"/>
  <c r="AO229" i="106"/>
  <c r="AM229" i="106"/>
  <c r="AK229" i="106"/>
  <c r="AI229" i="106"/>
  <c r="AG229" i="106"/>
  <c r="AE229" i="106"/>
  <c r="AC229" i="106"/>
  <c r="AA229" i="106"/>
  <c r="Y229" i="106"/>
  <c r="W229" i="106"/>
  <c r="U229" i="106"/>
  <c r="S229" i="106"/>
  <c r="Q229" i="106"/>
  <c r="O229" i="106"/>
  <c r="M229" i="106"/>
  <c r="K229" i="106"/>
  <c r="I229" i="106"/>
  <c r="G229" i="106"/>
  <c r="E229" i="106"/>
  <c r="AQ228" i="106"/>
  <c r="AO228" i="106"/>
  <c r="AM228" i="106"/>
  <c r="AK228" i="106"/>
  <c r="AI228" i="106"/>
  <c r="AG228" i="106"/>
  <c r="AE228" i="106"/>
  <c r="AC228" i="106"/>
  <c r="AA228" i="106"/>
  <c r="Y228" i="106"/>
  <c r="W228" i="106"/>
  <c r="U228" i="106"/>
  <c r="S228" i="106"/>
  <c r="Q228" i="106"/>
  <c r="O228" i="106"/>
  <c r="M228" i="106"/>
  <c r="K228" i="106"/>
  <c r="I228" i="106"/>
  <c r="G228" i="106"/>
  <c r="E228" i="106"/>
  <c r="AQ227" i="106"/>
  <c r="AO227" i="106"/>
  <c r="AM227" i="106"/>
  <c r="AK227" i="106"/>
  <c r="AI227" i="106"/>
  <c r="AG227" i="106"/>
  <c r="AE227" i="106"/>
  <c r="AC227" i="106"/>
  <c r="AA227" i="106"/>
  <c r="Y227" i="106"/>
  <c r="W227" i="106"/>
  <c r="U227" i="106"/>
  <c r="S227" i="106"/>
  <c r="Q227" i="106"/>
  <c r="O227" i="106"/>
  <c r="M227" i="106"/>
  <c r="K227" i="106"/>
  <c r="I227" i="106"/>
  <c r="G227" i="106"/>
  <c r="E227" i="106"/>
  <c r="AQ226" i="106"/>
  <c r="AO226" i="106"/>
  <c r="AM226" i="106"/>
  <c r="AK226" i="106"/>
  <c r="AI226" i="106"/>
  <c r="AG226" i="106"/>
  <c r="AE226" i="106"/>
  <c r="AC226" i="106"/>
  <c r="AA226" i="106"/>
  <c r="Y226" i="106"/>
  <c r="W226" i="106"/>
  <c r="U226" i="106"/>
  <c r="S226" i="106"/>
  <c r="Q226" i="106"/>
  <c r="O226" i="106"/>
  <c r="M226" i="106"/>
  <c r="K226" i="106"/>
  <c r="I226" i="106"/>
  <c r="G226" i="106"/>
  <c r="E226" i="106"/>
  <c r="AQ225" i="106"/>
  <c r="AO225" i="106"/>
  <c r="AM225" i="106"/>
  <c r="AK225" i="106"/>
  <c r="AI225" i="106"/>
  <c r="AG225" i="106"/>
  <c r="AE225" i="106"/>
  <c r="AC225" i="106"/>
  <c r="AA225" i="106"/>
  <c r="Y225" i="106"/>
  <c r="W225" i="106"/>
  <c r="U225" i="106"/>
  <c r="S225" i="106"/>
  <c r="Q225" i="106"/>
  <c r="O225" i="106"/>
  <c r="M225" i="106"/>
  <c r="K225" i="106"/>
  <c r="I225" i="106"/>
  <c r="G225" i="106"/>
  <c r="E225" i="106"/>
  <c r="AQ224" i="106"/>
  <c r="AO224" i="106"/>
  <c r="AM224" i="106"/>
  <c r="AK224" i="106"/>
  <c r="AI224" i="106"/>
  <c r="AG224" i="106"/>
  <c r="AE224" i="106"/>
  <c r="AC224" i="106"/>
  <c r="AA224" i="106"/>
  <c r="Y224" i="106"/>
  <c r="W224" i="106"/>
  <c r="U224" i="106"/>
  <c r="S224" i="106"/>
  <c r="Q224" i="106"/>
  <c r="O224" i="106"/>
  <c r="M224" i="106"/>
  <c r="K224" i="106"/>
  <c r="I224" i="106"/>
  <c r="G224" i="106"/>
  <c r="E224" i="106"/>
  <c r="AQ223" i="106"/>
  <c r="AO223" i="106"/>
  <c r="AM223" i="106"/>
  <c r="AK223" i="106"/>
  <c r="AI223" i="106"/>
  <c r="AG223" i="106"/>
  <c r="AE223" i="106"/>
  <c r="AC223" i="106"/>
  <c r="AA223" i="106"/>
  <c r="Y223" i="106"/>
  <c r="W223" i="106"/>
  <c r="U223" i="106"/>
  <c r="S223" i="106"/>
  <c r="Q223" i="106"/>
  <c r="O223" i="106"/>
  <c r="M223" i="106"/>
  <c r="K223" i="106"/>
  <c r="I223" i="106"/>
  <c r="G223" i="106"/>
  <c r="E223" i="106"/>
  <c r="AQ222" i="106"/>
  <c r="AO222" i="106"/>
  <c r="AM222" i="106"/>
  <c r="AK222" i="106"/>
  <c r="AI222" i="106"/>
  <c r="AG222" i="106"/>
  <c r="AE222" i="106"/>
  <c r="AC222" i="106"/>
  <c r="AA222" i="106"/>
  <c r="Y222" i="106"/>
  <c r="W222" i="106"/>
  <c r="U222" i="106"/>
  <c r="S222" i="106"/>
  <c r="Q222" i="106"/>
  <c r="O222" i="106"/>
  <c r="M222" i="106"/>
  <c r="K222" i="106"/>
  <c r="I222" i="106"/>
  <c r="G222" i="106"/>
  <c r="E222" i="106"/>
  <c r="AQ221" i="106"/>
  <c r="AO221" i="106"/>
  <c r="AM221" i="106"/>
  <c r="AK221" i="106"/>
  <c r="AI221" i="106"/>
  <c r="AG221" i="106"/>
  <c r="AE221" i="106"/>
  <c r="AC221" i="106"/>
  <c r="AA221" i="106"/>
  <c r="Y221" i="106"/>
  <c r="W221" i="106"/>
  <c r="U221" i="106"/>
  <c r="S221" i="106"/>
  <c r="Q221" i="106"/>
  <c r="O221" i="106"/>
  <c r="M221" i="106"/>
  <c r="K221" i="106"/>
  <c r="I221" i="106"/>
  <c r="G221" i="106"/>
  <c r="E221" i="106"/>
  <c r="AQ220" i="106"/>
  <c r="AO220" i="106"/>
  <c r="AM220" i="106"/>
  <c r="AK220" i="106"/>
  <c r="AI220" i="106"/>
  <c r="AG220" i="106"/>
  <c r="AE220" i="106"/>
  <c r="AC220" i="106"/>
  <c r="AA220" i="106"/>
  <c r="Y220" i="106"/>
  <c r="W220" i="106"/>
  <c r="U220" i="106"/>
  <c r="S220" i="106"/>
  <c r="Q220" i="106"/>
  <c r="O220" i="106"/>
  <c r="M220" i="106"/>
  <c r="K220" i="106"/>
  <c r="I220" i="106"/>
  <c r="G220" i="106"/>
  <c r="E220" i="106"/>
  <c r="AQ219" i="106"/>
  <c r="AO219" i="106"/>
  <c r="AM219" i="106"/>
  <c r="AK219" i="106"/>
  <c r="AI219" i="106"/>
  <c r="AG219" i="106"/>
  <c r="AE219" i="106"/>
  <c r="AC219" i="106"/>
  <c r="AA219" i="106"/>
  <c r="Y219" i="106"/>
  <c r="W219" i="106"/>
  <c r="U219" i="106"/>
  <c r="S219" i="106"/>
  <c r="Q219" i="106"/>
  <c r="O219" i="106"/>
  <c r="M219" i="106"/>
  <c r="K219" i="106"/>
  <c r="I219" i="106"/>
  <c r="G219" i="106"/>
  <c r="E219" i="106"/>
  <c r="AQ218" i="106"/>
  <c r="AO218" i="106"/>
  <c r="AM218" i="106"/>
  <c r="AK218" i="106"/>
  <c r="AI218" i="106"/>
  <c r="AG218" i="106"/>
  <c r="AE218" i="106"/>
  <c r="AC218" i="106"/>
  <c r="AA218" i="106"/>
  <c r="Y218" i="106"/>
  <c r="W218" i="106"/>
  <c r="U218" i="106"/>
  <c r="S218" i="106"/>
  <c r="Q218" i="106"/>
  <c r="O218" i="106"/>
  <c r="M218" i="106"/>
  <c r="K218" i="106"/>
  <c r="I218" i="106"/>
  <c r="G218" i="106"/>
  <c r="E218" i="106"/>
  <c r="AQ217" i="106"/>
  <c r="AO217" i="106"/>
  <c r="AM217" i="106"/>
  <c r="AK217" i="106"/>
  <c r="AI217" i="106"/>
  <c r="AG217" i="106"/>
  <c r="AE217" i="106"/>
  <c r="AC217" i="106"/>
  <c r="AA217" i="106"/>
  <c r="Y217" i="106"/>
  <c r="W217" i="106"/>
  <c r="U217" i="106"/>
  <c r="S217" i="106"/>
  <c r="Q217" i="106"/>
  <c r="O217" i="106"/>
  <c r="M217" i="106"/>
  <c r="K217" i="106"/>
  <c r="I217" i="106"/>
  <c r="G217" i="106"/>
  <c r="E217" i="106"/>
  <c r="AQ216" i="106"/>
  <c r="AO216" i="106"/>
  <c r="AM216" i="106"/>
  <c r="AK216" i="106"/>
  <c r="AI216" i="106"/>
  <c r="AG216" i="106"/>
  <c r="AE216" i="106"/>
  <c r="AC216" i="106"/>
  <c r="AA216" i="106"/>
  <c r="Y216" i="106"/>
  <c r="W216" i="106"/>
  <c r="U216" i="106"/>
  <c r="S216" i="106"/>
  <c r="Q216" i="106"/>
  <c r="O216" i="106"/>
  <c r="M216" i="106"/>
  <c r="K216" i="106"/>
  <c r="I216" i="106"/>
  <c r="G216" i="106"/>
  <c r="E216" i="106"/>
  <c r="AQ215" i="106"/>
  <c r="AO215" i="106"/>
  <c r="AM215" i="106"/>
  <c r="AK215" i="106"/>
  <c r="AI215" i="106"/>
  <c r="AG215" i="106"/>
  <c r="AE215" i="106"/>
  <c r="AC215" i="106"/>
  <c r="AA215" i="106"/>
  <c r="Y215" i="106"/>
  <c r="W215" i="106"/>
  <c r="U215" i="106"/>
  <c r="S215" i="106"/>
  <c r="Q215" i="106"/>
  <c r="O215" i="106"/>
  <c r="M215" i="106"/>
  <c r="K215" i="106"/>
  <c r="I215" i="106"/>
  <c r="G215" i="106"/>
  <c r="E215" i="106"/>
  <c r="AQ214" i="106"/>
  <c r="AO214" i="106"/>
  <c r="AM214" i="106"/>
  <c r="AK214" i="106"/>
  <c r="AI214" i="106"/>
  <c r="AG214" i="106"/>
  <c r="AE214" i="106"/>
  <c r="AC214" i="106"/>
  <c r="AA214" i="106"/>
  <c r="Y214" i="106"/>
  <c r="W214" i="106"/>
  <c r="U214" i="106"/>
  <c r="S214" i="106"/>
  <c r="Q214" i="106"/>
  <c r="O214" i="106"/>
  <c r="M214" i="106"/>
  <c r="K214" i="106"/>
  <c r="I214" i="106"/>
  <c r="G214" i="106"/>
  <c r="E214" i="106"/>
  <c r="AQ213" i="106"/>
  <c r="AO213" i="106"/>
  <c r="AM213" i="106"/>
  <c r="AK213" i="106"/>
  <c r="AI213" i="106"/>
  <c r="AG213" i="106"/>
  <c r="AE213" i="106"/>
  <c r="AC213" i="106"/>
  <c r="AA213" i="106"/>
  <c r="Y213" i="106"/>
  <c r="W213" i="106"/>
  <c r="U213" i="106"/>
  <c r="S213" i="106"/>
  <c r="Q213" i="106"/>
  <c r="O213" i="106"/>
  <c r="M213" i="106"/>
  <c r="K213" i="106"/>
  <c r="I213" i="106"/>
  <c r="G213" i="106"/>
  <c r="E213" i="106"/>
  <c r="AQ212" i="106"/>
  <c r="AO212" i="106"/>
  <c r="AM212" i="106"/>
  <c r="AK212" i="106"/>
  <c r="AI212" i="106"/>
  <c r="AG212" i="106"/>
  <c r="AE212" i="106"/>
  <c r="AC212" i="106"/>
  <c r="AA212" i="106"/>
  <c r="Y212" i="106"/>
  <c r="W212" i="106"/>
  <c r="U212" i="106"/>
  <c r="S212" i="106"/>
  <c r="Q212" i="106"/>
  <c r="O212" i="106"/>
  <c r="M212" i="106"/>
  <c r="K212" i="106"/>
  <c r="I212" i="106"/>
  <c r="G212" i="106"/>
  <c r="E212" i="106"/>
  <c r="AQ211" i="106"/>
  <c r="AO211" i="106"/>
  <c r="AM211" i="106"/>
  <c r="AK211" i="106"/>
  <c r="AI211" i="106"/>
  <c r="AG211" i="106"/>
  <c r="AE211" i="106"/>
  <c r="AC211" i="106"/>
  <c r="AA211" i="106"/>
  <c r="Y211" i="106"/>
  <c r="W211" i="106"/>
  <c r="U211" i="106"/>
  <c r="S211" i="106"/>
  <c r="Q211" i="106"/>
  <c r="O211" i="106"/>
  <c r="M211" i="106"/>
  <c r="K211" i="106"/>
  <c r="I211" i="106"/>
  <c r="G211" i="106"/>
  <c r="E211" i="106"/>
  <c r="AQ210" i="106"/>
  <c r="AO210" i="106"/>
  <c r="AM210" i="106"/>
  <c r="AK210" i="106"/>
  <c r="AI210" i="106"/>
  <c r="AG210" i="106"/>
  <c r="AE210" i="106"/>
  <c r="AC210" i="106"/>
  <c r="AA210" i="106"/>
  <c r="Y210" i="106"/>
  <c r="W210" i="106"/>
  <c r="U210" i="106"/>
  <c r="S210" i="106"/>
  <c r="Q210" i="106"/>
  <c r="O210" i="106"/>
  <c r="M210" i="106"/>
  <c r="K210" i="106"/>
  <c r="I210" i="106"/>
  <c r="G210" i="106"/>
  <c r="E210" i="106"/>
  <c r="AQ209" i="106"/>
  <c r="AO209" i="106"/>
  <c r="AM209" i="106"/>
  <c r="AK209" i="106"/>
  <c r="AI209" i="106"/>
  <c r="AG209" i="106"/>
  <c r="AE209" i="106"/>
  <c r="AC209" i="106"/>
  <c r="AA209" i="106"/>
  <c r="Y209" i="106"/>
  <c r="W209" i="106"/>
  <c r="U209" i="106"/>
  <c r="S209" i="106"/>
  <c r="Q209" i="106"/>
  <c r="O209" i="106"/>
  <c r="M209" i="106"/>
  <c r="K209" i="106"/>
  <c r="I209" i="106"/>
  <c r="G209" i="106"/>
  <c r="E209" i="106"/>
  <c r="AQ208" i="106"/>
  <c r="AO208" i="106"/>
  <c r="AM208" i="106"/>
  <c r="AK208" i="106"/>
  <c r="AI208" i="106"/>
  <c r="AG208" i="106"/>
  <c r="AE208" i="106"/>
  <c r="AC208" i="106"/>
  <c r="AA208" i="106"/>
  <c r="Y208" i="106"/>
  <c r="W208" i="106"/>
  <c r="U208" i="106"/>
  <c r="S208" i="106"/>
  <c r="Q208" i="106"/>
  <c r="O208" i="106"/>
  <c r="M208" i="106"/>
  <c r="K208" i="106"/>
  <c r="I208" i="106"/>
  <c r="G208" i="106"/>
  <c r="E208" i="106"/>
  <c r="AQ207" i="106"/>
  <c r="AO207" i="106"/>
  <c r="AM207" i="106"/>
  <c r="AK207" i="106"/>
  <c r="AI207" i="106"/>
  <c r="AG207" i="106"/>
  <c r="AE207" i="106"/>
  <c r="AC207" i="106"/>
  <c r="AA207" i="106"/>
  <c r="Y207" i="106"/>
  <c r="W207" i="106"/>
  <c r="U207" i="106"/>
  <c r="S207" i="106"/>
  <c r="Q207" i="106"/>
  <c r="O207" i="106"/>
  <c r="M207" i="106"/>
  <c r="K207" i="106"/>
  <c r="I207" i="106"/>
  <c r="G207" i="106"/>
  <c r="E207" i="106"/>
  <c r="AQ206" i="106"/>
  <c r="AO206" i="106"/>
  <c r="AM206" i="106"/>
  <c r="AK206" i="106"/>
  <c r="AI206" i="106"/>
  <c r="AG206" i="106"/>
  <c r="AE206" i="106"/>
  <c r="AC206" i="106"/>
  <c r="AA206" i="106"/>
  <c r="Y206" i="106"/>
  <c r="W206" i="106"/>
  <c r="U206" i="106"/>
  <c r="S206" i="106"/>
  <c r="Q206" i="106"/>
  <c r="O206" i="106"/>
  <c r="M206" i="106"/>
  <c r="K206" i="106"/>
  <c r="I206" i="106"/>
  <c r="G206" i="106"/>
  <c r="E206" i="106"/>
  <c r="AQ205" i="106"/>
  <c r="AO205" i="106"/>
  <c r="AM205" i="106"/>
  <c r="AK205" i="106"/>
  <c r="AI205" i="106"/>
  <c r="AG205" i="106"/>
  <c r="AE205" i="106"/>
  <c r="AC205" i="106"/>
  <c r="AA205" i="106"/>
  <c r="Y205" i="106"/>
  <c r="W205" i="106"/>
  <c r="U205" i="106"/>
  <c r="S205" i="106"/>
  <c r="Q205" i="106"/>
  <c r="O205" i="106"/>
  <c r="M205" i="106"/>
  <c r="K205" i="106"/>
  <c r="I205" i="106"/>
  <c r="G205" i="106"/>
  <c r="E205" i="106"/>
  <c r="AQ204" i="106"/>
  <c r="AO204" i="106"/>
  <c r="AM204" i="106"/>
  <c r="AK204" i="106"/>
  <c r="AI204" i="106"/>
  <c r="AG204" i="106"/>
  <c r="AE204" i="106"/>
  <c r="AC204" i="106"/>
  <c r="AA204" i="106"/>
  <c r="Y204" i="106"/>
  <c r="W204" i="106"/>
  <c r="U204" i="106"/>
  <c r="S204" i="106"/>
  <c r="Q204" i="106"/>
  <c r="O204" i="106"/>
  <c r="M204" i="106"/>
  <c r="K204" i="106"/>
  <c r="I204" i="106"/>
  <c r="G204" i="106"/>
  <c r="E204" i="106"/>
  <c r="AQ203" i="106"/>
  <c r="AO203" i="106"/>
  <c r="AM203" i="106"/>
  <c r="AK203" i="106"/>
  <c r="AI203" i="106"/>
  <c r="AG203" i="106"/>
  <c r="AE203" i="106"/>
  <c r="AC203" i="106"/>
  <c r="AA203" i="106"/>
  <c r="Y203" i="106"/>
  <c r="W203" i="106"/>
  <c r="U203" i="106"/>
  <c r="S203" i="106"/>
  <c r="Q203" i="106"/>
  <c r="O203" i="106"/>
  <c r="M203" i="106"/>
  <c r="K203" i="106"/>
  <c r="I203" i="106"/>
  <c r="G203" i="106"/>
  <c r="E203" i="106"/>
  <c r="AQ202" i="106"/>
  <c r="AO202" i="106"/>
  <c r="AM202" i="106"/>
  <c r="AK202" i="106"/>
  <c r="AI202" i="106"/>
  <c r="AG202" i="106"/>
  <c r="AE202" i="106"/>
  <c r="AC202" i="106"/>
  <c r="AA202" i="106"/>
  <c r="Y202" i="106"/>
  <c r="W202" i="106"/>
  <c r="U202" i="106"/>
  <c r="S202" i="106"/>
  <c r="Q202" i="106"/>
  <c r="O202" i="106"/>
  <c r="M202" i="106"/>
  <c r="K202" i="106"/>
  <c r="I202" i="106"/>
  <c r="G202" i="106"/>
  <c r="E202" i="106"/>
  <c r="AQ201" i="106"/>
  <c r="AO201" i="106"/>
  <c r="AM201" i="106"/>
  <c r="AK201" i="106"/>
  <c r="AI201" i="106"/>
  <c r="AG201" i="106"/>
  <c r="AE201" i="106"/>
  <c r="AC201" i="106"/>
  <c r="AA201" i="106"/>
  <c r="Y201" i="106"/>
  <c r="W201" i="106"/>
  <c r="U201" i="106"/>
  <c r="S201" i="106"/>
  <c r="Q201" i="106"/>
  <c r="O201" i="106"/>
  <c r="M201" i="106"/>
  <c r="K201" i="106"/>
  <c r="I201" i="106"/>
  <c r="G201" i="106"/>
  <c r="E201" i="106"/>
  <c r="AQ200" i="106"/>
  <c r="AO200" i="106"/>
  <c r="AM200" i="106"/>
  <c r="AK200" i="106"/>
  <c r="AI200" i="106"/>
  <c r="AG200" i="106"/>
  <c r="AE200" i="106"/>
  <c r="AC200" i="106"/>
  <c r="AA200" i="106"/>
  <c r="Y200" i="106"/>
  <c r="W200" i="106"/>
  <c r="U200" i="106"/>
  <c r="S200" i="106"/>
  <c r="Q200" i="106"/>
  <c r="O200" i="106"/>
  <c r="M200" i="106"/>
  <c r="K200" i="106"/>
  <c r="I200" i="106"/>
  <c r="G200" i="106"/>
  <c r="E200" i="106"/>
  <c r="AQ199" i="106"/>
  <c r="AO199" i="106"/>
  <c r="AM199" i="106"/>
  <c r="AK199" i="106"/>
  <c r="AI199" i="106"/>
  <c r="AG199" i="106"/>
  <c r="AE199" i="106"/>
  <c r="AC199" i="106"/>
  <c r="AA199" i="106"/>
  <c r="Y199" i="106"/>
  <c r="W199" i="106"/>
  <c r="U199" i="106"/>
  <c r="S199" i="106"/>
  <c r="Q199" i="106"/>
  <c r="O199" i="106"/>
  <c r="M199" i="106"/>
  <c r="K199" i="106"/>
  <c r="I199" i="106"/>
  <c r="G199" i="106"/>
  <c r="E199" i="106"/>
  <c r="AQ198" i="106"/>
  <c r="AO198" i="106"/>
  <c r="AM198" i="106"/>
  <c r="AK198" i="106"/>
  <c r="AI198" i="106"/>
  <c r="AG198" i="106"/>
  <c r="AE198" i="106"/>
  <c r="AC198" i="106"/>
  <c r="AA198" i="106"/>
  <c r="Y198" i="106"/>
  <c r="W198" i="106"/>
  <c r="U198" i="106"/>
  <c r="S198" i="106"/>
  <c r="Q198" i="106"/>
  <c r="O198" i="106"/>
  <c r="M198" i="106"/>
  <c r="K198" i="106"/>
  <c r="I198" i="106"/>
  <c r="G198" i="106"/>
  <c r="E198" i="106"/>
  <c r="AQ197" i="106"/>
  <c r="AO197" i="106"/>
  <c r="AM197" i="106"/>
  <c r="AK197" i="106"/>
  <c r="AI197" i="106"/>
  <c r="AG197" i="106"/>
  <c r="AE197" i="106"/>
  <c r="AC197" i="106"/>
  <c r="AA197" i="106"/>
  <c r="Y197" i="106"/>
  <c r="W197" i="106"/>
  <c r="U197" i="106"/>
  <c r="S197" i="106"/>
  <c r="Q197" i="106"/>
  <c r="O197" i="106"/>
  <c r="M197" i="106"/>
  <c r="K197" i="106"/>
  <c r="I197" i="106"/>
  <c r="G197" i="106"/>
  <c r="E197" i="106"/>
  <c r="AQ196" i="106"/>
  <c r="AO196" i="106"/>
  <c r="AM196" i="106"/>
  <c r="AK196" i="106"/>
  <c r="AI196" i="106"/>
  <c r="AG196" i="106"/>
  <c r="AE196" i="106"/>
  <c r="AC196" i="106"/>
  <c r="AA196" i="106"/>
  <c r="Y196" i="106"/>
  <c r="W196" i="106"/>
  <c r="U196" i="106"/>
  <c r="S196" i="106"/>
  <c r="Q196" i="106"/>
  <c r="O196" i="106"/>
  <c r="M196" i="106"/>
  <c r="K196" i="106"/>
  <c r="I196" i="106"/>
  <c r="G196" i="106"/>
  <c r="E196" i="106"/>
  <c r="AQ195" i="106"/>
  <c r="AO195" i="106"/>
  <c r="AM195" i="106"/>
  <c r="AK195" i="106"/>
  <c r="AI195" i="106"/>
  <c r="AG195" i="106"/>
  <c r="AE195" i="106"/>
  <c r="AC195" i="106"/>
  <c r="AA195" i="106"/>
  <c r="Y195" i="106"/>
  <c r="W195" i="106"/>
  <c r="U195" i="106"/>
  <c r="S195" i="106"/>
  <c r="Q195" i="106"/>
  <c r="O195" i="106"/>
  <c r="M195" i="106"/>
  <c r="K195" i="106"/>
  <c r="I195" i="106"/>
  <c r="G195" i="106"/>
  <c r="E195" i="106"/>
  <c r="AQ194" i="106"/>
  <c r="AO194" i="106"/>
  <c r="AM194" i="106"/>
  <c r="AK194" i="106"/>
  <c r="AI194" i="106"/>
  <c r="AG194" i="106"/>
  <c r="AE194" i="106"/>
  <c r="AC194" i="106"/>
  <c r="AA194" i="106"/>
  <c r="Y194" i="106"/>
  <c r="W194" i="106"/>
  <c r="U194" i="106"/>
  <c r="S194" i="106"/>
  <c r="Q194" i="106"/>
  <c r="O194" i="106"/>
  <c r="M194" i="106"/>
  <c r="K194" i="106"/>
  <c r="I194" i="106"/>
  <c r="G194" i="106"/>
  <c r="E194" i="106"/>
  <c r="AQ193" i="106"/>
  <c r="AO193" i="106"/>
  <c r="AM193" i="106"/>
  <c r="AK193" i="106"/>
  <c r="AI193" i="106"/>
  <c r="AG193" i="106"/>
  <c r="AE193" i="106"/>
  <c r="AC193" i="106"/>
  <c r="AA193" i="106"/>
  <c r="Y193" i="106"/>
  <c r="W193" i="106"/>
  <c r="U193" i="106"/>
  <c r="S193" i="106"/>
  <c r="Q193" i="106"/>
  <c r="O193" i="106"/>
  <c r="M193" i="106"/>
  <c r="K193" i="106"/>
  <c r="I193" i="106"/>
  <c r="G193" i="106"/>
  <c r="E193" i="106"/>
  <c r="AQ192" i="106"/>
  <c r="AO192" i="106"/>
  <c r="AM192" i="106"/>
  <c r="AK192" i="106"/>
  <c r="AI192" i="106"/>
  <c r="AG192" i="106"/>
  <c r="AE192" i="106"/>
  <c r="AC192" i="106"/>
  <c r="AA192" i="106"/>
  <c r="Y192" i="106"/>
  <c r="W192" i="106"/>
  <c r="U192" i="106"/>
  <c r="S192" i="106"/>
  <c r="Q192" i="106"/>
  <c r="O192" i="106"/>
  <c r="M192" i="106"/>
  <c r="K192" i="106"/>
  <c r="I192" i="106"/>
  <c r="G192" i="106"/>
  <c r="E192" i="106"/>
  <c r="AQ191" i="106"/>
  <c r="AO191" i="106"/>
  <c r="AM191" i="106"/>
  <c r="AK191" i="106"/>
  <c r="AI191" i="106"/>
  <c r="AG191" i="106"/>
  <c r="AE191" i="106"/>
  <c r="AC191" i="106"/>
  <c r="AA191" i="106"/>
  <c r="Y191" i="106"/>
  <c r="W191" i="106"/>
  <c r="U191" i="106"/>
  <c r="S191" i="106"/>
  <c r="Q191" i="106"/>
  <c r="O191" i="106"/>
  <c r="M191" i="106"/>
  <c r="K191" i="106"/>
  <c r="I191" i="106"/>
  <c r="G191" i="106"/>
  <c r="E191" i="106"/>
  <c r="AQ190" i="106"/>
  <c r="AO190" i="106"/>
  <c r="AM190" i="106"/>
  <c r="AK190" i="106"/>
  <c r="AI190" i="106"/>
  <c r="AG190" i="106"/>
  <c r="AE190" i="106"/>
  <c r="AC190" i="106"/>
  <c r="AA190" i="106"/>
  <c r="Y190" i="106"/>
  <c r="W190" i="106"/>
  <c r="U190" i="106"/>
  <c r="S190" i="106"/>
  <c r="Q190" i="106"/>
  <c r="O190" i="106"/>
  <c r="M190" i="106"/>
  <c r="K190" i="106"/>
  <c r="I190" i="106"/>
  <c r="G190" i="106"/>
  <c r="E190" i="106"/>
  <c r="AQ189" i="106"/>
  <c r="AO189" i="106"/>
  <c r="AM189" i="106"/>
  <c r="AK189" i="106"/>
  <c r="AI189" i="106"/>
  <c r="AG189" i="106"/>
  <c r="AE189" i="106"/>
  <c r="AC189" i="106"/>
  <c r="AA189" i="106"/>
  <c r="Y189" i="106"/>
  <c r="W189" i="106"/>
  <c r="U189" i="106"/>
  <c r="S189" i="106"/>
  <c r="Q189" i="106"/>
  <c r="O189" i="106"/>
  <c r="M189" i="106"/>
  <c r="K189" i="106"/>
  <c r="I189" i="106"/>
  <c r="G189" i="106"/>
  <c r="E189" i="106"/>
  <c r="AQ188" i="106"/>
  <c r="AO188" i="106"/>
  <c r="AM188" i="106"/>
  <c r="AK188" i="106"/>
  <c r="AI188" i="106"/>
  <c r="AG188" i="106"/>
  <c r="AE188" i="106"/>
  <c r="AC188" i="106"/>
  <c r="AA188" i="106"/>
  <c r="Y188" i="106"/>
  <c r="W188" i="106"/>
  <c r="U188" i="106"/>
  <c r="S188" i="106"/>
  <c r="Q188" i="106"/>
  <c r="O188" i="106"/>
  <c r="M188" i="106"/>
  <c r="K188" i="106"/>
  <c r="I188" i="106"/>
  <c r="G188" i="106"/>
  <c r="E188" i="106"/>
  <c r="AQ187" i="106"/>
  <c r="AO187" i="106"/>
  <c r="AM187" i="106"/>
  <c r="AK187" i="106"/>
  <c r="AI187" i="106"/>
  <c r="AG187" i="106"/>
  <c r="AE187" i="106"/>
  <c r="AC187" i="106"/>
  <c r="AA187" i="106"/>
  <c r="Y187" i="106"/>
  <c r="W187" i="106"/>
  <c r="U187" i="106"/>
  <c r="S187" i="106"/>
  <c r="Q187" i="106"/>
  <c r="O187" i="106"/>
  <c r="M187" i="106"/>
  <c r="K187" i="106"/>
  <c r="I187" i="106"/>
  <c r="G187" i="106"/>
  <c r="E187" i="106"/>
  <c r="AQ186" i="106"/>
  <c r="AO186" i="106"/>
  <c r="AM186" i="106"/>
  <c r="AK186" i="106"/>
  <c r="AI186" i="106"/>
  <c r="AG186" i="106"/>
  <c r="AE186" i="106"/>
  <c r="AC186" i="106"/>
  <c r="AA186" i="106"/>
  <c r="Y186" i="106"/>
  <c r="W186" i="106"/>
  <c r="U186" i="106"/>
  <c r="S186" i="106"/>
  <c r="Q186" i="106"/>
  <c r="O186" i="106"/>
  <c r="M186" i="106"/>
  <c r="K186" i="106"/>
  <c r="I186" i="106"/>
  <c r="G186" i="106"/>
  <c r="E186" i="106"/>
  <c r="AQ185" i="106"/>
  <c r="AO185" i="106"/>
  <c r="AM185" i="106"/>
  <c r="AK185" i="106"/>
  <c r="AI185" i="106"/>
  <c r="AG185" i="106"/>
  <c r="AE185" i="106"/>
  <c r="AC185" i="106"/>
  <c r="AA185" i="106"/>
  <c r="Y185" i="106"/>
  <c r="W185" i="106"/>
  <c r="U185" i="106"/>
  <c r="S185" i="106"/>
  <c r="Q185" i="106"/>
  <c r="O185" i="106"/>
  <c r="M185" i="106"/>
  <c r="K185" i="106"/>
  <c r="I185" i="106"/>
  <c r="G185" i="106"/>
  <c r="E185" i="106"/>
  <c r="AQ184" i="106"/>
  <c r="AO184" i="106"/>
  <c r="AM184" i="106"/>
  <c r="AK184" i="106"/>
  <c r="AI184" i="106"/>
  <c r="AG184" i="106"/>
  <c r="AE184" i="106"/>
  <c r="AC184" i="106"/>
  <c r="AA184" i="106"/>
  <c r="Y184" i="106"/>
  <c r="W184" i="106"/>
  <c r="U184" i="106"/>
  <c r="S184" i="106"/>
  <c r="Q184" i="106"/>
  <c r="O184" i="106"/>
  <c r="M184" i="106"/>
  <c r="K184" i="106"/>
  <c r="I184" i="106"/>
  <c r="G184" i="106"/>
  <c r="E184" i="106"/>
  <c r="AQ183" i="106"/>
  <c r="AO183" i="106"/>
  <c r="AM183" i="106"/>
  <c r="AK183" i="106"/>
  <c r="AI183" i="106"/>
  <c r="AG183" i="106"/>
  <c r="AE183" i="106"/>
  <c r="AC183" i="106"/>
  <c r="AA183" i="106"/>
  <c r="Y183" i="106"/>
  <c r="W183" i="106"/>
  <c r="U183" i="106"/>
  <c r="S183" i="106"/>
  <c r="Q183" i="106"/>
  <c r="O183" i="106"/>
  <c r="M183" i="106"/>
  <c r="K183" i="106"/>
  <c r="I183" i="106"/>
  <c r="G183" i="106"/>
  <c r="E183" i="106"/>
  <c r="AQ182" i="106"/>
  <c r="AO182" i="106"/>
  <c r="AM182" i="106"/>
  <c r="AK182" i="106"/>
  <c r="AI182" i="106"/>
  <c r="AG182" i="106"/>
  <c r="AE182" i="106"/>
  <c r="AC182" i="106"/>
  <c r="AA182" i="106"/>
  <c r="Y182" i="106"/>
  <c r="W182" i="106"/>
  <c r="U182" i="106"/>
  <c r="S182" i="106"/>
  <c r="Q182" i="106"/>
  <c r="O182" i="106"/>
  <c r="M182" i="106"/>
  <c r="K182" i="106"/>
  <c r="I182" i="106"/>
  <c r="G182" i="106"/>
  <c r="E182" i="106"/>
  <c r="AQ181" i="106"/>
  <c r="AO181" i="106"/>
  <c r="AM181" i="106"/>
  <c r="AK181" i="106"/>
  <c r="AI181" i="106"/>
  <c r="AG181" i="106"/>
  <c r="AE181" i="106"/>
  <c r="AC181" i="106"/>
  <c r="AA181" i="106"/>
  <c r="Y181" i="106"/>
  <c r="W181" i="106"/>
  <c r="U181" i="106"/>
  <c r="S181" i="106"/>
  <c r="Q181" i="106"/>
  <c r="O181" i="106"/>
  <c r="M181" i="106"/>
  <c r="K181" i="106"/>
  <c r="I181" i="106"/>
  <c r="G181" i="106"/>
  <c r="E181" i="106"/>
  <c r="AQ180" i="106"/>
  <c r="AO180" i="106"/>
  <c r="AM180" i="106"/>
  <c r="AK180" i="106"/>
  <c r="AI180" i="106"/>
  <c r="AG180" i="106"/>
  <c r="AE180" i="106"/>
  <c r="AC180" i="106"/>
  <c r="AA180" i="106"/>
  <c r="Y180" i="106"/>
  <c r="W180" i="106"/>
  <c r="U180" i="106"/>
  <c r="S180" i="106"/>
  <c r="Q180" i="106"/>
  <c r="O180" i="106"/>
  <c r="M180" i="106"/>
  <c r="K180" i="106"/>
  <c r="I180" i="106"/>
  <c r="G180" i="106"/>
  <c r="E180" i="106"/>
  <c r="AQ179" i="106"/>
  <c r="AO179" i="106"/>
  <c r="AM179" i="106"/>
  <c r="AK179" i="106"/>
  <c r="AI179" i="106"/>
  <c r="AG179" i="106"/>
  <c r="AE179" i="106"/>
  <c r="AC179" i="106"/>
  <c r="AA179" i="106"/>
  <c r="Y179" i="106"/>
  <c r="W179" i="106"/>
  <c r="U179" i="106"/>
  <c r="S179" i="106"/>
  <c r="Q179" i="106"/>
  <c r="O179" i="106"/>
  <c r="M179" i="106"/>
  <c r="K179" i="106"/>
  <c r="I179" i="106"/>
  <c r="G179" i="106"/>
  <c r="E179" i="106"/>
  <c r="AQ178" i="106"/>
  <c r="AO178" i="106"/>
  <c r="AM178" i="106"/>
  <c r="AK178" i="106"/>
  <c r="AI178" i="106"/>
  <c r="AG178" i="106"/>
  <c r="AE178" i="106"/>
  <c r="AC178" i="106"/>
  <c r="AA178" i="106"/>
  <c r="Y178" i="106"/>
  <c r="W178" i="106"/>
  <c r="U178" i="106"/>
  <c r="S178" i="106"/>
  <c r="Q178" i="106"/>
  <c r="O178" i="106"/>
  <c r="M178" i="106"/>
  <c r="K178" i="106"/>
  <c r="I178" i="106"/>
  <c r="G178" i="106"/>
  <c r="E178" i="106"/>
  <c r="AQ177" i="106"/>
  <c r="AO177" i="106"/>
  <c r="AM177" i="106"/>
  <c r="AK177" i="106"/>
  <c r="AI177" i="106"/>
  <c r="AG177" i="106"/>
  <c r="AE177" i="106"/>
  <c r="AC177" i="106"/>
  <c r="AA177" i="106"/>
  <c r="Y177" i="106"/>
  <c r="W177" i="106"/>
  <c r="U177" i="106"/>
  <c r="S177" i="106"/>
  <c r="Q177" i="106"/>
  <c r="O177" i="106"/>
  <c r="M177" i="106"/>
  <c r="K177" i="106"/>
  <c r="I177" i="106"/>
  <c r="G177" i="106"/>
  <c r="E177" i="106"/>
  <c r="AQ176" i="106"/>
  <c r="AO176" i="106"/>
  <c r="AM176" i="106"/>
  <c r="AK176" i="106"/>
  <c r="AI176" i="106"/>
  <c r="AG176" i="106"/>
  <c r="AE176" i="106"/>
  <c r="AC176" i="106"/>
  <c r="AA176" i="106"/>
  <c r="Y176" i="106"/>
  <c r="W176" i="106"/>
  <c r="U176" i="106"/>
  <c r="S176" i="106"/>
  <c r="Q176" i="106"/>
  <c r="O176" i="106"/>
  <c r="M176" i="106"/>
  <c r="K176" i="106"/>
  <c r="I176" i="106"/>
  <c r="G176" i="106"/>
  <c r="E176" i="106"/>
  <c r="AQ175" i="106"/>
  <c r="AO175" i="106"/>
  <c r="AM175" i="106"/>
  <c r="AK175" i="106"/>
  <c r="AI175" i="106"/>
  <c r="AG175" i="106"/>
  <c r="AE175" i="106"/>
  <c r="AC175" i="106"/>
  <c r="AA175" i="106"/>
  <c r="Y175" i="106"/>
  <c r="W175" i="106"/>
  <c r="U175" i="106"/>
  <c r="S175" i="106"/>
  <c r="Q175" i="106"/>
  <c r="O175" i="106"/>
  <c r="M175" i="106"/>
  <c r="K175" i="106"/>
  <c r="I175" i="106"/>
  <c r="G175" i="106"/>
  <c r="E175" i="106"/>
  <c r="AQ174" i="106"/>
  <c r="AO174" i="106"/>
  <c r="AM174" i="106"/>
  <c r="AK174" i="106"/>
  <c r="AI174" i="106"/>
  <c r="AG174" i="106"/>
  <c r="AE174" i="106"/>
  <c r="AC174" i="106"/>
  <c r="AA174" i="106"/>
  <c r="Y174" i="106"/>
  <c r="W174" i="106"/>
  <c r="U174" i="106"/>
  <c r="S174" i="106"/>
  <c r="Q174" i="106"/>
  <c r="O174" i="106"/>
  <c r="M174" i="106"/>
  <c r="K174" i="106"/>
  <c r="I174" i="106"/>
  <c r="G174" i="106"/>
  <c r="E174" i="106"/>
  <c r="AQ173" i="106"/>
  <c r="AO173" i="106"/>
  <c r="AM173" i="106"/>
  <c r="AK173" i="106"/>
  <c r="AI173" i="106"/>
  <c r="AG173" i="106"/>
  <c r="AE173" i="106"/>
  <c r="AC173" i="106"/>
  <c r="AA173" i="106"/>
  <c r="Y173" i="106"/>
  <c r="W173" i="106"/>
  <c r="U173" i="106"/>
  <c r="S173" i="106"/>
  <c r="Q173" i="106"/>
  <c r="O173" i="106"/>
  <c r="M173" i="106"/>
  <c r="K173" i="106"/>
  <c r="I173" i="106"/>
  <c r="G173" i="106"/>
  <c r="E173" i="106"/>
  <c r="AQ172" i="106"/>
  <c r="AO172" i="106"/>
  <c r="AM172" i="106"/>
  <c r="AK172" i="106"/>
  <c r="AI172" i="106"/>
  <c r="AG172" i="106"/>
  <c r="AE172" i="106"/>
  <c r="AC172" i="106"/>
  <c r="AA172" i="106"/>
  <c r="Y172" i="106"/>
  <c r="W172" i="106"/>
  <c r="U172" i="106"/>
  <c r="S172" i="106"/>
  <c r="Q172" i="106"/>
  <c r="O172" i="106"/>
  <c r="M172" i="106"/>
  <c r="K172" i="106"/>
  <c r="I172" i="106"/>
  <c r="G172" i="106"/>
  <c r="E172" i="106"/>
  <c r="AQ171" i="106"/>
  <c r="AO171" i="106"/>
  <c r="AM171" i="106"/>
  <c r="AK171" i="106"/>
  <c r="AI171" i="106"/>
  <c r="AG171" i="106"/>
  <c r="AE171" i="106"/>
  <c r="AC171" i="106"/>
  <c r="AA171" i="106"/>
  <c r="Y171" i="106"/>
  <c r="W171" i="106"/>
  <c r="U171" i="106"/>
  <c r="S171" i="106"/>
  <c r="Q171" i="106"/>
  <c r="O171" i="106"/>
  <c r="M171" i="106"/>
  <c r="K171" i="106"/>
  <c r="I171" i="106"/>
  <c r="G171" i="106"/>
  <c r="E171" i="106"/>
  <c r="AQ170" i="106"/>
  <c r="AO170" i="106"/>
  <c r="AM170" i="106"/>
  <c r="AK170" i="106"/>
  <c r="AI170" i="106"/>
  <c r="AG170" i="106"/>
  <c r="AE170" i="106"/>
  <c r="AC170" i="106"/>
  <c r="AA170" i="106"/>
  <c r="Y170" i="106"/>
  <c r="W170" i="106"/>
  <c r="U170" i="106"/>
  <c r="S170" i="106"/>
  <c r="Q170" i="106"/>
  <c r="O170" i="106"/>
  <c r="M170" i="106"/>
  <c r="K170" i="106"/>
  <c r="I170" i="106"/>
  <c r="G170" i="106"/>
  <c r="E170" i="106"/>
  <c r="AQ169" i="106"/>
  <c r="AO169" i="106"/>
  <c r="AM169" i="106"/>
  <c r="AK169" i="106"/>
  <c r="AI169" i="106"/>
  <c r="AG169" i="106"/>
  <c r="AE169" i="106"/>
  <c r="AC169" i="106"/>
  <c r="AA169" i="106"/>
  <c r="Y169" i="106"/>
  <c r="W169" i="106"/>
  <c r="U169" i="106"/>
  <c r="S169" i="106"/>
  <c r="Q169" i="106"/>
  <c r="O169" i="106"/>
  <c r="M169" i="106"/>
  <c r="K169" i="106"/>
  <c r="I169" i="106"/>
  <c r="G169" i="106"/>
  <c r="E169" i="106"/>
  <c r="AQ168" i="106"/>
  <c r="AO168" i="106"/>
  <c r="AM168" i="106"/>
  <c r="AK168" i="106"/>
  <c r="AI168" i="106"/>
  <c r="AG168" i="106"/>
  <c r="AE168" i="106"/>
  <c r="AC168" i="106"/>
  <c r="AA168" i="106"/>
  <c r="Y168" i="106"/>
  <c r="W168" i="106"/>
  <c r="U168" i="106"/>
  <c r="S168" i="106"/>
  <c r="Q168" i="106"/>
  <c r="O168" i="106"/>
  <c r="M168" i="106"/>
  <c r="K168" i="106"/>
  <c r="I168" i="106"/>
  <c r="G168" i="106"/>
  <c r="E168" i="106"/>
  <c r="AQ167" i="106"/>
  <c r="AO167" i="106"/>
  <c r="AM167" i="106"/>
  <c r="AK167" i="106"/>
  <c r="AI167" i="106"/>
  <c r="AG167" i="106"/>
  <c r="AE167" i="106"/>
  <c r="AC167" i="106"/>
  <c r="AA167" i="106"/>
  <c r="Y167" i="106"/>
  <c r="W167" i="106"/>
  <c r="U167" i="106"/>
  <c r="S167" i="106"/>
  <c r="Q167" i="106"/>
  <c r="O167" i="106"/>
  <c r="M167" i="106"/>
  <c r="K167" i="106"/>
  <c r="I167" i="106"/>
  <c r="G167" i="106"/>
  <c r="E167" i="106"/>
  <c r="AQ166" i="106"/>
  <c r="AO166" i="106"/>
  <c r="AM166" i="106"/>
  <c r="AK166" i="106"/>
  <c r="AI166" i="106"/>
  <c r="AG166" i="106"/>
  <c r="AE166" i="106"/>
  <c r="AC166" i="106"/>
  <c r="AA166" i="106"/>
  <c r="Y166" i="106"/>
  <c r="W166" i="106"/>
  <c r="U166" i="106"/>
  <c r="S166" i="106"/>
  <c r="Q166" i="106"/>
  <c r="O166" i="106"/>
  <c r="M166" i="106"/>
  <c r="K166" i="106"/>
  <c r="I166" i="106"/>
  <c r="G166" i="106"/>
  <c r="E166" i="106"/>
  <c r="AQ165" i="106"/>
  <c r="AO165" i="106"/>
  <c r="AM165" i="106"/>
  <c r="AK165" i="106"/>
  <c r="AI165" i="106"/>
  <c r="AG165" i="106"/>
  <c r="AE165" i="106"/>
  <c r="AC165" i="106"/>
  <c r="AA165" i="106"/>
  <c r="Y165" i="106"/>
  <c r="W165" i="106"/>
  <c r="U165" i="106"/>
  <c r="S165" i="106"/>
  <c r="Q165" i="106"/>
  <c r="O165" i="106"/>
  <c r="M165" i="106"/>
  <c r="K165" i="106"/>
  <c r="I165" i="106"/>
  <c r="G165" i="106"/>
  <c r="E165" i="106"/>
  <c r="AQ164" i="106"/>
  <c r="AO164" i="106"/>
  <c r="AM164" i="106"/>
  <c r="AK164" i="106"/>
  <c r="AI164" i="106"/>
  <c r="AG164" i="106"/>
  <c r="AE164" i="106"/>
  <c r="AC164" i="106"/>
  <c r="AA164" i="106"/>
  <c r="Y164" i="106"/>
  <c r="W164" i="106"/>
  <c r="U164" i="106"/>
  <c r="S164" i="106"/>
  <c r="Q164" i="106"/>
  <c r="O164" i="106"/>
  <c r="M164" i="106"/>
  <c r="K164" i="106"/>
  <c r="I164" i="106"/>
  <c r="G164" i="106"/>
  <c r="E164" i="106"/>
  <c r="AQ163" i="106"/>
  <c r="AO163" i="106"/>
  <c r="AM163" i="106"/>
  <c r="AK163" i="106"/>
  <c r="AI163" i="106"/>
  <c r="AG163" i="106"/>
  <c r="AE163" i="106"/>
  <c r="AC163" i="106"/>
  <c r="AA163" i="106"/>
  <c r="Y163" i="106"/>
  <c r="W163" i="106"/>
  <c r="U163" i="106"/>
  <c r="S163" i="106"/>
  <c r="Q163" i="106"/>
  <c r="O163" i="106"/>
  <c r="M163" i="106"/>
  <c r="K163" i="106"/>
  <c r="I163" i="106"/>
  <c r="G163" i="106"/>
  <c r="E163" i="106"/>
  <c r="AQ162" i="106"/>
  <c r="AO162" i="106"/>
  <c r="AM162" i="106"/>
  <c r="AK162" i="106"/>
  <c r="AI162" i="106"/>
  <c r="AG162" i="106"/>
  <c r="AE162" i="106"/>
  <c r="AC162" i="106"/>
  <c r="AA162" i="106"/>
  <c r="Y162" i="106"/>
  <c r="W162" i="106"/>
  <c r="U162" i="106"/>
  <c r="S162" i="106"/>
  <c r="Q162" i="106"/>
  <c r="O162" i="106"/>
  <c r="M162" i="106"/>
  <c r="K162" i="106"/>
  <c r="I162" i="106"/>
  <c r="G162" i="106"/>
  <c r="E162" i="106"/>
  <c r="AQ161" i="106"/>
  <c r="AO161" i="106"/>
  <c r="AM161" i="106"/>
  <c r="AK161" i="106"/>
  <c r="AI161" i="106"/>
  <c r="AG161" i="106"/>
  <c r="AE161" i="106"/>
  <c r="AC161" i="106"/>
  <c r="AA161" i="106"/>
  <c r="Y161" i="106"/>
  <c r="W161" i="106"/>
  <c r="U161" i="106"/>
  <c r="S161" i="106"/>
  <c r="Q161" i="106"/>
  <c r="O161" i="106"/>
  <c r="M161" i="106"/>
  <c r="K161" i="106"/>
  <c r="I161" i="106"/>
  <c r="G161" i="106"/>
  <c r="E161" i="106"/>
  <c r="AQ160" i="106"/>
  <c r="AO160" i="106"/>
  <c r="AM160" i="106"/>
  <c r="AK160" i="106"/>
  <c r="AI160" i="106"/>
  <c r="AG160" i="106"/>
  <c r="AE160" i="106"/>
  <c r="AC160" i="106"/>
  <c r="AA160" i="106"/>
  <c r="Y160" i="106"/>
  <c r="W160" i="106"/>
  <c r="U160" i="106"/>
  <c r="S160" i="106"/>
  <c r="Q160" i="106"/>
  <c r="O160" i="106"/>
  <c r="M160" i="106"/>
  <c r="K160" i="106"/>
  <c r="I160" i="106"/>
  <c r="G160" i="106"/>
  <c r="E160" i="106"/>
  <c r="AQ159" i="106"/>
  <c r="AO159" i="106"/>
  <c r="AM159" i="106"/>
  <c r="AK159" i="106"/>
  <c r="AI159" i="106"/>
  <c r="AG159" i="106"/>
  <c r="AE159" i="106"/>
  <c r="AC159" i="106"/>
  <c r="AA159" i="106"/>
  <c r="Y159" i="106"/>
  <c r="W159" i="106"/>
  <c r="U159" i="106"/>
  <c r="S159" i="106"/>
  <c r="Q159" i="106"/>
  <c r="O159" i="106"/>
  <c r="M159" i="106"/>
  <c r="K159" i="106"/>
  <c r="I159" i="106"/>
  <c r="G159" i="106"/>
  <c r="E159" i="106"/>
  <c r="AQ158" i="106"/>
  <c r="AO158" i="106"/>
  <c r="AM158" i="106"/>
  <c r="AK158" i="106"/>
  <c r="AI158" i="106"/>
  <c r="AG158" i="106"/>
  <c r="AE158" i="106"/>
  <c r="AC158" i="106"/>
  <c r="AA158" i="106"/>
  <c r="Y158" i="106"/>
  <c r="W158" i="106"/>
  <c r="U158" i="106"/>
  <c r="S158" i="106"/>
  <c r="Q158" i="106"/>
  <c r="O158" i="106"/>
  <c r="M158" i="106"/>
  <c r="K158" i="106"/>
  <c r="I158" i="106"/>
  <c r="G158" i="106"/>
  <c r="E158" i="106"/>
  <c r="AQ157" i="106"/>
  <c r="AO157" i="106"/>
  <c r="AM157" i="106"/>
  <c r="AK157" i="106"/>
  <c r="AI157" i="106"/>
  <c r="AG157" i="106"/>
  <c r="AE157" i="106"/>
  <c r="AC157" i="106"/>
  <c r="AA157" i="106"/>
  <c r="Y157" i="106"/>
  <c r="W157" i="106"/>
  <c r="U157" i="106"/>
  <c r="S157" i="106"/>
  <c r="Q157" i="106"/>
  <c r="O157" i="106"/>
  <c r="M157" i="106"/>
  <c r="K157" i="106"/>
  <c r="I157" i="106"/>
  <c r="G157" i="106"/>
  <c r="E157" i="106"/>
  <c r="AQ156" i="106"/>
  <c r="AO156" i="106"/>
  <c r="AM156" i="106"/>
  <c r="AK156" i="106"/>
  <c r="AI156" i="106"/>
  <c r="AG156" i="106"/>
  <c r="AE156" i="106"/>
  <c r="AC156" i="106"/>
  <c r="AA156" i="106"/>
  <c r="Y156" i="106"/>
  <c r="W156" i="106"/>
  <c r="U156" i="106"/>
  <c r="S156" i="106"/>
  <c r="Q156" i="106"/>
  <c r="O156" i="106"/>
  <c r="M156" i="106"/>
  <c r="K156" i="106"/>
  <c r="I156" i="106"/>
  <c r="G156" i="106"/>
  <c r="E156" i="106"/>
  <c r="AQ155" i="106"/>
  <c r="AO155" i="106"/>
  <c r="AM155" i="106"/>
  <c r="AK155" i="106"/>
  <c r="AI155" i="106"/>
  <c r="AG155" i="106"/>
  <c r="AE155" i="106"/>
  <c r="AC155" i="106"/>
  <c r="AA155" i="106"/>
  <c r="Y155" i="106"/>
  <c r="W155" i="106"/>
  <c r="U155" i="106"/>
  <c r="S155" i="106"/>
  <c r="Q155" i="106"/>
  <c r="O155" i="106"/>
  <c r="M155" i="106"/>
  <c r="K155" i="106"/>
  <c r="I155" i="106"/>
  <c r="G155" i="106"/>
  <c r="E155" i="106"/>
  <c r="AQ154" i="106"/>
  <c r="AO154" i="106"/>
  <c r="AM154" i="106"/>
  <c r="AK154" i="106"/>
  <c r="AI154" i="106"/>
  <c r="AG154" i="106"/>
  <c r="AE154" i="106"/>
  <c r="AC154" i="106"/>
  <c r="AA154" i="106"/>
  <c r="Y154" i="106"/>
  <c r="W154" i="106"/>
  <c r="U154" i="106"/>
  <c r="S154" i="106"/>
  <c r="Q154" i="106"/>
  <c r="O154" i="106"/>
  <c r="M154" i="106"/>
  <c r="K154" i="106"/>
  <c r="I154" i="106"/>
  <c r="G154" i="106"/>
  <c r="E154" i="106"/>
  <c r="AQ153" i="106"/>
  <c r="AO153" i="106"/>
  <c r="AM153" i="106"/>
  <c r="AK153" i="106"/>
  <c r="AI153" i="106"/>
  <c r="AG153" i="106"/>
  <c r="AE153" i="106"/>
  <c r="AC153" i="106"/>
  <c r="AA153" i="106"/>
  <c r="Y153" i="106"/>
  <c r="W153" i="106"/>
  <c r="U153" i="106"/>
  <c r="S153" i="106"/>
  <c r="Q153" i="106"/>
  <c r="O153" i="106"/>
  <c r="M153" i="106"/>
  <c r="K153" i="106"/>
  <c r="I153" i="106"/>
  <c r="G153" i="106"/>
  <c r="E153" i="106"/>
  <c r="AQ152" i="106"/>
  <c r="AO152" i="106"/>
  <c r="AM152" i="106"/>
  <c r="AK152" i="106"/>
  <c r="AI152" i="106"/>
  <c r="AG152" i="106"/>
  <c r="AE152" i="106"/>
  <c r="AC152" i="106"/>
  <c r="AA152" i="106"/>
  <c r="Y152" i="106"/>
  <c r="W152" i="106"/>
  <c r="U152" i="106"/>
  <c r="S152" i="106"/>
  <c r="Q152" i="106"/>
  <c r="O152" i="106"/>
  <c r="M152" i="106"/>
  <c r="K152" i="106"/>
  <c r="I152" i="106"/>
  <c r="G152" i="106"/>
  <c r="E152" i="106"/>
  <c r="AQ151" i="106"/>
  <c r="AO151" i="106"/>
  <c r="AM151" i="106"/>
  <c r="AK151" i="106"/>
  <c r="AI151" i="106"/>
  <c r="AG151" i="106"/>
  <c r="AE151" i="106"/>
  <c r="AC151" i="106"/>
  <c r="AA151" i="106"/>
  <c r="Y151" i="106"/>
  <c r="W151" i="106"/>
  <c r="U151" i="106"/>
  <c r="S151" i="106"/>
  <c r="Q151" i="106"/>
  <c r="O151" i="106"/>
  <c r="M151" i="106"/>
  <c r="K151" i="106"/>
  <c r="I151" i="106"/>
  <c r="G151" i="106"/>
  <c r="E151" i="106"/>
  <c r="AQ150" i="106"/>
  <c r="AO150" i="106"/>
  <c r="AM150" i="106"/>
  <c r="AK150" i="106"/>
  <c r="AI150" i="106"/>
  <c r="AG150" i="106"/>
  <c r="AE150" i="106"/>
  <c r="AC150" i="106"/>
  <c r="AA150" i="106"/>
  <c r="Y150" i="106"/>
  <c r="W150" i="106"/>
  <c r="U150" i="106"/>
  <c r="S150" i="106"/>
  <c r="Q150" i="106"/>
  <c r="O150" i="106"/>
  <c r="M150" i="106"/>
  <c r="K150" i="106"/>
  <c r="I150" i="106"/>
  <c r="G150" i="106"/>
  <c r="E150" i="106"/>
  <c r="AQ149" i="106"/>
  <c r="AO149" i="106"/>
  <c r="AM149" i="106"/>
  <c r="AK149" i="106"/>
  <c r="AI149" i="106"/>
  <c r="AG149" i="106"/>
  <c r="AE149" i="106"/>
  <c r="AC149" i="106"/>
  <c r="AA149" i="106"/>
  <c r="Y149" i="106"/>
  <c r="W149" i="106"/>
  <c r="U149" i="106"/>
  <c r="S149" i="106"/>
  <c r="Q149" i="106"/>
  <c r="O149" i="106"/>
  <c r="M149" i="106"/>
  <c r="K149" i="106"/>
  <c r="I149" i="106"/>
  <c r="G149" i="106"/>
  <c r="E149" i="106"/>
  <c r="AQ148" i="106"/>
  <c r="AO148" i="106"/>
  <c r="AM148" i="106"/>
  <c r="AK148" i="106"/>
  <c r="AI148" i="106"/>
  <c r="AG148" i="106"/>
  <c r="AE148" i="106"/>
  <c r="AC148" i="106"/>
  <c r="AA148" i="106"/>
  <c r="Y148" i="106"/>
  <c r="W148" i="106"/>
  <c r="U148" i="106"/>
  <c r="S148" i="106"/>
  <c r="Q148" i="106"/>
  <c r="O148" i="106"/>
  <c r="M148" i="106"/>
  <c r="K148" i="106"/>
  <c r="I148" i="106"/>
  <c r="G148" i="106"/>
  <c r="E148" i="106"/>
  <c r="AQ147" i="106"/>
  <c r="AO147" i="106"/>
  <c r="AM147" i="106"/>
  <c r="AK147" i="106"/>
  <c r="AI147" i="106"/>
  <c r="AG147" i="106"/>
  <c r="AE147" i="106"/>
  <c r="AC147" i="106"/>
  <c r="AA147" i="106"/>
  <c r="Y147" i="106"/>
  <c r="W147" i="106"/>
  <c r="U147" i="106"/>
  <c r="S147" i="106"/>
  <c r="Q147" i="106"/>
  <c r="O147" i="106"/>
  <c r="M147" i="106"/>
  <c r="K147" i="106"/>
  <c r="I147" i="106"/>
  <c r="G147" i="106"/>
  <c r="E147" i="106"/>
  <c r="AQ146" i="106"/>
  <c r="AO146" i="106"/>
  <c r="AM146" i="106"/>
  <c r="AK146" i="106"/>
  <c r="AI146" i="106"/>
  <c r="AG146" i="106"/>
  <c r="AE146" i="106"/>
  <c r="AC146" i="106"/>
  <c r="AA146" i="106"/>
  <c r="Y146" i="106"/>
  <c r="W146" i="106"/>
  <c r="U146" i="106"/>
  <c r="S146" i="106"/>
  <c r="Q146" i="106"/>
  <c r="O146" i="106"/>
  <c r="M146" i="106"/>
  <c r="K146" i="106"/>
  <c r="I146" i="106"/>
  <c r="G146" i="106"/>
  <c r="E146" i="106"/>
  <c r="AQ145" i="106"/>
  <c r="AO145" i="106"/>
  <c r="AM145" i="106"/>
  <c r="AK145" i="106"/>
  <c r="AI145" i="106"/>
  <c r="AG145" i="106"/>
  <c r="AE145" i="106"/>
  <c r="AC145" i="106"/>
  <c r="AA145" i="106"/>
  <c r="Y145" i="106"/>
  <c r="W145" i="106"/>
  <c r="U145" i="106"/>
  <c r="S145" i="106"/>
  <c r="Q145" i="106"/>
  <c r="O145" i="106"/>
  <c r="M145" i="106"/>
  <c r="K145" i="106"/>
  <c r="I145" i="106"/>
  <c r="G145" i="106"/>
  <c r="E145" i="106"/>
  <c r="AQ144" i="106"/>
  <c r="AO144" i="106"/>
  <c r="AM144" i="106"/>
  <c r="AK144" i="106"/>
  <c r="AI144" i="106"/>
  <c r="AG144" i="106"/>
  <c r="AE144" i="106"/>
  <c r="AC144" i="106"/>
  <c r="AA144" i="106"/>
  <c r="Y144" i="106"/>
  <c r="W144" i="106"/>
  <c r="U144" i="106"/>
  <c r="S144" i="106"/>
  <c r="Q144" i="106"/>
  <c r="O144" i="106"/>
  <c r="M144" i="106"/>
  <c r="K144" i="106"/>
  <c r="I144" i="106"/>
  <c r="G144" i="106"/>
  <c r="E144" i="106"/>
  <c r="AQ143" i="106"/>
  <c r="AO143" i="106"/>
  <c r="AM143" i="106"/>
  <c r="AK143" i="106"/>
  <c r="AI143" i="106"/>
  <c r="AG143" i="106"/>
  <c r="AE143" i="106"/>
  <c r="AC143" i="106"/>
  <c r="AA143" i="106"/>
  <c r="Y143" i="106"/>
  <c r="W143" i="106"/>
  <c r="U143" i="106"/>
  <c r="S143" i="106"/>
  <c r="Q143" i="106"/>
  <c r="O143" i="106"/>
  <c r="M143" i="106"/>
  <c r="K143" i="106"/>
  <c r="I143" i="106"/>
  <c r="G143" i="106"/>
  <c r="E143" i="106"/>
  <c r="AQ142" i="106"/>
  <c r="AO142" i="106"/>
  <c r="AM142" i="106"/>
  <c r="AK142" i="106"/>
  <c r="AI142" i="106"/>
  <c r="AG142" i="106"/>
  <c r="AE142" i="106"/>
  <c r="AC142" i="106"/>
  <c r="AA142" i="106"/>
  <c r="Y142" i="106"/>
  <c r="W142" i="106"/>
  <c r="U142" i="106"/>
  <c r="S142" i="106"/>
  <c r="Q142" i="106"/>
  <c r="O142" i="106"/>
  <c r="M142" i="106"/>
  <c r="K142" i="106"/>
  <c r="I142" i="106"/>
  <c r="G142" i="106"/>
  <c r="E142" i="106"/>
  <c r="AQ141" i="106"/>
  <c r="AO141" i="106"/>
  <c r="AM141" i="106"/>
  <c r="AK141" i="106"/>
  <c r="AI141" i="106"/>
  <c r="AG141" i="106"/>
  <c r="AE141" i="106"/>
  <c r="AC141" i="106"/>
  <c r="AA141" i="106"/>
  <c r="Y141" i="106"/>
  <c r="W141" i="106"/>
  <c r="U141" i="106"/>
  <c r="S141" i="106"/>
  <c r="Q141" i="106"/>
  <c r="O141" i="106"/>
  <c r="M141" i="106"/>
  <c r="K141" i="106"/>
  <c r="I141" i="106"/>
  <c r="G141" i="106"/>
  <c r="E141" i="106"/>
  <c r="AQ140" i="106"/>
  <c r="AO140" i="106"/>
  <c r="AM140" i="106"/>
  <c r="AK140" i="106"/>
  <c r="AI140" i="106"/>
  <c r="AG140" i="106"/>
  <c r="AE140" i="106"/>
  <c r="AC140" i="106"/>
  <c r="AA140" i="106"/>
  <c r="Y140" i="106"/>
  <c r="W140" i="106"/>
  <c r="U140" i="106"/>
  <c r="S140" i="106"/>
  <c r="Q140" i="106"/>
  <c r="O140" i="106"/>
  <c r="M140" i="106"/>
  <c r="K140" i="106"/>
  <c r="I140" i="106"/>
  <c r="G140" i="106"/>
  <c r="E140" i="106"/>
  <c r="AQ139" i="106"/>
  <c r="AO139" i="106"/>
  <c r="AM139" i="106"/>
  <c r="AK139" i="106"/>
  <c r="AI139" i="106"/>
  <c r="AG139" i="106"/>
  <c r="AE139" i="106"/>
  <c r="AC139" i="106"/>
  <c r="AA139" i="106"/>
  <c r="Y139" i="106"/>
  <c r="W139" i="106"/>
  <c r="U139" i="106"/>
  <c r="S139" i="106"/>
  <c r="Q139" i="106"/>
  <c r="O139" i="106"/>
  <c r="M139" i="106"/>
  <c r="K139" i="106"/>
  <c r="I139" i="106"/>
  <c r="G139" i="106"/>
  <c r="E139" i="106"/>
  <c r="AQ138" i="106"/>
  <c r="AO138" i="106"/>
  <c r="AM138" i="106"/>
  <c r="AK138" i="106"/>
  <c r="AI138" i="106"/>
  <c r="AG138" i="106"/>
  <c r="AE138" i="106"/>
  <c r="AC138" i="106"/>
  <c r="AA138" i="106"/>
  <c r="Y138" i="106"/>
  <c r="W138" i="106"/>
  <c r="U138" i="106"/>
  <c r="S138" i="106"/>
  <c r="Q138" i="106"/>
  <c r="O138" i="106"/>
  <c r="M138" i="106"/>
  <c r="K138" i="106"/>
  <c r="I138" i="106"/>
  <c r="G138" i="106"/>
  <c r="E138" i="106"/>
  <c r="AQ137" i="106"/>
  <c r="AO137" i="106"/>
  <c r="AM137" i="106"/>
  <c r="AK137" i="106"/>
  <c r="AI137" i="106"/>
  <c r="AG137" i="106"/>
  <c r="AE137" i="106"/>
  <c r="AC137" i="106"/>
  <c r="AA137" i="106"/>
  <c r="Y137" i="106"/>
  <c r="W137" i="106"/>
  <c r="U137" i="106"/>
  <c r="S137" i="106"/>
  <c r="Q137" i="106"/>
  <c r="O137" i="106"/>
  <c r="M137" i="106"/>
  <c r="K137" i="106"/>
  <c r="I137" i="106"/>
  <c r="G137" i="106"/>
  <c r="E137" i="106"/>
  <c r="AQ136" i="106"/>
  <c r="AO136" i="106"/>
  <c r="AM136" i="106"/>
  <c r="AK136" i="106"/>
  <c r="AI136" i="106"/>
  <c r="AG136" i="106"/>
  <c r="AE136" i="106"/>
  <c r="AC136" i="106"/>
  <c r="AA136" i="106"/>
  <c r="Y136" i="106"/>
  <c r="W136" i="106"/>
  <c r="U136" i="106"/>
  <c r="S136" i="106"/>
  <c r="Q136" i="106"/>
  <c r="O136" i="106"/>
  <c r="M136" i="106"/>
  <c r="K136" i="106"/>
  <c r="I136" i="106"/>
  <c r="G136" i="106"/>
  <c r="E136" i="106"/>
  <c r="AQ135" i="106"/>
  <c r="AO135" i="106"/>
  <c r="AM135" i="106"/>
  <c r="AK135" i="106"/>
  <c r="AI135" i="106"/>
  <c r="AG135" i="106"/>
  <c r="AE135" i="106"/>
  <c r="AC135" i="106"/>
  <c r="AA135" i="106"/>
  <c r="Y135" i="106"/>
  <c r="U135" i="106"/>
  <c r="S135" i="106"/>
  <c r="Q135" i="106"/>
  <c r="O135" i="106"/>
  <c r="M135" i="106"/>
  <c r="K135" i="106"/>
  <c r="I135" i="106"/>
  <c r="G135" i="106"/>
  <c r="E135" i="106"/>
  <c r="AQ134" i="106"/>
  <c r="AO134" i="106"/>
  <c r="AM134" i="106"/>
  <c r="AK134" i="106"/>
  <c r="AI134" i="106"/>
  <c r="AG134" i="106"/>
  <c r="AE134" i="106"/>
  <c r="AC134" i="106"/>
  <c r="AA134" i="106"/>
  <c r="Y134" i="106"/>
  <c r="U134" i="106"/>
  <c r="S134" i="106"/>
  <c r="Q134" i="106"/>
  <c r="O134" i="106"/>
  <c r="M134" i="106"/>
  <c r="K134" i="106"/>
  <c r="I134" i="106"/>
  <c r="G134" i="106"/>
  <c r="E134" i="106"/>
  <c r="AQ133" i="106"/>
  <c r="AO133" i="106"/>
  <c r="AM133" i="106"/>
  <c r="AK133" i="106"/>
  <c r="AI133" i="106"/>
  <c r="AG133" i="106"/>
  <c r="AE133" i="106"/>
  <c r="AC133" i="106"/>
  <c r="AA133" i="106"/>
  <c r="Y133" i="106"/>
  <c r="U133" i="106"/>
  <c r="S133" i="106"/>
  <c r="Q133" i="106"/>
  <c r="O133" i="106"/>
  <c r="M133" i="106"/>
  <c r="K133" i="106"/>
  <c r="I133" i="106"/>
  <c r="G133" i="106"/>
  <c r="E133" i="106"/>
  <c r="AQ132" i="106"/>
  <c r="AO132" i="106"/>
  <c r="AM132" i="106"/>
  <c r="AK132" i="106"/>
  <c r="AI132" i="106"/>
  <c r="AG132" i="106"/>
  <c r="AE132" i="106"/>
  <c r="AC132" i="106"/>
  <c r="AA132" i="106"/>
  <c r="Y132" i="106"/>
  <c r="U132" i="106"/>
  <c r="S132" i="106"/>
  <c r="Q132" i="106"/>
  <c r="O132" i="106"/>
  <c r="M132" i="106"/>
  <c r="K132" i="106"/>
  <c r="I132" i="106"/>
  <c r="G132" i="106"/>
  <c r="E132" i="106"/>
  <c r="AQ131" i="106"/>
  <c r="AO131" i="106"/>
  <c r="AM131" i="106"/>
  <c r="AK131" i="106"/>
  <c r="AI131" i="106"/>
  <c r="AG131" i="106"/>
  <c r="AE131" i="106"/>
  <c r="AC131" i="106"/>
  <c r="AA131" i="106"/>
  <c r="Y131" i="106"/>
  <c r="U131" i="106"/>
  <c r="S131" i="106"/>
  <c r="Q131" i="106"/>
  <c r="O131" i="106"/>
  <c r="M131" i="106"/>
  <c r="K131" i="106"/>
  <c r="I131" i="106"/>
  <c r="G131" i="106"/>
  <c r="E131" i="106"/>
  <c r="AQ130" i="106"/>
  <c r="AO130" i="106"/>
  <c r="AM130" i="106"/>
  <c r="AK130" i="106"/>
  <c r="AI130" i="106"/>
  <c r="AG130" i="106"/>
  <c r="AE130" i="106"/>
  <c r="AC130" i="106"/>
  <c r="AA130" i="106"/>
  <c r="Y130" i="106"/>
  <c r="U130" i="106"/>
  <c r="S130" i="106"/>
  <c r="Q130" i="106"/>
  <c r="O130" i="106"/>
  <c r="M130" i="106"/>
  <c r="K130" i="106"/>
  <c r="I130" i="106"/>
  <c r="G130" i="106"/>
  <c r="E130" i="106"/>
  <c r="AQ129" i="106"/>
  <c r="AO129" i="106"/>
  <c r="AM129" i="106"/>
  <c r="AK129" i="106"/>
  <c r="AI129" i="106"/>
  <c r="AG129" i="106"/>
  <c r="AE129" i="106"/>
  <c r="AC129" i="106"/>
  <c r="AA129" i="106"/>
  <c r="Y129" i="106"/>
  <c r="W129" i="106"/>
  <c r="U129" i="106"/>
  <c r="S129" i="106"/>
  <c r="Q129" i="106"/>
  <c r="O129" i="106"/>
  <c r="M129" i="106"/>
  <c r="K129" i="106"/>
  <c r="I129" i="106"/>
  <c r="G129" i="106"/>
  <c r="E129" i="106"/>
  <c r="AQ128" i="106"/>
  <c r="AO128" i="106"/>
  <c r="AM128" i="106"/>
  <c r="AK128" i="106"/>
  <c r="AI128" i="106"/>
  <c r="AG128" i="106"/>
  <c r="AE128" i="106"/>
  <c r="AC128" i="106"/>
  <c r="AA128" i="106"/>
  <c r="Y128" i="106"/>
  <c r="W128" i="106"/>
  <c r="U128" i="106"/>
  <c r="S128" i="106"/>
  <c r="Q128" i="106"/>
  <c r="O128" i="106"/>
  <c r="M128" i="106"/>
  <c r="K128" i="106"/>
  <c r="I128" i="106"/>
  <c r="G128" i="106"/>
  <c r="E128" i="106"/>
  <c r="AQ127" i="106"/>
  <c r="AO127" i="106"/>
  <c r="AM127" i="106"/>
  <c r="AK127" i="106"/>
  <c r="AI127" i="106"/>
  <c r="AG127" i="106"/>
  <c r="AE127" i="106"/>
  <c r="AC127" i="106"/>
  <c r="AA127" i="106"/>
  <c r="Y127" i="106"/>
  <c r="U127" i="106"/>
  <c r="S127" i="106"/>
  <c r="Q127" i="106"/>
  <c r="O127" i="106"/>
  <c r="M127" i="106"/>
  <c r="K127" i="106"/>
  <c r="I127" i="106"/>
  <c r="G127" i="106"/>
  <c r="E127" i="106"/>
  <c r="AQ126" i="106"/>
  <c r="AO126" i="106"/>
  <c r="AM126" i="106"/>
  <c r="AK126" i="106"/>
  <c r="AI126" i="106"/>
  <c r="AG126" i="106"/>
  <c r="AE126" i="106"/>
  <c r="AC126" i="106"/>
  <c r="AA126" i="106"/>
  <c r="Y126" i="106"/>
  <c r="U126" i="106"/>
  <c r="S126" i="106"/>
  <c r="Q126" i="106"/>
  <c r="O126" i="106"/>
  <c r="M126" i="106"/>
  <c r="K126" i="106"/>
  <c r="I126" i="106"/>
  <c r="G126" i="106"/>
  <c r="E126" i="106"/>
  <c r="AQ125" i="106"/>
  <c r="AO125" i="106"/>
  <c r="AM125" i="106"/>
  <c r="AK125" i="106"/>
  <c r="AI125" i="106"/>
  <c r="AG125" i="106"/>
  <c r="AE125" i="106"/>
  <c r="AC125" i="106"/>
  <c r="AA125" i="106"/>
  <c r="Y125" i="106"/>
  <c r="W125" i="106"/>
  <c r="S125" i="106"/>
  <c r="Q125" i="106"/>
  <c r="O125" i="106"/>
  <c r="M125" i="106"/>
  <c r="K125" i="106"/>
  <c r="I125" i="106"/>
  <c r="G125" i="106"/>
  <c r="E125" i="106"/>
  <c r="AQ124" i="106"/>
  <c r="AO124" i="106"/>
  <c r="AM124" i="106"/>
  <c r="AK124" i="106"/>
  <c r="AI124" i="106"/>
  <c r="AG124" i="106"/>
  <c r="AE124" i="106"/>
  <c r="AC124" i="106"/>
  <c r="AA124" i="106"/>
  <c r="Y124" i="106"/>
  <c r="S124" i="106"/>
  <c r="Q124" i="106"/>
  <c r="O124" i="106"/>
  <c r="M124" i="106"/>
  <c r="K124" i="106"/>
  <c r="I124" i="106"/>
  <c r="G124" i="106"/>
  <c r="E124" i="106"/>
  <c r="AQ123" i="106"/>
  <c r="AO123" i="106"/>
  <c r="AM123" i="106"/>
  <c r="AK123" i="106"/>
  <c r="AI123" i="106"/>
  <c r="AG123" i="106"/>
  <c r="AE123" i="106"/>
  <c r="AC123" i="106"/>
  <c r="AA123" i="106"/>
  <c r="Y123" i="106"/>
  <c r="W123" i="106"/>
  <c r="U123" i="106"/>
  <c r="S123" i="106"/>
  <c r="Q123" i="106"/>
  <c r="O123" i="106"/>
  <c r="M123" i="106"/>
  <c r="K123" i="106"/>
  <c r="I123" i="106"/>
  <c r="G123" i="106"/>
  <c r="E123" i="106"/>
  <c r="AQ122" i="106"/>
  <c r="AO122" i="106"/>
  <c r="AM122" i="106"/>
  <c r="AK122" i="106"/>
  <c r="AI122" i="106"/>
  <c r="AG122" i="106"/>
  <c r="AE122" i="106"/>
  <c r="AC122" i="106"/>
  <c r="AA122" i="106"/>
  <c r="Y122" i="106"/>
  <c r="W122" i="106"/>
  <c r="U122" i="106"/>
  <c r="S122" i="106"/>
  <c r="Q122" i="106"/>
  <c r="O122" i="106"/>
  <c r="M122" i="106"/>
  <c r="K122" i="106"/>
  <c r="I122" i="106"/>
  <c r="G122" i="106"/>
  <c r="E122" i="106"/>
  <c r="AQ121" i="106"/>
  <c r="AO121" i="106"/>
  <c r="AM121" i="106"/>
  <c r="AK121" i="106"/>
  <c r="AI121" i="106"/>
  <c r="AG121" i="106"/>
  <c r="AE121" i="106"/>
  <c r="AC121" i="106"/>
  <c r="AA121" i="106"/>
  <c r="Y121" i="106"/>
  <c r="U121" i="106"/>
  <c r="S121" i="106"/>
  <c r="Q121" i="106"/>
  <c r="O121" i="106"/>
  <c r="M121" i="106"/>
  <c r="K121" i="106"/>
  <c r="I121" i="106"/>
  <c r="G121" i="106"/>
  <c r="E121" i="106"/>
  <c r="AQ120" i="106"/>
  <c r="AO120" i="106"/>
  <c r="AM120" i="106"/>
  <c r="AK120" i="106"/>
  <c r="AI120" i="106"/>
  <c r="AG120" i="106"/>
  <c r="AE120" i="106"/>
  <c r="AC120" i="106"/>
  <c r="AA120" i="106"/>
  <c r="Y120" i="106"/>
  <c r="U120" i="106"/>
  <c r="S120" i="106"/>
  <c r="Q120" i="106"/>
  <c r="O120" i="106"/>
  <c r="M120" i="106"/>
  <c r="K120" i="106"/>
  <c r="I120" i="106"/>
  <c r="G120" i="106"/>
  <c r="E120" i="106"/>
  <c r="AQ119" i="106"/>
  <c r="AO119" i="106"/>
  <c r="AM119" i="106"/>
  <c r="AK119" i="106"/>
  <c r="AI119" i="106"/>
  <c r="AG119" i="106"/>
  <c r="AE119" i="106"/>
  <c r="AC119" i="106"/>
  <c r="AA119" i="106"/>
  <c r="Y119" i="106"/>
  <c r="W119" i="106"/>
  <c r="U119" i="106"/>
  <c r="S119" i="106"/>
  <c r="Q119" i="106"/>
  <c r="O119" i="106"/>
  <c r="M119" i="106"/>
  <c r="K119" i="106"/>
  <c r="I119" i="106"/>
  <c r="G119" i="106"/>
  <c r="E119" i="106"/>
  <c r="AQ118" i="106"/>
  <c r="AO118" i="106"/>
  <c r="AM118" i="106"/>
  <c r="AK118" i="106"/>
  <c r="AI118" i="106"/>
  <c r="AG118" i="106"/>
  <c r="AE118" i="106"/>
  <c r="AC118" i="106"/>
  <c r="AA118" i="106"/>
  <c r="Y118" i="106"/>
  <c r="W118" i="106"/>
  <c r="U118" i="106"/>
  <c r="S118" i="106"/>
  <c r="Q118" i="106"/>
  <c r="O118" i="106"/>
  <c r="M118" i="106"/>
  <c r="K118" i="106"/>
  <c r="I118" i="106"/>
  <c r="G118" i="106"/>
  <c r="E118" i="106"/>
  <c r="AQ117" i="106"/>
  <c r="AO117" i="106"/>
  <c r="AM117" i="106"/>
  <c r="AK117" i="106"/>
  <c r="AI117" i="106"/>
  <c r="AG117" i="106"/>
  <c r="AE117" i="106"/>
  <c r="AC117" i="106"/>
  <c r="AA117" i="106"/>
  <c r="Y117" i="106"/>
  <c r="W117" i="106"/>
  <c r="U117" i="106"/>
  <c r="S117" i="106"/>
  <c r="O117" i="106"/>
  <c r="M117" i="106"/>
  <c r="K117" i="106"/>
  <c r="I117" i="106"/>
  <c r="G117" i="106"/>
  <c r="E117" i="106"/>
  <c r="AQ116" i="106"/>
  <c r="AO116" i="106"/>
  <c r="AM116" i="106"/>
  <c r="AK116" i="106"/>
  <c r="AI116" i="106"/>
  <c r="AG116" i="106"/>
  <c r="AE116" i="106"/>
  <c r="AC116" i="106"/>
  <c r="AA116" i="106"/>
  <c r="Y116" i="106"/>
  <c r="W116" i="106"/>
  <c r="U116" i="106"/>
  <c r="S116" i="106"/>
  <c r="Q116" i="106"/>
  <c r="O116" i="106"/>
  <c r="M116" i="106"/>
  <c r="K116" i="106"/>
  <c r="I116" i="106"/>
  <c r="G116" i="106"/>
  <c r="E116" i="106"/>
  <c r="AQ115" i="106"/>
  <c r="AO115" i="106"/>
  <c r="AM115" i="106"/>
  <c r="AK115" i="106"/>
  <c r="AI115" i="106"/>
  <c r="AG115" i="106"/>
  <c r="AE115" i="106"/>
  <c r="AC115" i="106"/>
  <c r="AA115" i="106"/>
  <c r="Y115" i="106"/>
  <c r="W115" i="106"/>
  <c r="U115" i="106"/>
  <c r="S115" i="106"/>
  <c r="Q115" i="106"/>
  <c r="O115" i="106"/>
  <c r="M115" i="106"/>
  <c r="K115" i="106"/>
  <c r="I115" i="106"/>
  <c r="G115" i="106"/>
  <c r="E115" i="106"/>
  <c r="AQ114" i="106"/>
  <c r="AO114" i="106"/>
  <c r="AM114" i="106"/>
  <c r="AK114" i="106"/>
  <c r="AI114" i="106"/>
  <c r="AG114" i="106"/>
  <c r="AE114" i="106"/>
  <c r="AC114" i="106"/>
  <c r="AA114" i="106"/>
  <c r="Y114" i="106"/>
  <c r="W114" i="106"/>
  <c r="U114" i="106"/>
  <c r="S114" i="106"/>
  <c r="Q114" i="106"/>
  <c r="O114" i="106"/>
  <c r="M114" i="106"/>
  <c r="K114" i="106"/>
  <c r="I114" i="106"/>
  <c r="G114" i="106"/>
  <c r="E114" i="106"/>
  <c r="AP113" i="106"/>
  <c r="AN113" i="106"/>
  <c r="AJ113" i="106"/>
  <c r="AF113" i="106"/>
  <c r="AD113" i="106"/>
  <c r="AB113" i="106"/>
  <c r="Z113" i="106"/>
  <c r="X113" i="106"/>
  <c r="V113" i="106"/>
  <c r="T113" i="106"/>
  <c r="R113" i="106"/>
  <c r="P113" i="106"/>
  <c r="N113" i="106"/>
  <c r="D113" i="106"/>
  <c r="B113" i="106"/>
  <c r="AQ112" i="106"/>
  <c r="AO112" i="106"/>
  <c r="AM112" i="106"/>
  <c r="AK112" i="106"/>
  <c r="AI112" i="106"/>
  <c r="AG112" i="106"/>
  <c r="AE112" i="106"/>
  <c r="AC112" i="106"/>
  <c r="AA112" i="106"/>
  <c r="Y112" i="106"/>
  <c r="W112" i="106"/>
  <c r="U112" i="106"/>
  <c r="S112" i="106"/>
  <c r="Q112" i="106"/>
  <c r="O112" i="106"/>
  <c r="M112" i="106"/>
  <c r="K112" i="106"/>
  <c r="I112" i="106"/>
  <c r="G112" i="106"/>
  <c r="E112" i="106"/>
  <c r="AQ111" i="106"/>
  <c r="AO111" i="106"/>
  <c r="AM111" i="106"/>
  <c r="AK111" i="106"/>
  <c r="AI111" i="106"/>
  <c r="AG111" i="106"/>
  <c r="AE111" i="106"/>
  <c r="AC111" i="106"/>
  <c r="AA111" i="106"/>
  <c r="Y111" i="106"/>
  <c r="W111" i="106"/>
  <c r="U111" i="106"/>
  <c r="S111" i="106"/>
  <c r="Q111" i="106"/>
  <c r="O111" i="106"/>
  <c r="M111" i="106"/>
  <c r="K111" i="106"/>
  <c r="I111" i="106"/>
  <c r="G111" i="106"/>
  <c r="E111" i="106"/>
  <c r="AQ110" i="106"/>
  <c r="AO110" i="106"/>
  <c r="AM110" i="106"/>
  <c r="AK110" i="106"/>
  <c r="AI110" i="106"/>
  <c r="AG110" i="106"/>
  <c r="AE110" i="106"/>
  <c r="AC110" i="106"/>
  <c r="AA110" i="106"/>
  <c r="Y110" i="106"/>
  <c r="W110" i="106"/>
  <c r="U110" i="106"/>
  <c r="S110" i="106"/>
  <c r="Q110" i="106"/>
  <c r="O110" i="106"/>
  <c r="M110" i="106"/>
  <c r="K110" i="106"/>
  <c r="I110" i="106"/>
  <c r="G110" i="106"/>
  <c r="E110" i="106"/>
  <c r="AQ109" i="106"/>
  <c r="AO109" i="106"/>
  <c r="AM109" i="106"/>
  <c r="AK109" i="106"/>
  <c r="AI109" i="106"/>
  <c r="AG109" i="106"/>
  <c r="AE109" i="106"/>
  <c r="AC109" i="106"/>
  <c r="AA109" i="106"/>
  <c r="Y109" i="106"/>
  <c r="W109" i="106"/>
  <c r="U109" i="106"/>
  <c r="S109" i="106"/>
  <c r="Q109" i="106"/>
  <c r="O109" i="106"/>
  <c r="M109" i="106"/>
  <c r="K109" i="106"/>
  <c r="I109" i="106"/>
  <c r="G109" i="106"/>
  <c r="E109" i="106"/>
  <c r="AQ108" i="106"/>
  <c r="AO108" i="106"/>
  <c r="AM108" i="106"/>
  <c r="AK108" i="106"/>
  <c r="AI108" i="106"/>
  <c r="AG108" i="106"/>
  <c r="AE108" i="106"/>
  <c r="AC108" i="106"/>
  <c r="AA108" i="106"/>
  <c r="Y108" i="106"/>
  <c r="W108" i="106"/>
  <c r="U108" i="106"/>
  <c r="S108" i="106"/>
  <c r="Q108" i="106"/>
  <c r="O108" i="106"/>
  <c r="M108" i="106"/>
  <c r="K108" i="106"/>
  <c r="I108" i="106"/>
  <c r="G108" i="106"/>
  <c r="E108" i="106"/>
  <c r="AQ107" i="106"/>
  <c r="AO107" i="106"/>
  <c r="AM107" i="106"/>
  <c r="AK107" i="106"/>
  <c r="AI107" i="106"/>
  <c r="AG107" i="106"/>
  <c r="AE107" i="106"/>
  <c r="AC107" i="106"/>
  <c r="AA107" i="106"/>
  <c r="Y107" i="106"/>
  <c r="W107" i="106"/>
  <c r="U107" i="106"/>
  <c r="S107" i="106"/>
  <c r="Q107" i="106"/>
  <c r="O107" i="106"/>
  <c r="M107" i="106"/>
  <c r="K107" i="106"/>
  <c r="I107" i="106"/>
  <c r="G107" i="106"/>
  <c r="E107" i="106"/>
  <c r="AQ106" i="106"/>
  <c r="AO106" i="106"/>
  <c r="AM106" i="106"/>
  <c r="AK106" i="106"/>
  <c r="AI106" i="106"/>
  <c r="AG106" i="106"/>
  <c r="AE106" i="106"/>
  <c r="AC106" i="106"/>
  <c r="AA106" i="106"/>
  <c r="Y106" i="106"/>
  <c r="W106" i="106"/>
  <c r="U106" i="106"/>
  <c r="S106" i="106"/>
  <c r="Q106" i="106"/>
  <c r="O106" i="106"/>
  <c r="M106" i="106"/>
  <c r="K106" i="106"/>
  <c r="I106" i="106"/>
  <c r="G106" i="106"/>
  <c r="E106" i="106"/>
  <c r="AQ105" i="106"/>
  <c r="AO105" i="106"/>
  <c r="AM105" i="106"/>
  <c r="AK105" i="106"/>
  <c r="AI105" i="106"/>
  <c r="AG105" i="106"/>
  <c r="AE105" i="106"/>
  <c r="AC105" i="106"/>
  <c r="AA105" i="106"/>
  <c r="Y105" i="106"/>
  <c r="W105" i="106"/>
  <c r="U105" i="106"/>
  <c r="S105" i="106"/>
  <c r="Q105" i="106"/>
  <c r="O105" i="106"/>
  <c r="M105" i="106"/>
  <c r="K105" i="106"/>
  <c r="I105" i="106"/>
  <c r="G105" i="106"/>
  <c r="E105" i="106"/>
  <c r="AQ104" i="106"/>
  <c r="AO104" i="106"/>
  <c r="AM104" i="106"/>
  <c r="AK104" i="106"/>
  <c r="AI104" i="106"/>
  <c r="AG104" i="106"/>
  <c r="AE104" i="106"/>
  <c r="AC104" i="106"/>
  <c r="AA104" i="106"/>
  <c r="Y104" i="106"/>
  <c r="W104" i="106"/>
  <c r="U104" i="106"/>
  <c r="S104" i="106"/>
  <c r="Q104" i="106"/>
  <c r="O104" i="106"/>
  <c r="M104" i="106"/>
  <c r="K104" i="106"/>
  <c r="I104" i="106"/>
  <c r="G104" i="106"/>
  <c r="E104" i="106"/>
  <c r="AQ103" i="106"/>
  <c r="AO103" i="106"/>
  <c r="AM103" i="106"/>
  <c r="AK103" i="106"/>
  <c r="AI103" i="106"/>
  <c r="AG103" i="106"/>
  <c r="AE103" i="106"/>
  <c r="AC103" i="106"/>
  <c r="AA103" i="106"/>
  <c r="Y103" i="106"/>
  <c r="W103" i="106"/>
  <c r="U103" i="106"/>
  <c r="S103" i="106"/>
  <c r="Q103" i="106"/>
  <c r="O103" i="106"/>
  <c r="M103" i="106"/>
  <c r="K103" i="106"/>
  <c r="I103" i="106"/>
  <c r="G103" i="106"/>
  <c r="E103" i="106"/>
  <c r="AQ102" i="106"/>
  <c r="AO102" i="106"/>
  <c r="AM102" i="106"/>
  <c r="AK102" i="106"/>
  <c r="AI102" i="106"/>
  <c r="AG102" i="106"/>
  <c r="AE102" i="106"/>
  <c r="AC102" i="106"/>
  <c r="AA102" i="106"/>
  <c r="Y102" i="106"/>
  <c r="W102" i="106"/>
  <c r="U102" i="106"/>
  <c r="S102" i="106"/>
  <c r="Q102" i="106"/>
  <c r="O102" i="106"/>
  <c r="M102" i="106"/>
  <c r="K102" i="106"/>
  <c r="I102" i="106"/>
  <c r="G102" i="106"/>
  <c r="E102" i="106"/>
  <c r="AQ101" i="106"/>
  <c r="AO101" i="106"/>
  <c r="AM101" i="106"/>
  <c r="AK101" i="106"/>
  <c r="AI101" i="106"/>
  <c r="AG101" i="106"/>
  <c r="AE101" i="106"/>
  <c r="AC101" i="106"/>
  <c r="AA101" i="106"/>
  <c r="Y101" i="106"/>
  <c r="W101" i="106"/>
  <c r="U101" i="106"/>
  <c r="S101" i="106"/>
  <c r="Q101" i="106"/>
  <c r="O101" i="106"/>
  <c r="M101" i="106"/>
  <c r="K101" i="106"/>
  <c r="I101" i="106"/>
  <c r="G101" i="106"/>
  <c r="E101" i="106"/>
  <c r="AQ100" i="106"/>
  <c r="AO100" i="106"/>
  <c r="AM100" i="106"/>
  <c r="AK100" i="106"/>
  <c r="AI100" i="106"/>
  <c r="AG100" i="106"/>
  <c r="AE100" i="106"/>
  <c r="AC100" i="106"/>
  <c r="AA100" i="106"/>
  <c r="Y100" i="106"/>
  <c r="W100" i="106"/>
  <c r="U100" i="106"/>
  <c r="S100" i="106"/>
  <c r="Q100" i="106"/>
  <c r="O100" i="106"/>
  <c r="M100" i="106"/>
  <c r="K100" i="106"/>
  <c r="I100" i="106"/>
  <c r="G100" i="106"/>
  <c r="E100" i="106"/>
  <c r="AQ99" i="106"/>
  <c r="AO99" i="106"/>
  <c r="AM99" i="106"/>
  <c r="AK99" i="106"/>
  <c r="AI99" i="106"/>
  <c r="AG99" i="106"/>
  <c r="AE99" i="106"/>
  <c r="AC99" i="106"/>
  <c r="AA99" i="106"/>
  <c r="Y99" i="106"/>
  <c r="W99" i="106"/>
  <c r="U99" i="106"/>
  <c r="S99" i="106"/>
  <c r="Q99" i="106"/>
  <c r="O99" i="106"/>
  <c r="M99" i="106"/>
  <c r="K99" i="106"/>
  <c r="I99" i="106"/>
  <c r="G99" i="106"/>
  <c r="E99" i="106"/>
  <c r="AQ98" i="106"/>
  <c r="AO98" i="106"/>
  <c r="AM98" i="106"/>
  <c r="AK98" i="106"/>
  <c r="AI98" i="106"/>
  <c r="AG98" i="106"/>
  <c r="AE98" i="106"/>
  <c r="AC98" i="106"/>
  <c r="AA98" i="106"/>
  <c r="Y98" i="106"/>
  <c r="W98" i="106"/>
  <c r="U98" i="106"/>
  <c r="S98" i="106"/>
  <c r="Q98" i="106"/>
  <c r="O98" i="106"/>
  <c r="M98" i="106"/>
  <c r="K98" i="106"/>
  <c r="I98" i="106"/>
  <c r="G98" i="106"/>
  <c r="E98" i="106"/>
  <c r="AQ97" i="106"/>
  <c r="AO97" i="106"/>
  <c r="AM97" i="106"/>
  <c r="AK97" i="106"/>
  <c r="AI97" i="106"/>
  <c r="AG97" i="106"/>
  <c r="AE97" i="106"/>
  <c r="AC97" i="106"/>
  <c r="AA97" i="106"/>
  <c r="Y97" i="106"/>
  <c r="W97" i="106"/>
  <c r="U97" i="106"/>
  <c r="S97" i="106"/>
  <c r="Q97" i="106"/>
  <c r="O97" i="106"/>
  <c r="M97" i="106"/>
  <c r="K97" i="106"/>
  <c r="I97" i="106"/>
  <c r="G97" i="106"/>
  <c r="E97" i="106"/>
  <c r="AQ96" i="106"/>
  <c r="AO96" i="106"/>
  <c r="AM96" i="106"/>
  <c r="AK96" i="106"/>
  <c r="AI96" i="106"/>
  <c r="AG96" i="106"/>
  <c r="AE96" i="106"/>
  <c r="AC96" i="106"/>
  <c r="AA96" i="106"/>
  <c r="Y96" i="106"/>
  <c r="W96" i="106"/>
  <c r="U96" i="106"/>
  <c r="S96" i="106"/>
  <c r="Q96" i="106"/>
  <c r="O96" i="106"/>
  <c r="M96" i="106"/>
  <c r="K96" i="106"/>
  <c r="I96" i="106"/>
  <c r="G96" i="106"/>
  <c r="E96" i="106"/>
  <c r="AQ95" i="106"/>
  <c r="AO95" i="106"/>
  <c r="AM95" i="106"/>
  <c r="AK95" i="106"/>
  <c r="AI95" i="106"/>
  <c r="AG95" i="106"/>
  <c r="AE95" i="106"/>
  <c r="AC95" i="106"/>
  <c r="AA95" i="106"/>
  <c r="Y95" i="106"/>
  <c r="W95" i="106"/>
  <c r="U95" i="106"/>
  <c r="S95" i="106"/>
  <c r="Q95" i="106"/>
  <c r="O95" i="106"/>
  <c r="M95" i="106"/>
  <c r="K95" i="106"/>
  <c r="I95" i="106"/>
  <c r="G95" i="106"/>
  <c r="E95" i="106"/>
  <c r="AQ94" i="106"/>
  <c r="AO94" i="106"/>
  <c r="AM94" i="106"/>
  <c r="AK94" i="106"/>
  <c r="AI94" i="106"/>
  <c r="AG94" i="106"/>
  <c r="AE94" i="106"/>
  <c r="AC94" i="106"/>
  <c r="AA94" i="106"/>
  <c r="Y94" i="106"/>
  <c r="W94" i="106"/>
  <c r="U94" i="106"/>
  <c r="S94" i="106"/>
  <c r="Q94" i="106"/>
  <c r="O94" i="106"/>
  <c r="M94" i="106"/>
  <c r="K94" i="106"/>
  <c r="I94" i="106"/>
  <c r="G94" i="106"/>
  <c r="E94" i="106"/>
  <c r="AQ93" i="106"/>
  <c r="AO93" i="106"/>
  <c r="AM93" i="106"/>
  <c r="AK93" i="106"/>
  <c r="AI93" i="106"/>
  <c r="AG93" i="106"/>
  <c r="AE93" i="106"/>
  <c r="AC93" i="106"/>
  <c r="AA93" i="106"/>
  <c r="Y93" i="106"/>
  <c r="W93" i="106"/>
  <c r="U93" i="106"/>
  <c r="S93" i="106"/>
  <c r="Q93" i="106"/>
  <c r="O93" i="106"/>
  <c r="M93" i="106"/>
  <c r="K93" i="106"/>
  <c r="I93" i="106"/>
  <c r="G93" i="106"/>
  <c r="E93" i="106"/>
  <c r="AQ92" i="106"/>
  <c r="AO92" i="106"/>
  <c r="AM92" i="106"/>
  <c r="AK92" i="106"/>
  <c r="AI92" i="106"/>
  <c r="AG92" i="106"/>
  <c r="AE92" i="106"/>
  <c r="AC92" i="106"/>
  <c r="AA92" i="106"/>
  <c r="Y92" i="106"/>
  <c r="W92" i="106"/>
  <c r="U92" i="106"/>
  <c r="S92" i="106"/>
  <c r="Q92" i="106"/>
  <c r="O92" i="106"/>
  <c r="M92" i="106"/>
  <c r="K92" i="106"/>
  <c r="I92" i="106"/>
  <c r="G92" i="106"/>
  <c r="E92" i="106"/>
  <c r="AQ91" i="106"/>
  <c r="AO91" i="106"/>
  <c r="AM91" i="106"/>
  <c r="AK91" i="106"/>
  <c r="AI91" i="106"/>
  <c r="AG91" i="106"/>
  <c r="AE91" i="106"/>
  <c r="AC91" i="106"/>
  <c r="AA91" i="106"/>
  <c r="Y91" i="106"/>
  <c r="W91" i="106"/>
  <c r="U91" i="106"/>
  <c r="S91" i="106"/>
  <c r="Q91" i="106"/>
  <c r="O91" i="106"/>
  <c r="M91" i="106"/>
  <c r="K91" i="106"/>
  <c r="I91" i="106"/>
  <c r="G91" i="106"/>
  <c r="E91" i="106"/>
  <c r="AQ90" i="106"/>
  <c r="AO90" i="106"/>
  <c r="AM90" i="106"/>
  <c r="AK90" i="106"/>
  <c r="AI90" i="106"/>
  <c r="AG90" i="106"/>
  <c r="AE90" i="106"/>
  <c r="AC90" i="106"/>
  <c r="AA90" i="106"/>
  <c r="Y90" i="106"/>
  <c r="W90" i="106"/>
  <c r="U90" i="106"/>
  <c r="S90" i="106"/>
  <c r="Q90" i="106"/>
  <c r="O90" i="106"/>
  <c r="M90" i="106"/>
  <c r="K90" i="106"/>
  <c r="I90" i="106"/>
  <c r="G90" i="106"/>
  <c r="E90" i="106"/>
  <c r="AQ89" i="106"/>
  <c r="AO89" i="106"/>
  <c r="AM89" i="106"/>
  <c r="AK89" i="106"/>
  <c r="AI89" i="106"/>
  <c r="AG89" i="106"/>
  <c r="AE89" i="106"/>
  <c r="AC89" i="106"/>
  <c r="AA89" i="106"/>
  <c r="Y89" i="106"/>
  <c r="W89" i="106"/>
  <c r="U89" i="106"/>
  <c r="S89" i="106"/>
  <c r="Q89" i="106"/>
  <c r="O89" i="106"/>
  <c r="M89" i="106"/>
  <c r="K89" i="106"/>
  <c r="I89" i="106"/>
  <c r="G89" i="106"/>
  <c r="E89" i="106"/>
  <c r="AQ88" i="106"/>
  <c r="AO88" i="106"/>
  <c r="AM88" i="106"/>
  <c r="AK88" i="106"/>
  <c r="AI88" i="106"/>
  <c r="AG88" i="106"/>
  <c r="AE88" i="106"/>
  <c r="AC88" i="106"/>
  <c r="AA88" i="106"/>
  <c r="Y88" i="106"/>
  <c r="W88" i="106"/>
  <c r="U88" i="106"/>
  <c r="S88" i="106"/>
  <c r="Q88" i="106"/>
  <c r="O88" i="106"/>
  <c r="M88" i="106"/>
  <c r="K88" i="106"/>
  <c r="I88" i="106"/>
  <c r="G88" i="106"/>
  <c r="E88" i="106"/>
  <c r="AQ87" i="106"/>
  <c r="AO87" i="106"/>
  <c r="AM87" i="106"/>
  <c r="AK87" i="106"/>
  <c r="AI87" i="106"/>
  <c r="AG87" i="106"/>
  <c r="AE87" i="106"/>
  <c r="AC87" i="106"/>
  <c r="AA87" i="106"/>
  <c r="Y87" i="106"/>
  <c r="W87" i="106"/>
  <c r="U87" i="106"/>
  <c r="S87" i="106"/>
  <c r="Q87" i="106"/>
  <c r="O87" i="106"/>
  <c r="M87" i="106"/>
  <c r="K87" i="106"/>
  <c r="I87" i="106"/>
  <c r="G87" i="106"/>
  <c r="E87" i="106"/>
  <c r="AQ86" i="106"/>
  <c r="AO86" i="106"/>
  <c r="AM86" i="106"/>
  <c r="AK86" i="106"/>
  <c r="AI86" i="106"/>
  <c r="AG86" i="106"/>
  <c r="AE86" i="106"/>
  <c r="AC86" i="106"/>
  <c r="AA86" i="106"/>
  <c r="Y86" i="106"/>
  <c r="W86" i="106"/>
  <c r="U86" i="106"/>
  <c r="S86" i="106"/>
  <c r="Q86" i="106"/>
  <c r="O86" i="106"/>
  <c r="M86" i="106"/>
  <c r="K86" i="106"/>
  <c r="I86" i="106"/>
  <c r="G86" i="106"/>
  <c r="E86" i="106"/>
  <c r="AQ85" i="106"/>
  <c r="AO85" i="106"/>
  <c r="AM85" i="106"/>
  <c r="AK85" i="106"/>
  <c r="AI85" i="106"/>
  <c r="AG85" i="106"/>
  <c r="AE85" i="106"/>
  <c r="AC85" i="106"/>
  <c r="AA85" i="106"/>
  <c r="Y85" i="106"/>
  <c r="W85" i="106"/>
  <c r="U85" i="106"/>
  <c r="S85" i="106"/>
  <c r="Q85" i="106"/>
  <c r="O85" i="106"/>
  <c r="M85" i="106"/>
  <c r="K85" i="106"/>
  <c r="I85" i="106"/>
  <c r="G85" i="106"/>
  <c r="E85" i="106"/>
  <c r="AQ84" i="106"/>
  <c r="AO84" i="106"/>
  <c r="AM84" i="106"/>
  <c r="AK84" i="106"/>
  <c r="AI84" i="106"/>
  <c r="AG84" i="106"/>
  <c r="AE84" i="106"/>
  <c r="AC84" i="106"/>
  <c r="AA84" i="106"/>
  <c r="Y84" i="106"/>
  <c r="W84" i="106"/>
  <c r="U84" i="106"/>
  <c r="S84" i="106"/>
  <c r="Q84" i="106"/>
  <c r="O84" i="106"/>
  <c r="M84" i="106"/>
  <c r="K84" i="106"/>
  <c r="I84" i="106"/>
  <c r="G84" i="106"/>
  <c r="E84" i="106"/>
  <c r="AQ83" i="106"/>
  <c r="AO83" i="106"/>
  <c r="AM83" i="106"/>
  <c r="AK83" i="106"/>
  <c r="AI83" i="106"/>
  <c r="AG83" i="106"/>
  <c r="AE83" i="106"/>
  <c r="AC83" i="106"/>
  <c r="AA83" i="106"/>
  <c r="Y83" i="106"/>
  <c r="W83" i="106"/>
  <c r="U83" i="106"/>
  <c r="S83" i="106"/>
  <c r="Q83" i="106"/>
  <c r="O83" i="106"/>
  <c r="M83" i="106"/>
  <c r="K83" i="106"/>
  <c r="I83" i="106"/>
  <c r="G83" i="106"/>
  <c r="E83" i="106"/>
  <c r="AQ82" i="106"/>
  <c r="AO82" i="106"/>
  <c r="AM82" i="106"/>
  <c r="AK82" i="106"/>
  <c r="AI82" i="106"/>
  <c r="AG82" i="106"/>
  <c r="AE82" i="106"/>
  <c r="AC82" i="106"/>
  <c r="AA82" i="106"/>
  <c r="Y82" i="106"/>
  <c r="W82" i="106"/>
  <c r="U82" i="106"/>
  <c r="S82" i="106"/>
  <c r="Q82" i="106"/>
  <c r="O82" i="106"/>
  <c r="M82" i="106"/>
  <c r="K82" i="106"/>
  <c r="I82" i="106"/>
  <c r="G82" i="106"/>
  <c r="E82" i="106"/>
  <c r="AQ81" i="106"/>
  <c r="AO81" i="106"/>
  <c r="AM81" i="106"/>
  <c r="AK81" i="106"/>
  <c r="AI81" i="106"/>
  <c r="AG81" i="106"/>
  <c r="AE81" i="106"/>
  <c r="AC81" i="106"/>
  <c r="AA81" i="106"/>
  <c r="Y81" i="106"/>
  <c r="W81" i="106"/>
  <c r="U81" i="106"/>
  <c r="S81" i="106"/>
  <c r="Q81" i="106"/>
  <c r="O81" i="106"/>
  <c r="M81" i="106"/>
  <c r="K81" i="106"/>
  <c r="I81" i="106"/>
  <c r="G81" i="106"/>
  <c r="E81" i="106"/>
  <c r="AQ80" i="106"/>
  <c r="AO80" i="106"/>
  <c r="AM80" i="106"/>
  <c r="AK80" i="106"/>
  <c r="AI80" i="106"/>
  <c r="AG80" i="106"/>
  <c r="AE80" i="106"/>
  <c r="AC80" i="106"/>
  <c r="AA80" i="106"/>
  <c r="Y80" i="106"/>
  <c r="W80" i="106"/>
  <c r="U80" i="106"/>
  <c r="S80" i="106"/>
  <c r="Q80" i="106"/>
  <c r="O80" i="106"/>
  <c r="M80" i="106"/>
  <c r="K80" i="106"/>
  <c r="I80" i="106"/>
  <c r="G80" i="106"/>
  <c r="E80" i="106"/>
  <c r="AQ79" i="106"/>
  <c r="AO79" i="106"/>
  <c r="AM79" i="106"/>
  <c r="AK79" i="106"/>
  <c r="AI79" i="106"/>
  <c r="AG79" i="106"/>
  <c r="AE79" i="106"/>
  <c r="AC79" i="106"/>
  <c r="AA79" i="106"/>
  <c r="Y79" i="106"/>
  <c r="W79" i="106"/>
  <c r="U79" i="106"/>
  <c r="S79" i="106"/>
  <c r="Q79" i="106"/>
  <c r="O79" i="106"/>
  <c r="M79" i="106"/>
  <c r="K79" i="106"/>
  <c r="I79" i="106"/>
  <c r="G79" i="106"/>
  <c r="E79" i="106"/>
  <c r="AQ78" i="106"/>
  <c r="AO78" i="106"/>
  <c r="AM78" i="106"/>
  <c r="AK78" i="106"/>
  <c r="AI78" i="106"/>
  <c r="AG78" i="106"/>
  <c r="AE78" i="106"/>
  <c r="AC78" i="106"/>
  <c r="AA78" i="106"/>
  <c r="Y78" i="106"/>
  <c r="W78" i="106"/>
  <c r="U78" i="106"/>
  <c r="S78" i="106"/>
  <c r="Q78" i="106"/>
  <c r="O78" i="106"/>
  <c r="M78" i="106"/>
  <c r="K78" i="106"/>
  <c r="I78" i="106"/>
  <c r="G78" i="106"/>
  <c r="E78" i="106"/>
  <c r="AQ77" i="106"/>
  <c r="AO77" i="106"/>
  <c r="AM77" i="106"/>
  <c r="AK77" i="106"/>
  <c r="AI77" i="106"/>
  <c r="AG77" i="106"/>
  <c r="AE77" i="106"/>
  <c r="AC77" i="106"/>
  <c r="AA77" i="106"/>
  <c r="Y77" i="106"/>
  <c r="W77" i="106"/>
  <c r="U77" i="106"/>
  <c r="S77" i="106"/>
  <c r="Q77" i="106"/>
  <c r="O77" i="106"/>
  <c r="M77" i="106"/>
  <c r="K77" i="106"/>
  <c r="I77" i="106"/>
  <c r="G77" i="106"/>
  <c r="E77" i="106"/>
  <c r="AQ76" i="106"/>
  <c r="AO76" i="106"/>
  <c r="AM76" i="106"/>
  <c r="AK76" i="106"/>
  <c r="AI76" i="106"/>
  <c r="AG76" i="106"/>
  <c r="AE76" i="106"/>
  <c r="AC76" i="106"/>
  <c r="AA76" i="106"/>
  <c r="Y76" i="106"/>
  <c r="W76" i="106"/>
  <c r="U76" i="106"/>
  <c r="S76" i="106"/>
  <c r="Q76" i="106"/>
  <c r="O76" i="106"/>
  <c r="M76" i="106"/>
  <c r="K76" i="106"/>
  <c r="I76" i="106"/>
  <c r="G76" i="106"/>
  <c r="E76" i="106"/>
  <c r="AQ75" i="106"/>
  <c r="AO75" i="106"/>
  <c r="AM75" i="106"/>
  <c r="AK75" i="106"/>
  <c r="AI75" i="106"/>
  <c r="AG75" i="106"/>
  <c r="AE75" i="106"/>
  <c r="AC75" i="106"/>
  <c r="AA75" i="106"/>
  <c r="Y75" i="106"/>
  <c r="W75" i="106"/>
  <c r="U75" i="106"/>
  <c r="S75" i="106"/>
  <c r="Q75" i="106"/>
  <c r="O75" i="106"/>
  <c r="M75" i="106"/>
  <c r="K75" i="106"/>
  <c r="I75" i="106"/>
  <c r="G75" i="106"/>
  <c r="E75" i="106"/>
  <c r="AQ74" i="106"/>
  <c r="AO74" i="106"/>
  <c r="AM74" i="106"/>
  <c r="AK74" i="106"/>
  <c r="AI74" i="106"/>
  <c r="AG74" i="106"/>
  <c r="AE74" i="106"/>
  <c r="AC74" i="106"/>
  <c r="AA74" i="106"/>
  <c r="Y74" i="106"/>
  <c r="W74" i="106"/>
  <c r="U74" i="106"/>
  <c r="S74" i="106"/>
  <c r="Q74" i="106"/>
  <c r="O74" i="106"/>
  <c r="M74" i="106"/>
  <c r="K74" i="106"/>
  <c r="I74" i="106"/>
  <c r="G74" i="106"/>
  <c r="E74" i="106"/>
  <c r="AQ73" i="106"/>
  <c r="AO73" i="106"/>
  <c r="AM73" i="106"/>
  <c r="AK73" i="106"/>
  <c r="AI73" i="106"/>
  <c r="AG73" i="106"/>
  <c r="AE73" i="106"/>
  <c r="AC73" i="106"/>
  <c r="AA73" i="106"/>
  <c r="Y73" i="106"/>
  <c r="W73" i="106"/>
  <c r="U73" i="106"/>
  <c r="S73" i="106"/>
  <c r="Q73" i="106"/>
  <c r="O73" i="106"/>
  <c r="M73" i="106"/>
  <c r="K73" i="106"/>
  <c r="I73" i="106"/>
  <c r="G73" i="106"/>
  <c r="E73" i="106"/>
  <c r="AQ72" i="106"/>
  <c r="AO72" i="106"/>
  <c r="AM72" i="106"/>
  <c r="AK72" i="106"/>
  <c r="AI72" i="106"/>
  <c r="AG72" i="106"/>
  <c r="AE72" i="106"/>
  <c r="AC72" i="106"/>
  <c r="AA72" i="106"/>
  <c r="Y72" i="106"/>
  <c r="W72" i="106"/>
  <c r="U72" i="106"/>
  <c r="S72" i="106"/>
  <c r="Q72" i="106"/>
  <c r="O72" i="106"/>
  <c r="M72" i="106"/>
  <c r="K72" i="106"/>
  <c r="I72" i="106"/>
  <c r="G72" i="106"/>
  <c r="E72" i="106"/>
  <c r="AQ71" i="106"/>
  <c r="AO71" i="106"/>
  <c r="AM71" i="106"/>
  <c r="AK71" i="106"/>
  <c r="AI71" i="106"/>
  <c r="AG71" i="106"/>
  <c r="AE71" i="106"/>
  <c r="AC71" i="106"/>
  <c r="AA71" i="106"/>
  <c r="Y71" i="106"/>
  <c r="W71" i="106"/>
  <c r="U71" i="106"/>
  <c r="S71" i="106"/>
  <c r="Q71" i="106"/>
  <c r="O71" i="106"/>
  <c r="M71" i="106"/>
  <c r="K71" i="106"/>
  <c r="I71" i="106"/>
  <c r="G71" i="106"/>
  <c r="E71" i="106"/>
  <c r="AQ70" i="106"/>
  <c r="AO70" i="106"/>
  <c r="AM70" i="106"/>
  <c r="AK70" i="106"/>
  <c r="AI70" i="106"/>
  <c r="AG70" i="106"/>
  <c r="AE70" i="106"/>
  <c r="AC70" i="106"/>
  <c r="AA70" i="106"/>
  <c r="Y70" i="106"/>
  <c r="W70" i="106"/>
  <c r="U70" i="106"/>
  <c r="S70" i="106"/>
  <c r="Q70" i="106"/>
  <c r="O70" i="106"/>
  <c r="M70" i="106"/>
  <c r="K70" i="106"/>
  <c r="I70" i="106"/>
  <c r="G70" i="106"/>
  <c r="E70" i="106"/>
  <c r="AQ69" i="106"/>
  <c r="AO69" i="106"/>
  <c r="AM69" i="106"/>
  <c r="AK69" i="106"/>
  <c r="AI69" i="106"/>
  <c r="AG69" i="106"/>
  <c r="AE69" i="106"/>
  <c r="AC69" i="106"/>
  <c r="AA69" i="106"/>
  <c r="Y69" i="106"/>
  <c r="W69" i="106"/>
  <c r="U69" i="106"/>
  <c r="S69" i="106"/>
  <c r="Q69" i="106"/>
  <c r="O69" i="106"/>
  <c r="M69" i="106"/>
  <c r="K69" i="106"/>
  <c r="I69" i="106"/>
  <c r="G69" i="106"/>
  <c r="E69" i="106"/>
  <c r="AQ68" i="106"/>
  <c r="AO68" i="106"/>
  <c r="AM68" i="106"/>
  <c r="AK68" i="106"/>
  <c r="AI68" i="106"/>
  <c r="AG68" i="106"/>
  <c r="AE68" i="106"/>
  <c r="AC68" i="106"/>
  <c r="AA68" i="106"/>
  <c r="Y68" i="106"/>
  <c r="W68" i="106"/>
  <c r="U68" i="106"/>
  <c r="S68" i="106"/>
  <c r="Q68" i="106"/>
  <c r="O68" i="106"/>
  <c r="M68" i="106"/>
  <c r="K68" i="106"/>
  <c r="I68" i="106"/>
  <c r="G68" i="106"/>
  <c r="E68" i="106"/>
  <c r="AQ67" i="106"/>
  <c r="AO67" i="106"/>
  <c r="AM67" i="106"/>
  <c r="AK67" i="106"/>
  <c r="AI67" i="106"/>
  <c r="AG67" i="106"/>
  <c r="AE67" i="106"/>
  <c r="AC67" i="106"/>
  <c r="AA67" i="106"/>
  <c r="Y67" i="106"/>
  <c r="W67" i="106"/>
  <c r="U67" i="106"/>
  <c r="S67" i="106"/>
  <c r="Q67" i="106"/>
  <c r="O67" i="106"/>
  <c r="M67" i="106"/>
  <c r="K67" i="106"/>
  <c r="I67" i="106"/>
  <c r="G67" i="106"/>
  <c r="E67" i="106"/>
  <c r="AQ66" i="106"/>
  <c r="AO66" i="106"/>
  <c r="AM66" i="106"/>
  <c r="AK66" i="106"/>
  <c r="AI66" i="106"/>
  <c r="AG66" i="106"/>
  <c r="AE66" i="106"/>
  <c r="AC66" i="106"/>
  <c r="AA66" i="106"/>
  <c r="Y66" i="106"/>
  <c r="W66" i="106"/>
  <c r="U66" i="106"/>
  <c r="S66" i="106"/>
  <c r="Q66" i="106"/>
  <c r="O66" i="106"/>
  <c r="M66" i="106"/>
  <c r="K66" i="106"/>
  <c r="I66" i="106"/>
  <c r="G66" i="106"/>
  <c r="E66" i="106"/>
  <c r="AQ65" i="106"/>
  <c r="AO65" i="106"/>
  <c r="AM65" i="106"/>
  <c r="AK65" i="106"/>
  <c r="AI65" i="106"/>
  <c r="AG65" i="106"/>
  <c r="AE65" i="106"/>
  <c r="AC65" i="106"/>
  <c r="AA65" i="106"/>
  <c r="Y65" i="106"/>
  <c r="W65" i="106"/>
  <c r="U65" i="106"/>
  <c r="S65" i="106"/>
  <c r="Q65" i="106"/>
  <c r="O65" i="106"/>
  <c r="M65" i="106"/>
  <c r="K65" i="106"/>
  <c r="I65" i="106"/>
  <c r="G65" i="106"/>
  <c r="E65" i="106"/>
  <c r="AQ64" i="106"/>
  <c r="AO64" i="106"/>
  <c r="AM64" i="106"/>
  <c r="AK64" i="106"/>
  <c r="AI64" i="106"/>
  <c r="AG64" i="106"/>
  <c r="AE64" i="106"/>
  <c r="AC64" i="106"/>
  <c r="AA64" i="106"/>
  <c r="Y64" i="106"/>
  <c r="W64" i="106"/>
  <c r="U64" i="106"/>
  <c r="S64" i="106"/>
  <c r="Q64" i="106"/>
  <c r="O64" i="106"/>
  <c r="M64" i="106"/>
  <c r="K64" i="106"/>
  <c r="I64" i="106"/>
  <c r="G64" i="106"/>
  <c r="E64" i="106"/>
  <c r="AQ63" i="106"/>
  <c r="AO63" i="106"/>
  <c r="AM63" i="106"/>
  <c r="AK63" i="106"/>
  <c r="AI63" i="106"/>
  <c r="AG63" i="106"/>
  <c r="AE63" i="106"/>
  <c r="AC63" i="106"/>
  <c r="AA63" i="106"/>
  <c r="Y63" i="106"/>
  <c r="W63" i="106"/>
  <c r="U63" i="106"/>
  <c r="S63" i="106"/>
  <c r="Q63" i="106"/>
  <c r="O63" i="106"/>
  <c r="M63" i="106"/>
  <c r="K63" i="106"/>
  <c r="I63" i="106"/>
  <c r="G63" i="106"/>
  <c r="E63" i="106"/>
  <c r="AQ62" i="106"/>
  <c r="AO62" i="106"/>
  <c r="AM62" i="106"/>
  <c r="AK62" i="106"/>
  <c r="AI62" i="106"/>
  <c r="AG62" i="106"/>
  <c r="AE62" i="106"/>
  <c r="AC62" i="106"/>
  <c r="AA62" i="106"/>
  <c r="Y62" i="106"/>
  <c r="W62" i="106"/>
  <c r="U62" i="106"/>
  <c r="S62" i="106"/>
  <c r="Q62" i="106"/>
  <c r="O62" i="106"/>
  <c r="M62" i="106"/>
  <c r="K62" i="106"/>
  <c r="I62" i="106"/>
  <c r="G62" i="106"/>
  <c r="E62" i="106"/>
  <c r="AQ61" i="106"/>
  <c r="AO61" i="106"/>
  <c r="AM61" i="106"/>
  <c r="AK61" i="106"/>
  <c r="AI61" i="106"/>
  <c r="AG61" i="106"/>
  <c r="AE61" i="106"/>
  <c r="AC61" i="106"/>
  <c r="AA61" i="106"/>
  <c r="Y61" i="106"/>
  <c r="W61" i="106"/>
  <c r="U61" i="106"/>
  <c r="S61" i="106"/>
  <c r="Q61" i="106"/>
  <c r="O61" i="106"/>
  <c r="M61" i="106"/>
  <c r="K61" i="106"/>
  <c r="I61" i="106"/>
  <c r="G61" i="106"/>
  <c r="E61" i="106"/>
  <c r="AQ60" i="106"/>
  <c r="AO60" i="106"/>
  <c r="AM60" i="106"/>
  <c r="AK60" i="106"/>
  <c r="AI60" i="106"/>
  <c r="AG60" i="106"/>
  <c r="AE60" i="106"/>
  <c r="AC60" i="106"/>
  <c r="AA60" i="106"/>
  <c r="Y60" i="106"/>
  <c r="W60" i="106"/>
  <c r="U60" i="106"/>
  <c r="S60" i="106"/>
  <c r="Q60" i="106"/>
  <c r="O60" i="106"/>
  <c r="M60" i="106"/>
  <c r="K60" i="106"/>
  <c r="I60" i="106"/>
  <c r="G60" i="106"/>
  <c r="E60" i="106"/>
  <c r="AQ59" i="106"/>
  <c r="AO59" i="106"/>
  <c r="AM59" i="106"/>
  <c r="AK59" i="106"/>
  <c r="AI59" i="106"/>
  <c r="AG59" i="106"/>
  <c r="AE59" i="106"/>
  <c r="AC59" i="106"/>
  <c r="AA59" i="106"/>
  <c r="Y59" i="106"/>
  <c r="W59" i="106"/>
  <c r="U59" i="106"/>
  <c r="S59" i="106"/>
  <c r="Q59" i="106"/>
  <c r="O59" i="106"/>
  <c r="M59" i="106"/>
  <c r="K59" i="106"/>
  <c r="I59" i="106"/>
  <c r="G59" i="106"/>
  <c r="E59" i="106"/>
  <c r="AQ58" i="106"/>
  <c r="AO58" i="106"/>
  <c r="AM58" i="106"/>
  <c r="AK58" i="106"/>
  <c r="AI58" i="106"/>
  <c r="AG58" i="106"/>
  <c r="AE58" i="106"/>
  <c r="AC58" i="106"/>
  <c r="AA58" i="106"/>
  <c r="Y58" i="106"/>
  <c r="W58" i="106"/>
  <c r="U58" i="106"/>
  <c r="S58" i="106"/>
  <c r="Q58" i="106"/>
  <c r="O58" i="106"/>
  <c r="M58" i="106"/>
  <c r="K58" i="106"/>
  <c r="I58" i="106"/>
  <c r="G58" i="106"/>
  <c r="E58" i="106"/>
  <c r="AQ57" i="106"/>
  <c r="AO57" i="106"/>
  <c r="AM57" i="106"/>
  <c r="AK57" i="106"/>
  <c r="AI57" i="106"/>
  <c r="AG57" i="106"/>
  <c r="AE57" i="106"/>
  <c r="AC57" i="106"/>
  <c r="AA57" i="106"/>
  <c r="Y57" i="106"/>
  <c r="W57" i="106"/>
  <c r="U57" i="106"/>
  <c r="S57" i="106"/>
  <c r="Q57" i="106"/>
  <c r="O57" i="106"/>
  <c r="M57" i="106"/>
  <c r="K57" i="106"/>
  <c r="I57" i="106"/>
  <c r="G57" i="106"/>
  <c r="E57" i="106"/>
  <c r="AQ56" i="106"/>
  <c r="AO56" i="106"/>
  <c r="AM56" i="106"/>
  <c r="AK56" i="106"/>
  <c r="AI56" i="106"/>
  <c r="AG56" i="106"/>
  <c r="AE56" i="106"/>
  <c r="AC56" i="106"/>
  <c r="AA56" i="106"/>
  <c r="Y56" i="106"/>
  <c r="W56" i="106"/>
  <c r="U56" i="106"/>
  <c r="S56" i="106"/>
  <c r="Q56" i="106"/>
  <c r="O56" i="106"/>
  <c r="M56" i="106"/>
  <c r="K56" i="106"/>
  <c r="I56" i="106"/>
  <c r="G56" i="106"/>
  <c r="E56" i="106"/>
  <c r="AQ55" i="106"/>
  <c r="AO55" i="106"/>
  <c r="AM55" i="106"/>
  <c r="AK55" i="106"/>
  <c r="AI55" i="106"/>
  <c r="AG55" i="106"/>
  <c r="AE55" i="106"/>
  <c r="AC55" i="106"/>
  <c r="AA55" i="106"/>
  <c r="Y55" i="106"/>
  <c r="W55" i="106"/>
  <c r="U55" i="106"/>
  <c r="S55" i="106"/>
  <c r="Q55" i="106"/>
  <c r="O55" i="106"/>
  <c r="M55" i="106"/>
  <c r="K55" i="106"/>
  <c r="I55" i="106"/>
  <c r="G55" i="106"/>
  <c r="E55" i="106"/>
  <c r="AQ54" i="106"/>
  <c r="AO54" i="106"/>
  <c r="AM54" i="106"/>
  <c r="AK54" i="106"/>
  <c r="AI54" i="106"/>
  <c r="AG54" i="106"/>
  <c r="AE54" i="106"/>
  <c r="AC54" i="106"/>
  <c r="AA54" i="106"/>
  <c r="Y54" i="106"/>
  <c r="W54" i="106"/>
  <c r="U54" i="106"/>
  <c r="S54" i="106"/>
  <c r="Q54" i="106"/>
  <c r="O54" i="106"/>
  <c r="M54" i="106"/>
  <c r="K54" i="106"/>
  <c r="I54" i="106"/>
  <c r="G54" i="106"/>
  <c r="E54" i="106"/>
  <c r="AQ53" i="106"/>
  <c r="AO53" i="106"/>
  <c r="AM53" i="106"/>
  <c r="AK53" i="106"/>
  <c r="AI53" i="106"/>
  <c r="AG53" i="106"/>
  <c r="AE53" i="106"/>
  <c r="AC53" i="106"/>
  <c r="AA53" i="106"/>
  <c r="Y53" i="106"/>
  <c r="W53" i="106"/>
  <c r="U53" i="106"/>
  <c r="S53" i="106"/>
  <c r="Q53" i="106"/>
  <c r="O53" i="106"/>
  <c r="M53" i="106"/>
  <c r="K53" i="106"/>
  <c r="I53" i="106"/>
  <c r="G53" i="106"/>
  <c r="E53" i="106"/>
  <c r="AQ52" i="106"/>
  <c r="AO52" i="106"/>
  <c r="AM52" i="106"/>
  <c r="AK52" i="106"/>
  <c r="AI52" i="106"/>
  <c r="AG52" i="106"/>
  <c r="AE52" i="106"/>
  <c r="AC52" i="106"/>
  <c r="AA52" i="106"/>
  <c r="Y52" i="106"/>
  <c r="W52" i="106"/>
  <c r="U52" i="106"/>
  <c r="S52" i="106"/>
  <c r="Q52" i="106"/>
  <c r="O52" i="106"/>
  <c r="M52" i="106"/>
  <c r="K52" i="106"/>
  <c r="I52" i="106"/>
  <c r="G52" i="106"/>
  <c r="E52" i="106"/>
  <c r="AQ51" i="106"/>
  <c r="AO51" i="106"/>
  <c r="AM51" i="106"/>
  <c r="AK51" i="106"/>
  <c r="AI51" i="106"/>
  <c r="AG51" i="106"/>
  <c r="AE51" i="106"/>
  <c r="AC51" i="106"/>
  <c r="AA51" i="106"/>
  <c r="Y51" i="106"/>
  <c r="W51" i="106"/>
  <c r="U51" i="106"/>
  <c r="S51" i="106"/>
  <c r="Q51" i="106"/>
  <c r="O51" i="106"/>
  <c r="M51" i="106"/>
  <c r="K51" i="106"/>
  <c r="I51" i="106"/>
  <c r="G51" i="106"/>
  <c r="E51" i="106"/>
  <c r="AQ50" i="106"/>
  <c r="AO50" i="106"/>
  <c r="AM50" i="106"/>
  <c r="AK50" i="106"/>
  <c r="AI50" i="106"/>
  <c r="AG50" i="106"/>
  <c r="AE50" i="106"/>
  <c r="AC50" i="106"/>
  <c r="AA50" i="106"/>
  <c r="Y50" i="106"/>
  <c r="W50" i="106"/>
  <c r="U50" i="106"/>
  <c r="S50" i="106"/>
  <c r="Q50" i="106"/>
  <c r="O50" i="106"/>
  <c r="M50" i="106"/>
  <c r="K50" i="106"/>
  <c r="I50" i="106"/>
  <c r="G50" i="106"/>
  <c r="E50" i="106"/>
  <c r="AQ49" i="106"/>
  <c r="AO49" i="106"/>
  <c r="AM49" i="106"/>
  <c r="AK49" i="106"/>
  <c r="AI49" i="106"/>
  <c r="AG49" i="106"/>
  <c r="AE49" i="106"/>
  <c r="AC49" i="106"/>
  <c r="AA49" i="106"/>
  <c r="Y49" i="106"/>
  <c r="W49" i="106"/>
  <c r="U49" i="106"/>
  <c r="S49" i="106"/>
  <c r="Q49" i="106"/>
  <c r="O49" i="106"/>
  <c r="M49" i="106"/>
  <c r="K49" i="106"/>
  <c r="I49" i="106"/>
  <c r="G49" i="106"/>
  <c r="E49" i="106"/>
  <c r="AQ48" i="106"/>
  <c r="AO48" i="106"/>
  <c r="AM48" i="106"/>
  <c r="AK48" i="106"/>
  <c r="AI48" i="106"/>
  <c r="AG48" i="106"/>
  <c r="AE48" i="106"/>
  <c r="AC48" i="106"/>
  <c r="AA48" i="106"/>
  <c r="Y48" i="106"/>
  <c r="W48" i="106"/>
  <c r="U48" i="106"/>
  <c r="S48" i="106"/>
  <c r="Q48" i="106"/>
  <c r="O48" i="106"/>
  <c r="M48" i="106"/>
  <c r="K48" i="106"/>
  <c r="I48" i="106"/>
  <c r="G48" i="106"/>
  <c r="E48" i="106"/>
  <c r="AQ47" i="106"/>
  <c r="AO47" i="106"/>
  <c r="AM47" i="106"/>
  <c r="AK47" i="106"/>
  <c r="AI47" i="106"/>
  <c r="AG47" i="106"/>
  <c r="AE47" i="106"/>
  <c r="AC47" i="106"/>
  <c r="AA47" i="106"/>
  <c r="Y47" i="106"/>
  <c r="W47" i="106"/>
  <c r="U47" i="106"/>
  <c r="S47" i="106"/>
  <c r="Q47" i="106"/>
  <c r="O47" i="106"/>
  <c r="M47" i="106"/>
  <c r="K47" i="106"/>
  <c r="I47" i="106"/>
  <c r="G47" i="106"/>
  <c r="E47" i="106"/>
  <c r="AQ46" i="106"/>
  <c r="AO46" i="106"/>
  <c r="AM46" i="106"/>
  <c r="AK46" i="106"/>
  <c r="AI46" i="106"/>
  <c r="AG46" i="106"/>
  <c r="AE46" i="106"/>
  <c r="AC46" i="106"/>
  <c r="AA46" i="106"/>
  <c r="Y46" i="106"/>
  <c r="W46" i="106"/>
  <c r="U46" i="106"/>
  <c r="S46" i="106"/>
  <c r="Q46" i="106"/>
  <c r="O46" i="106"/>
  <c r="M46" i="106"/>
  <c r="K46" i="106"/>
  <c r="I46" i="106"/>
  <c r="G46" i="106"/>
  <c r="E46" i="106"/>
  <c r="AQ45" i="106"/>
  <c r="AO45" i="106"/>
  <c r="AM45" i="106"/>
  <c r="AK45" i="106"/>
  <c r="AI45" i="106"/>
  <c r="AG45" i="106"/>
  <c r="AE45" i="106"/>
  <c r="AC45" i="106"/>
  <c r="AA45" i="106"/>
  <c r="Y45" i="106"/>
  <c r="W45" i="106"/>
  <c r="U45" i="106"/>
  <c r="S45" i="106"/>
  <c r="Q45" i="106"/>
  <c r="O45" i="106"/>
  <c r="M45" i="106"/>
  <c r="K45" i="106"/>
  <c r="I45" i="106"/>
  <c r="G45" i="106"/>
  <c r="E45" i="106"/>
  <c r="AQ44" i="106"/>
  <c r="AO44" i="106"/>
  <c r="AM44" i="106"/>
  <c r="AK44" i="106"/>
  <c r="AI44" i="106"/>
  <c r="AG44" i="106"/>
  <c r="AE44" i="106"/>
  <c r="AC44" i="106"/>
  <c r="AA44" i="106"/>
  <c r="Y44" i="106"/>
  <c r="W44" i="106"/>
  <c r="U44" i="106"/>
  <c r="S44" i="106"/>
  <c r="Q44" i="106"/>
  <c r="O44" i="106"/>
  <c r="M44" i="106"/>
  <c r="K44" i="106"/>
  <c r="I44" i="106"/>
  <c r="G44" i="106"/>
  <c r="E44" i="106"/>
  <c r="AQ43" i="106"/>
  <c r="AO43" i="106"/>
  <c r="AM43" i="106"/>
  <c r="AK43" i="106"/>
  <c r="AI43" i="106"/>
  <c r="AG43" i="106"/>
  <c r="AE43" i="106"/>
  <c r="AC43" i="106"/>
  <c r="AA43" i="106"/>
  <c r="Y43" i="106"/>
  <c r="W43" i="106"/>
  <c r="U43" i="106"/>
  <c r="S43" i="106"/>
  <c r="Q43" i="106"/>
  <c r="O43" i="106"/>
  <c r="M43" i="106"/>
  <c r="K43" i="106"/>
  <c r="I43" i="106"/>
  <c r="G43" i="106"/>
  <c r="E43" i="106"/>
  <c r="AQ42" i="106"/>
  <c r="AO42" i="106"/>
  <c r="AM42" i="106"/>
  <c r="AK42" i="106"/>
  <c r="AI42" i="106"/>
  <c r="AG42" i="106"/>
  <c r="AE42" i="106"/>
  <c r="AC42" i="106"/>
  <c r="AA42" i="106"/>
  <c r="Y42" i="106"/>
  <c r="W42" i="106"/>
  <c r="U42" i="106"/>
  <c r="S42" i="106"/>
  <c r="Q42" i="106"/>
  <c r="O42" i="106"/>
  <c r="M42" i="106"/>
  <c r="K42" i="106"/>
  <c r="I42" i="106"/>
  <c r="G42" i="106"/>
  <c r="E42" i="106"/>
  <c r="AQ41" i="106"/>
  <c r="AO41" i="106"/>
  <c r="AM41" i="106"/>
  <c r="AK41" i="106"/>
  <c r="AI41" i="106"/>
  <c r="AG41" i="106"/>
  <c r="AE41" i="106"/>
  <c r="AC41" i="106"/>
  <c r="AA41" i="106"/>
  <c r="Y41" i="106"/>
  <c r="W41" i="106"/>
  <c r="U41" i="106"/>
  <c r="S41" i="106"/>
  <c r="Q41" i="106"/>
  <c r="O41" i="106"/>
  <c r="M41" i="106"/>
  <c r="K41" i="106"/>
  <c r="I41" i="106"/>
  <c r="G41" i="106"/>
  <c r="E41" i="106"/>
  <c r="AQ40" i="106"/>
  <c r="AO40" i="106"/>
  <c r="AM40" i="106"/>
  <c r="AK40" i="106"/>
  <c r="AI40" i="106"/>
  <c r="AG40" i="106"/>
  <c r="AE40" i="106"/>
  <c r="AC40" i="106"/>
  <c r="AA40" i="106"/>
  <c r="Y40" i="106"/>
  <c r="W40" i="106"/>
  <c r="U40" i="106"/>
  <c r="S40" i="106"/>
  <c r="Q40" i="106"/>
  <c r="O40" i="106"/>
  <c r="M40" i="106"/>
  <c r="K40" i="106"/>
  <c r="I40" i="106"/>
  <c r="G40" i="106"/>
  <c r="E40" i="106"/>
  <c r="AQ39" i="106"/>
  <c r="AO39" i="106"/>
  <c r="AM39" i="106"/>
  <c r="AK39" i="106"/>
  <c r="AI39" i="106"/>
  <c r="AG39" i="106"/>
  <c r="AE39" i="106"/>
  <c r="AC39" i="106"/>
  <c r="AA39" i="106"/>
  <c r="Y39" i="106"/>
  <c r="W39" i="106"/>
  <c r="U39" i="106"/>
  <c r="S39" i="106"/>
  <c r="Q39" i="106"/>
  <c r="O39" i="106"/>
  <c r="M39" i="106"/>
  <c r="K39" i="106"/>
  <c r="I39" i="106"/>
  <c r="G39" i="106"/>
  <c r="E39" i="106"/>
  <c r="AQ38" i="106"/>
  <c r="AO38" i="106"/>
  <c r="AM38" i="106"/>
  <c r="AK38" i="106"/>
  <c r="AI38" i="106"/>
  <c r="AG38" i="106"/>
  <c r="AE38" i="106"/>
  <c r="AC38" i="106"/>
  <c r="AA38" i="106"/>
  <c r="Y38" i="106"/>
  <c r="W38" i="106"/>
  <c r="U38" i="106"/>
  <c r="S38" i="106"/>
  <c r="Q38" i="106"/>
  <c r="O38" i="106"/>
  <c r="M38" i="106"/>
  <c r="K38" i="106"/>
  <c r="I38" i="106"/>
  <c r="G38" i="106"/>
  <c r="E38" i="106"/>
  <c r="AQ37" i="106"/>
  <c r="AO37" i="106"/>
  <c r="AM37" i="106"/>
  <c r="AK37" i="106"/>
  <c r="AI37" i="106"/>
  <c r="AG37" i="106"/>
  <c r="AE37" i="106"/>
  <c r="AC37" i="106"/>
  <c r="AA37" i="106"/>
  <c r="Y37" i="106"/>
  <c r="W37" i="106"/>
  <c r="U37" i="106"/>
  <c r="S37" i="106"/>
  <c r="Q37" i="106"/>
  <c r="O37" i="106"/>
  <c r="M37" i="106"/>
  <c r="K37" i="106"/>
  <c r="I37" i="106"/>
  <c r="G37" i="106"/>
  <c r="E37" i="106"/>
  <c r="AQ36" i="106"/>
  <c r="AO36" i="106"/>
  <c r="AM36" i="106"/>
  <c r="AK36" i="106"/>
  <c r="AI36" i="106"/>
  <c r="AG36" i="106"/>
  <c r="AE36" i="106"/>
  <c r="AC36" i="106"/>
  <c r="AA36" i="106"/>
  <c r="Y36" i="106"/>
  <c r="W36" i="106"/>
  <c r="U36" i="106"/>
  <c r="S36" i="106"/>
  <c r="Q36" i="106"/>
  <c r="O36" i="106"/>
  <c r="M36" i="106"/>
  <c r="K36" i="106"/>
  <c r="I36" i="106"/>
  <c r="G36" i="106"/>
  <c r="E36" i="106"/>
  <c r="AQ35" i="106"/>
  <c r="AO35" i="106"/>
  <c r="AM35" i="106"/>
  <c r="AK35" i="106"/>
  <c r="AI35" i="106"/>
  <c r="AG35" i="106"/>
  <c r="AE35" i="106"/>
  <c r="AC35" i="106"/>
  <c r="AA35" i="106"/>
  <c r="Y35" i="106"/>
  <c r="W35" i="106"/>
  <c r="U35" i="106"/>
  <c r="S35" i="106"/>
  <c r="Q35" i="106"/>
  <c r="O35" i="106"/>
  <c r="M35" i="106"/>
  <c r="K35" i="106"/>
  <c r="I35" i="106"/>
  <c r="G35" i="106"/>
  <c r="E35" i="106"/>
  <c r="AQ34" i="106"/>
  <c r="AO34" i="106"/>
  <c r="AM34" i="106"/>
  <c r="AK34" i="106"/>
  <c r="AI34" i="106"/>
  <c r="AG34" i="106"/>
  <c r="AE34" i="106"/>
  <c r="AC34" i="106"/>
  <c r="AA34" i="106"/>
  <c r="Y34" i="106"/>
  <c r="W34" i="106"/>
  <c r="U34" i="106"/>
  <c r="S34" i="106"/>
  <c r="Q34" i="106"/>
  <c r="O34" i="106"/>
  <c r="M34" i="106"/>
  <c r="K34" i="106"/>
  <c r="I34" i="106"/>
  <c r="G34" i="106"/>
  <c r="E34" i="106"/>
  <c r="AQ33" i="106"/>
  <c r="AO33" i="106"/>
  <c r="AM33" i="106"/>
  <c r="AK33" i="106"/>
  <c r="AI33" i="106"/>
  <c r="AG33" i="106"/>
  <c r="AE33" i="106"/>
  <c r="AC33" i="106"/>
  <c r="AA33" i="106"/>
  <c r="Y33" i="106"/>
  <c r="W33" i="106"/>
  <c r="U33" i="106"/>
  <c r="S33" i="106"/>
  <c r="Q33" i="106"/>
  <c r="O33" i="106"/>
  <c r="M33" i="106"/>
  <c r="K33" i="106"/>
  <c r="I33" i="106"/>
  <c r="G33" i="106"/>
  <c r="E33" i="106"/>
  <c r="AQ32" i="106"/>
  <c r="AO32" i="106"/>
  <c r="AM32" i="106"/>
  <c r="AK32" i="106"/>
  <c r="AI32" i="106"/>
  <c r="AG32" i="106"/>
  <c r="AE32" i="106"/>
  <c r="AC32" i="106"/>
  <c r="AA32" i="106"/>
  <c r="Y32" i="106"/>
  <c r="W32" i="106"/>
  <c r="U32" i="106"/>
  <c r="S32" i="106"/>
  <c r="Q32" i="106"/>
  <c r="O32" i="106"/>
  <c r="M32" i="106"/>
  <c r="K32" i="106"/>
  <c r="I32" i="106"/>
  <c r="G32" i="106"/>
  <c r="E32" i="106"/>
  <c r="AQ31" i="106"/>
  <c r="AO31" i="106"/>
  <c r="AM31" i="106"/>
  <c r="AK31" i="106"/>
  <c r="AI31" i="106"/>
  <c r="AG31" i="106"/>
  <c r="AE31" i="106"/>
  <c r="AC31" i="106"/>
  <c r="AA31" i="106"/>
  <c r="Y31" i="106"/>
  <c r="W31" i="106"/>
  <c r="U31" i="106"/>
  <c r="S31" i="106"/>
  <c r="Q31" i="106"/>
  <c r="O31" i="106"/>
  <c r="M31" i="106"/>
  <c r="K31" i="106"/>
  <c r="I31" i="106"/>
  <c r="G31" i="106"/>
  <c r="E31" i="106"/>
  <c r="AQ30" i="106"/>
  <c r="AO30" i="106"/>
  <c r="AM30" i="106"/>
  <c r="AK30" i="106"/>
  <c r="AI30" i="106"/>
  <c r="AG30" i="106"/>
  <c r="AE30" i="106"/>
  <c r="AC30" i="106"/>
  <c r="AA30" i="106"/>
  <c r="Y30" i="106"/>
  <c r="W30" i="106"/>
  <c r="U30" i="106"/>
  <c r="S30" i="106"/>
  <c r="Q30" i="106"/>
  <c r="O30" i="106"/>
  <c r="M30" i="106"/>
  <c r="K30" i="106"/>
  <c r="I30" i="106"/>
  <c r="G30" i="106"/>
  <c r="E30" i="106"/>
  <c r="AQ29" i="106"/>
  <c r="AO29" i="106"/>
  <c r="AM29" i="106"/>
  <c r="AK29" i="106"/>
  <c r="AI29" i="106"/>
  <c r="AG29" i="106"/>
  <c r="AE29" i="106"/>
  <c r="AC29" i="106"/>
  <c r="AA29" i="106"/>
  <c r="Y29" i="106"/>
  <c r="W29" i="106"/>
  <c r="U29" i="106"/>
  <c r="S29" i="106"/>
  <c r="Q29" i="106"/>
  <c r="O29" i="106"/>
  <c r="M29" i="106"/>
  <c r="K29" i="106"/>
  <c r="I29" i="106"/>
  <c r="G29" i="106"/>
  <c r="E29" i="106"/>
  <c r="AQ28" i="106"/>
  <c r="AO28" i="106"/>
  <c r="AM28" i="106"/>
  <c r="AK28" i="106"/>
  <c r="AI28" i="106"/>
  <c r="AG28" i="106"/>
  <c r="AE28" i="106"/>
  <c r="AC28" i="106"/>
  <c r="AA28" i="106"/>
  <c r="Y28" i="106"/>
  <c r="W28" i="106"/>
  <c r="U28" i="106"/>
  <c r="S28" i="106"/>
  <c r="Q28" i="106"/>
  <c r="O28" i="106"/>
  <c r="M28" i="106"/>
  <c r="K28" i="106"/>
  <c r="I28" i="106"/>
  <c r="G28" i="106"/>
  <c r="E28" i="106"/>
  <c r="AQ27" i="106"/>
  <c r="AO27" i="106"/>
  <c r="AM27" i="106"/>
  <c r="AK27" i="106"/>
  <c r="AI27" i="106"/>
  <c r="AG27" i="106"/>
  <c r="AE27" i="106"/>
  <c r="AC27" i="106"/>
  <c r="AA27" i="106"/>
  <c r="Y27" i="106"/>
  <c r="W27" i="106"/>
  <c r="U27" i="106"/>
  <c r="S27" i="106"/>
  <c r="Q27" i="106"/>
  <c r="O27" i="106"/>
  <c r="M27" i="106"/>
  <c r="K27" i="106"/>
  <c r="I27" i="106"/>
  <c r="G27" i="106"/>
  <c r="E27" i="106"/>
  <c r="AQ26" i="106"/>
  <c r="AO26" i="106"/>
  <c r="AM26" i="106"/>
  <c r="AK26" i="106"/>
  <c r="AI26" i="106"/>
  <c r="AG26" i="106"/>
  <c r="AE26" i="106"/>
  <c r="AC26" i="106"/>
  <c r="AA26" i="106"/>
  <c r="Y26" i="106"/>
  <c r="W26" i="106"/>
  <c r="U26" i="106"/>
  <c r="S26" i="106"/>
  <c r="Q26" i="106"/>
  <c r="O26" i="106"/>
  <c r="M26" i="106"/>
  <c r="K26" i="106"/>
  <c r="I26" i="106"/>
  <c r="G26" i="106"/>
  <c r="E26" i="106"/>
  <c r="AQ25" i="106"/>
  <c r="AO25" i="106"/>
  <c r="AM25" i="106"/>
  <c r="AK25" i="106"/>
  <c r="AI25" i="106"/>
  <c r="AG25" i="106"/>
  <c r="AE25" i="106"/>
  <c r="AC25" i="106"/>
  <c r="AA25" i="106"/>
  <c r="Y25" i="106"/>
  <c r="W25" i="106"/>
  <c r="U25" i="106"/>
  <c r="S25" i="106"/>
  <c r="Q25" i="106"/>
  <c r="O25" i="106"/>
  <c r="M25" i="106"/>
  <c r="K25" i="106"/>
  <c r="I25" i="106"/>
  <c r="G25" i="106"/>
  <c r="E25" i="106"/>
  <c r="AQ24" i="106"/>
  <c r="AO24" i="106"/>
  <c r="AM24" i="106"/>
  <c r="AK24" i="106"/>
  <c r="AI24" i="106"/>
  <c r="AG24" i="106"/>
  <c r="AE24" i="106"/>
  <c r="AC24" i="106"/>
  <c r="AA24" i="106"/>
  <c r="Y24" i="106"/>
  <c r="W24" i="106"/>
  <c r="U24" i="106"/>
  <c r="S24" i="106"/>
  <c r="Q24" i="106"/>
  <c r="O24" i="106"/>
  <c r="M24" i="106"/>
  <c r="K24" i="106"/>
  <c r="I24" i="106"/>
  <c r="G24" i="106"/>
  <c r="E24" i="106"/>
  <c r="AQ23" i="106"/>
  <c r="AO23" i="106"/>
  <c r="AM23" i="106"/>
  <c r="AK23" i="106"/>
  <c r="AI23" i="106"/>
  <c r="AG23" i="106"/>
  <c r="AE23" i="106"/>
  <c r="AC23" i="106"/>
  <c r="AA23" i="106"/>
  <c r="Y23" i="106"/>
  <c r="W23" i="106"/>
  <c r="U23" i="106"/>
  <c r="S23" i="106"/>
  <c r="Q23" i="106"/>
  <c r="O23" i="106"/>
  <c r="M23" i="106"/>
  <c r="K23" i="106"/>
  <c r="I23" i="106"/>
  <c r="G23" i="106"/>
  <c r="E23" i="106"/>
  <c r="AQ22" i="106"/>
  <c r="AO22" i="106"/>
  <c r="AM22" i="106"/>
  <c r="AK22" i="106"/>
  <c r="AI22" i="106"/>
  <c r="AG22" i="106"/>
  <c r="AE22" i="106"/>
  <c r="AC22" i="106"/>
  <c r="AA22" i="106"/>
  <c r="Y22" i="106"/>
  <c r="W22" i="106"/>
  <c r="U22" i="106"/>
  <c r="S22" i="106"/>
  <c r="Q22" i="106"/>
  <c r="O22" i="106"/>
  <c r="M22" i="106"/>
  <c r="K22" i="106"/>
  <c r="I22" i="106"/>
  <c r="G22" i="106"/>
  <c r="E22" i="106"/>
  <c r="AQ21" i="106"/>
  <c r="AO21" i="106"/>
  <c r="AM21" i="106"/>
  <c r="AK21" i="106"/>
  <c r="AI21" i="106"/>
  <c r="AG21" i="106"/>
  <c r="AE21" i="106"/>
  <c r="AC21" i="106"/>
  <c r="AA21" i="106"/>
  <c r="Y21" i="106"/>
  <c r="W21" i="106"/>
  <c r="U21" i="106"/>
  <c r="S21" i="106"/>
  <c r="Q21" i="106"/>
  <c r="O21" i="106"/>
  <c r="M21" i="106"/>
  <c r="K21" i="106"/>
  <c r="I21" i="106"/>
  <c r="G21" i="106"/>
  <c r="E21" i="106"/>
  <c r="AQ20" i="106"/>
  <c r="AO20" i="106"/>
  <c r="AM20" i="106"/>
  <c r="AK20" i="106"/>
  <c r="AI20" i="106"/>
  <c r="AG20" i="106"/>
  <c r="AE20" i="106"/>
  <c r="AC20" i="106"/>
  <c r="AA20" i="106"/>
  <c r="Y20" i="106"/>
  <c r="W20" i="106"/>
  <c r="U20" i="106"/>
  <c r="S20" i="106"/>
  <c r="Q20" i="106"/>
  <c r="O20" i="106"/>
  <c r="M20" i="106"/>
  <c r="K20" i="106"/>
  <c r="I20" i="106"/>
  <c r="G20" i="106"/>
  <c r="E20" i="106"/>
  <c r="AQ19" i="106"/>
  <c r="AO19" i="106"/>
  <c r="AM19" i="106"/>
  <c r="AK19" i="106"/>
  <c r="AI19" i="106"/>
  <c r="AG19" i="106"/>
  <c r="AE19" i="106"/>
  <c r="AC19" i="106"/>
  <c r="AA19" i="106"/>
  <c r="Y19" i="106"/>
  <c r="W19" i="106"/>
  <c r="U19" i="106"/>
  <c r="S19" i="106"/>
  <c r="Q19" i="106"/>
  <c r="O19" i="106"/>
  <c r="M19" i="106"/>
  <c r="K19" i="106"/>
  <c r="I19" i="106"/>
  <c r="G19" i="106"/>
  <c r="E19" i="106"/>
  <c r="AQ18" i="106"/>
  <c r="AO18" i="106"/>
  <c r="AM18" i="106"/>
  <c r="AK18" i="106"/>
  <c r="AI18" i="106"/>
  <c r="AG18" i="106"/>
  <c r="AE18" i="106"/>
  <c r="AC18" i="106"/>
  <c r="AA18" i="106"/>
  <c r="Y18" i="106"/>
  <c r="W18" i="106"/>
  <c r="U18" i="106"/>
  <c r="S18" i="106"/>
  <c r="Q18" i="106"/>
  <c r="O18" i="106"/>
  <c r="M18" i="106"/>
  <c r="K18" i="106"/>
  <c r="I18" i="106"/>
  <c r="G18" i="106"/>
  <c r="E18" i="106"/>
  <c r="AQ17" i="106"/>
  <c r="AO17" i="106"/>
  <c r="AM17" i="106"/>
  <c r="AK17" i="106"/>
  <c r="AI17" i="106"/>
  <c r="AG17" i="106"/>
  <c r="AE17" i="106"/>
  <c r="AC17" i="106"/>
  <c r="AA17" i="106"/>
  <c r="Y17" i="106"/>
  <c r="W17" i="106"/>
  <c r="U17" i="106"/>
  <c r="S17" i="106"/>
  <c r="Q17" i="106"/>
  <c r="O17" i="106"/>
  <c r="M17" i="106"/>
  <c r="K17" i="106"/>
  <c r="I17" i="106"/>
  <c r="G17" i="106"/>
  <c r="E17" i="106"/>
  <c r="AQ16" i="106"/>
  <c r="AO16" i="106"/>
  <c r="AM16" i="106"/>
  <c r="AK16" i="106"/>
  <c r="AI16" i="106"/>
  <c r="AG16" i="106"/>
  <c r="AE16" i="106"/>
  <c r="AC16" i="106"/>
  <c r="AA16" i="106"/>
  <c r="Y16" i="106"/>
  <c r="W16" i="106"/>
  <c r="U16" i="106"/>
  <c r="S16" i="106"/>
  <c r="Q16" i="106"/>
  <c r="O16" i="106"/>
  <c r="M16" i="106"/>
  <c r="K16" i="106"/>
  <c r="I16" i="106"/>
  <c r="G16" i="106"/>
  <c r="E16" i="106"/>
  <c r="AQ15" i="106"/>
  <c r="AO15" i="106"/>
  <c r="AM15" i="106"/>
  <c r="AK15" i="106"/>
  <c r="AI15" i="106"/>
  <c r="AG15" i="106"/>
  <c r="AE15" i="106"/>
  <c r="AC15" i="106"/>
  <c r="AA15" i="106"/>
  <c r="Y15" i="106"/>
  <c r="W15" i="106"/>
  <c r="U15" i="106"/>
  <c r="S15" i="106"/>
  <c r="Q15" i="106"/>
  <c r="O15" i="106"/>
  <c r="M15" i="106"/>
  <c r="K15" i="106"/>
  <c r="I15" i="106"/>
  <c r="G15" i="106"/>
  <c r="E15" i="106"/>
  <c r="AQ14" i="106"/>
  <c r="AO14" i="106"/>
  <c r="AM14" i="106"/>
  <c r="AK14" i="106"/>
  <c r="AI14" i="106"/>
  <c r="AG14" i="106"/>
  <c r="AE14" i="106"/>
  <c r="AC14" i="106"/>
  <c r="AA14" i="106"/>
  <c r="Y14" i="106"/>
  <c r="W14" i="106"/>
  <c r="U14" i="106"/>
  <c r="S14" i="106"/>
  <c r="Q14" i="106"/>
  <c r="O14" i="106"/>
  <c r="M14" i="106"/>
  <c r="K14" i="106"/>
  <c r="I14" i="106"/>
  <c r="G14" i="106"/>
  <c r="E14" i="106"/>
  <c r="AQ13" i="106"/>
  <c r="AO13" i="106"/>
  <c r="AM13" i="106"/>
  <c r="AK13" i="106"/>
  <c r="AI13" i="106"/>
  <c r="AG13" i="106"/>
  <c r="AE13" i="106"/>
  <c r="AC13" i="106"/>
  <c r="AA13" i="106"/>
  <c r="Y13" i="106"/>
  <c r="W13" i="106"/>
  <c r="U13" i="106"/>
  <c r="S13" i="106"/>
  <c r="Q13" i="106"/>
  <c r="O13" i="106"/>
  <c r="M13" i="106"/>
  <c r="K13" i="106"/>
  <c r="I13" i="106"/>
  <c r="G13" i="106"/>
  <c r="E13" i="106"/>
  <c r="AQ12" i="106"/>
  <c r="AO12" i="106"/>
  <c r="AM12" i="106"/>
  <c r="AK12" i="106"/>
  <c r="AI12" i="106"/>
  <c r="AG12" i="106"/>
  <c r="AE12" i="106"/>
  <c r="AC12" i="106"/>
  <c r="AA12" i="106"/>
  <c r="Y12" i="106"/>
  <c r="W12" i="106"/>
  <c r="U12" i="106"/>
  <c r="S12" i="106"/>
  <c r="Q12" i="106"/>
  <c r="O12" i="106"/>
  <c r="M12" i="106"/>
  <c r="K12" i="106"/>
  <c r="I12" i="106"/>
  <c r="G12" i="106"/>
  <c r="E12" i="106"/>
  <c r="AQ10" i="106"/>
  <c r="AO10" i="106"/>
  <c r="AM10" i="106"/>
  <c r="AK10" i="106"/>
  <c r="AI10" i="106"/>
  <c r="AG10" i="106"/>
  <c r="AE10" i="106"/>
  <c r="AC10" i="106"/>
  <c r="AA10" i="106"/>
  <c r="Y10" i="106"/>
  <c r="W10" i="106"/>
  <c r="U10" i="106"/>
  <c r="S10" i="106"/>
  <c r="Q10" i="106"/>
  <c r="O10" i="106"/>
  <c r="M10" i="106"/>
  <c r="K10" i="106"/>
  <c r="I10" i="106"/>
  <c r="G10" i="106"/>
  <c r="E10" i="106"/>
  <c r="E41" i="91"/>
  <c r="V130" i="106"/>
  <c r="V131" i="106"/>
  <c r="C36" i="92"/>
  <c r="C82" i="92" s="1"/>
  <c r="W76" i="92" s="1"/>
  <c r="AE113" i="106"/>
  <c r="V124" i="106"/>
  <c r="V127" i="106"/>
  <c r="AE1" i="106"/>
  <c r="AE2" i="106" s="1"/>
  <c r="E113" i="106"/>
  <c r="Q113" i="106"/>
  <c r="Y113" i="106"/>
  <c r="AG113" i="106"/>
  <c r="AQ113" i="106"/>
  <c r="AO113" i="106"/>
  <c r="G113" i="106"/>
  <c r="AI113" i="106"/>
  <c r="I113" i="106"/>
  <c r="S113" i="106"/>
  <c r="AA113" i="106"/>
  <c r="W113" i="106"/>
  <c r="K113" i="106"/>
  <c r="AK113" i="106"/>
  <c r="O113" i="106"/>
  <c r="O1" i="106"/>
  <c r="O3" i="106" s="1"/>
  <c r="M113" i="106"/>
  <c r="M1" i="106"/>
  <c r="M2" i="106" s="1"/>
  <c r="U113" i="106"/>
  <c r="AC113" i="106"/>
  <c r="AC1" i="106"/>
  <c r="AC2" i="106" s="1"/>
  <c r="AM113" i="106"/>
  <c r="AM2" i="106"/>
  <c r="F36" i="91"/>
  <c r="W124" i="106"/>
  <c r="W1" i="106"/>
  <c r="W2" i="106" s="1"/>
  <c r="V126" i="106"/>
  <c r="O28" i="92"/>
  <c r="U28" i="92" s="1"/>
  <c r="K1" i="106"/>
  <c r="K2" i="106" s="1"/>
  <c r="E1" i="106"/>
  <c r="E2" i="106" s="1"/>
  <c r="I1" i="106"/>
  <c r="I2" i="106" s="1"/>
  <c r="AI5" i="106"/>
  <c r="AI3" i="106"/>
  <c r="AI1" i="106"/>
  <c r="AI6" i="106"/>
  <c r="AI4" i="106"/>
  <c r="AI2" i="106"/>
  <c r="G1" i="106"/>
  <c r="G2" i="106" s="1"/>
  <c r="Q117" i="106"/>
  <c r="AM5" i="106"/>
  <c r="AM3" i="106"/>
  <c r="AM1" i="106"/>
  <c r="AO1" i="106"/>
  <c r="AO2" i="106" s="1"/>
  <c r="AM6" i="106"/>
  <c r="U1" i="106"/>
  <c r="U2" i="106" s="1"/>
  <c r="AM4" i="106"/>
  <c r="AQ1" i="106"/>
  <c r="AQ3" i="106" s="1"/>
  <c r="AA1" i="106"/>
  <c r="AA3" i="106" s="1"/>
  <c r="AG1" i="106"/>
  <c r="AG3" i="106" s="1"/>
  <c r="S1" i="106"/>
  <c r="S3" i="106" s="1"/>
  <c r="Y1" i="106"/>
  <c r="Y2" i="106" s="1"/>
  <c r="AK1" i="106"/>
  <c r="AK2" i="106" s="1"/>
  <c r="B14" i="92"/>
  <c r="M17" i="92" s="1"/>
  <c r="S17" i="92" s="1"/>
  <c r="Y17" i="92" s="1"/>
  <c r="E40" i="91"/>
  <c r="Q1" i="106"/>
  <c r="Q2" i="106" s="1"/>
  <c r="B61" i="92"/>
  <c r="U67" i="92" s="1"/>
  <c r="J10" i="91"/>
  <c r="CB22" i="105"/>
  <c r="CA22" i="105"/>
  <c r="BZ22" i="105"/>
  <c r="BY22" i="105"/>
  <c r="BX22" i="105"/>
  <c r="BW22" i="105"/>
  <c r="BV22" i="105"/>
  <c r="BU22" i="105"/>
  <c r="CD22" i="105"/>
  <c r="CB21" i="105"/>
  <c r="CA21" i="105"/>
  <c r="BZ21" i="105"/>
  <c r="BY21" i="105"/>
  <c r="BX21" i="105"/>
  <c r="BW21" i="105"/>
  <c r="BV21" i="105"/>
  <c r="BU21" i="105"/>
  <c r="CB20" i="105"/>
  <c r="CA20" i="105"/>
  <c r="BZ20" i="105"/>
  <c r="BY20" i="105"/>
  <c r="BX20" i="105"/>
  <c r="BW20" i="105"/>
  <c r="BV20" i="105"/>
  <c r="BU20" i="105"/>
  <c r="BU17" i="105"/>
  <c r="CD17" i="105"/>
  <c r="BU15" i="105"/>
  <c r="C22" i="99"/>
  <c r="E45" i="4"/>
  <c r="CD24" i="105"/>
  <c r="K44" i="103"/>
  <c r="J44" i="103"/>
  <c r="K43" i="103"/>
  <c r="J43" i="103"/>
  <c r="K42" i="103"/>
  <c r="J42" i="103"/>
  <c r="K41" i="103"/>
  <c r="J41" i="103"/>
  <c r="K40" i="103"/>
  <c r="J40" i="103"/>
  <c r="K39" i="103"/>
  <c r="J39" i="103"/>
  <c r="K38" i="103"/>
  <c r="J38" i="103"/>
  <c r="K37" i="103"/>
  <c r="J37" i="103"/>
  <c r="K36" i="103"/>
  <c r="J36" i="103"/>
  <c r="K35" i="103"/>
  <c r="J35" i="103"/>
  <c r="K34" i="103"/>
  <c r="J34" i="103"/>
  <c r="K33" i="103"/>
  <c r="J33" i="103"/>
  <c r="K32" i="103"/>
  <c r="J32" i="103"/>
  <c r="K31" i="103"/>
  <c r="J31" i="103"/>
  <c r="K30" i="103"/>
  <c r="J30" i="103"/>
  <c r="K29" i="103"/>
  <c r="J29" i="103"/>
  <c r="K28" i="103"/>
  <c r="J28" i="103"/>
  <c r="K27" i="103"/>
  <c r="J27" i="103"/>
  <c r="K26" i="103"/>
  <c r="J26" i="103"/>
  <c r="K25" i="103"/>
  <c r="J25" i="103"/>
  <c r="K24" i="103"/>
  <c r="J24" i="103"/>
  <c r="K23" i="103"/>
  <c r="J23" i="103"/>
  <c r="K22" i="103"/>
  <c r="J22" i="103"/>
  <c r="K21" i="103"/>
  <c r="J21" i="103"/>
  <c r="K20" i="103"/>
  <c r="J20" i="103"/>
  <c r="K19" i="103"/>
  <c r="J19" i="103"/>
  <c r="K18" i="103"/>
  <c r="J18" i="103"/>
  <c r="K17" i="103"/>
  <c r="J17" i="103"/>
  <c r="K16" i="103"/>
  <c r="J16" i="103"/>
  <c r="K15" i="103"/>
  <c r="J15" i="103"/>
  <c r="K14" i="103"/>
  <c r="J14" i="103"/>
  <c r="K13" i="103"/>
  <c r="J13" i="103"/>
  <c r="K12" i="103"/>
  <c r="J12" i="103"/>
  <c r="K11" i="103"/>
  <c r="J11" i="103"/>
  <c r="K10" i="103"/>
  <c r="J10" i="103"/>
  <c r="K9" i="103"/>
  <c r="J9" i="103"/>
  <c r="K8" i="103"/>
  <c r="J8" i="103"/>
  <c r="K7" i="103"/>
  <c r="J7" i="103"/>
  <c r="K6" i="103"/>
  <c r="J6" i="103"/>
  <c r="G20" i="102"/>
  <c r="G19" i="102"/>
  <c r="G18" i="102"/>
  <c r="G17" i="102"/>
  <c r="G16" i="102"/>
  <c r="G15" i="102"/>
  <c r="G14" i="102"/>
  <c r="G13" i="102"/>
  <c r="G12" i="102"/>
  <c r="G11" i="102"/>
  <c r="G10" i="102"/>
  <c r="G9" i="102"/>
  <c r="G8" i="102"/>
  <c r="G7" i="102"/>
  <c r="G6" i="102"/>
  <c r="G5" i="102"/>
  <c r="G4" i="102"/>
  <c r="R38" i="85"/>
  <c r="K2" i="85"/>
  <c r="J24" i="99"/>
  <c r="J28" i="99"/>
  <c r="K28" i="99"/>
  <c r="J27" i="99"/>
  <c r="K27" i="99"/>
  <c r="J26" i="99"/>
  <c r="K26" i="99"/>
  <c r="J22" i="99"/>
  <c r="K22" i="99"/>
  <c r="J21" i="99"/>
  <c r="K21" i="99"/>
  <c r="J20" i="99"/>
  <c r="K20" i="99"/>
  <c r="J5" i="99"/>
  <c r="K5" i="99"/>
  <c r="J18" i="99"/>
  <c r="K18" i="99"/>
  <c r="J17" i="99"/>
  <c r="J19" i="99"/>
  <c r="K19" i="99"/>
  <c r="J15" i="99"/>
  <c r="K15" i="99"/>
  <c r="J14" i="99"/>
  <c r="K14" i="99"/>
  <c r="J13" i="99"/>
  <c r="K13" i="99"/>
  <c r="J10" i="99"/>
  <c r="K10" i="99"/>
  <c r="J9" i="99"/>
  <c r="J11" i="99"/>
  <c r="K11" i="99"/>
  <c r="D10" i="99"/>
  <c r="D9" i="99"/>
  <c r="K32" i="99"/>
  <c r="G21" i="102"/>
  <c r="K17" i="99"/>
  <c r="J31" i="99"/>
  <c r="K24" i="99"/>
  <c r="K9" i="99"/>
  <c r="K31" i="99"/>
  <c r="J63" i="94"/>
  <c r="J64" i="94"/>
  <c r="J67" i="94"/>
  <c r="D31" i="95"/>
  <c r="L65" i="95"/>
  <c r="F35" i="91"/>
  <c r="F43" i="91"/>
  <c r="C5" i="101"/>
  <c r="C7" i="101"/>
  <c r="C8" i="101"/>
  <c r="E45" i="91"/>
  <c r="C40" i="101"/>
  <c r="C11" i="101"/>
  <c r="C12" i="101"/>
  <c r="D16" i="96"/>
  <c r="K16" i="96" s="1"/>
  <c r="M16" i="96" s="1"/>
  <c r="C17" i="101"/>
  <c r="C38" i="101"/>
  <c r="D34" i="101"/>
  <c r="H33" i="101"/>
  <c r="C33" i="101"/>
  <c r="J33" i="101"/>
  <c r="D32" i="101"/>
  <c r="H31" i="101"/>
  <c r="C31" i="101"/>
  <c r="C32" i="101"/>
  <c r="H29" i="101"/>
  <c r="C29" i="101"/>
  <c r="C30" i="101"/>
  <c r="D28" i="101"/>
  <c r="H27" i="101"/>
  <c r="C27" i="101"/>
  <c r="C28" i="101"/>
  <c r="C25" i="101"/>
  <c r="C26" i="101"/>
  <c r="C23" i="101"/>
  <c r="C24" i="101"/>
  <c r="C22" i="101"/>
  <c r="C21" i="101"/>
  <c r="C19" i="101"/>
  <c r="C20" i="101"/>
  <c r="D18" i="101"/>
  <c r="H17" i="101"/>
  <c r="D16" i="101"/>
  <c r="C15" i="101"/>
  <c r="C16" i="101"/>
  <c r="D14" i="101"/>
  <c r="H13" i="101"/>
  <c r="C13" i="101"/>
  <c r="D12" i="101"/>
  <c r="D10" i="101"/>
  <c r="H9" i="101"/>
  <c r="C9" i="101"/>
  <c r="D8" i="101"/>
  <c r="H7" i="101"/>
  <c r="D6" i="101"/>
  <c r="H5" i="101"/>
  <c r="C9" i="85"/>
  <c r="C10" i="85"/>
  <c r="C11" i="85"/>
  <c r="D11" i="85"/>
  <c r="K34" i="99"/>
  <c r="C11" i="99"/>
  <c r="D11" i="99"/>
  <c r="G14" i="98"/>
  <c r="G32" i="98"/>
  <c r="D63" i="22"/>
  <c r="D65" i="22"/>
  <c r="D66" i="22"/>
  <c r="D68" i="22"/>
  <c r="D69" i="22"/>
  <c r="D70" i="22"/>
  <c r="I79" i="98"/>
  <c r="I74" i="98"/>
  <c r="I73" i="98"/>
  <c r="I72" i="98"/>
  <c r="I68" i="98"/>
  <c r="I64" i="98"/>
  <c r="L63" i="98"/>
  <c r="I63" i="98"/>
  <c r="L62" i="98"/>
  <c r="I62" i="98"/>
  <c r="L61" i="98"/>
  <c r="I61" i="98"/>
  <c r="I60" i="98"/>
  <c r="L59" i="98"/>
  <c r="I59" i="98"/>
  <c r="L58" i="98"/>
  <c r="I58" i="98"/>
  <c r="I57" i="98"/>
  <c r="L56" i="98"/>
  <c r="I56" i="98"/>
  <c r="L55" i="98"/>
  <c r="I54" i="98"/>
  <c r="M52" i="98"/>
  <c r="B50" i="98"/>
  <c r="B49" i="98"/>
  <c r="B47" i="98"/>
  <c r="B46" i="98"/>
  <c r="B45" i="98"/>
  <c r="B44" i="98"/>
  <c r="B43" i="98"/>
  <c r="B42" i="98"/>
  <c r="B40" i="98"/>
  <c r="I37" i="98"/>
  <c r="D34" i="98"/>
  <c r="K79" i="98"/>
  <c r="I32" i="98"/>
  <c r="I31" i="98"/>
  <c r="I30" i="98"/>
  <c r="I26" i="98"/>
  <c r="I22" i="98"/>
  <c r="L21" i="98"/>
  <c r="I21" i="98"/>
  <c r="L20" i="98"/>
  <c r="I20" i="98"/>
  <c r="L19" i="98"/>
  <c r="I19" i="98"/>
  <c r="I18" i="98"/>
  <c r="L17" i="98"/>
  <c r="I17" i="98"/>
  <c r="L16" i="98"/>
  <c r="I16" i="98"/>
  <c r="I15" i="98"/>
  <c r="L14" i="98"/>
  <c r="I14" i="98"/>
  <c r="L13" i="98"/>
  <c r="I12" i="98"/>
  <c r="M10" i="98"/>
  <c r="D7" i="98"/>
  <c r="D6" i="98"/>
  <c r="D5" i="98"/>
  <c r="D4" i="98"/>
  <c r="B90" i="97"/>
  <c r="I90" i="97"/>
  <c r="B85" i="97"/>
  <c r="I85" i="97"/>
  <c r="B84" i="97"/>
  <c r="I84" i="97"/>
  <c r="B83" i="97"/>
  <c r="I83" i="97"/>
  <c r="E79" i="97"/>
  <c r="B75" i="97"/>
  <c r="I75" i="97"/>
  <c r="B71" i="97"/>
  <c r="I71" i="97"/>
  <c r="E70" i="97"/>
  <c r="E69" i="97"/>
  <c r="B69" i="97"/>
  <c r="I69" i="97"/>
  <c r="B68" i="97"/>
  <c r="I68" i="97"/>
  <c r="E67" i="97"/>
  <c r="L67" i="97"/>
  <c r="E66" i="97"/>
  <c r="B66" i="97"/>
  <c r="L66" i="97"/>
  <c r="I66" i="97"/>
  <c r="B65" i="97"/>
  <c r="I65" i="97"/>
  <c r="E64" i="97"/>
  <c r="B64" i="97"/>
  <c r="L64" i="97"/>
  <c r="I64" i="97"/>
  <c r="E63" i="97"/>
  <c r="L63" i="97"/>
  <c r="B62" i="97"/>
  <c r="I62" i="97"/>
  <c r="G59" i="97"/>
  <c r="M59" i="97"/>
  <c r="B53" i="97"/>
  <c r="B51" i="97"/>
  <c r="B50" i="97"/>
  <c r="B48" i="97"/>
  <c r="B47" i="97"/>
  <c r="B46" i="97"/>
  <c r="B44" i="97"/>
  <c r="I39" i="97"/>
  <c r="D37" i="97"/>
  <c r="K90" i="97"/>
  <c r="I34" i="97"/>
  <c r="G34" i="97"/>
  <c r="I33" i="97"/>
  <c r="I32" i="97"/>
  <c r="B28" i="97"/>
  <c r="B55" i="97"/>
  <c r="I24" i="97"/>
  <c r="I21" i="97"/>
  <c r="L20" i="97"/>
  <c r="I19" i="97"/>
  <c r="I18" i="97"/>
  <c r="L17" i="97"/>
  <c r="B17" i="97"/>
  <c r="I67" i="97"/>
  <c r="L16" i="97"/>
  <c r="I16" i="97"/>
  <c r="I15" i="97"/>
  <c r="L14" i="97"/>
  <c r="I14" i="97"/>
  <c r="L13" i="97"/>
  <c r="I12" i="97"/>
  <c r="M10" i="97"/>
  <c r="D7" i="97"/>
  <c r="D6" i="97"/>
  <c r="D5" i="97"/>
  <c r="D4" i="97"/>
  <c r="B22" i="96"/>
  <c r="I22" i="96" s="1"/>
  <c r="B24" i="96"/>
  <c r="I24" i="96" s="1"/>
  <c r="B21" i="96"/>
  <c r="I21" i="96" s="1"/>
  <c r="I44" i="96"/>
  <c r="I39" i="96"/>
  <c r="D37" i="96"/>
  <c r="K39" i="96" s="1"/>
  <c r="I34" i="96"/>
  <c r="I33" i="96"/>
  <c r="I32" i="96"/>
  <c r="L23" i="96"/>
  <c r="L22" i="96"/>
  <c r="L21" i="96"/>
  <c r="I20" i="96"/>
  <c r="L19" i="96"/>
  <c r="I19" i="96"/>
  <c r="L18" i="96"/>
  <c r="I18" i="96"/>
  <c r="L17" i="96"/>
  <c r="I17" i="96"/>
  <c r="I16" i="96"/>
  <c r="I15" i="96"/>
  <c r="L14" i="96"/>
  <c r="I14" i="96"/>
  <c r="L13" i="96"/>
  <c r="I13" i="96"/>
  <c r="I12" i="96"/>
  <c r="M9" i="96"/>
  <c r="D7" i="96"/>
  <c r="D6" i="96"/>
  <c r="D5" i="96"/>
  <c r="D4" i="96"/>
  <c r="J192" i="95"/>
  <c r="J187" i="95"/>
  <c r="J185" i="95"/>
  <c r="M181" i="95"/>
  <c r="J181" i="95"/>
  <c r="M173" i="95"/>
  <c r="M172" i="95"/>
  <c r="M171" i="95"/>
  <c r="M170" i="95"/>
  <c r="M169" i="95"/>
  <c r="M167" i="95"/>
  <c r="M166" i="95"/>
  <c r="N163" i="95"/>
  <c r="N186" i="95"/>
  <c r="J149" i="95"/>
  <c r="J144" i="95"/>
  <c r="J143" i="95"/>
  <c r="J142" i="95"/>
  <c r="M138" i="95"/>
  <c r="J138" i="95"/>
  <c r="J134" i="95"/>
  <c r="J131" i="95"/>
  <c r="J174" i="95"/>
  <c r="M130" i="95"/>
  <c r="M129" i="95"/>
  <c r="M128" i="95"/>
  <c r="J128" i="95"/>
  <c r="J171" i="95"/>
  <c r="M127" i="95"/>
  <c r="J127" i="95"/>
  <c r="J170" i="95"/>
  <c r="M126" i="95"/>
  <c r="J126" i="95"/>
  <c r="J169" i="95"/>
  <c r="J125" i="95"/>
  <c r="J168" i="95"/>
  <c r="M124" i="95"/>
  <c r="J124" i="95"/>
  <c r="J167" i="95"/>
  <c r="M123" i="95"/>
  <c r="J123" i="95"/>
  <c r="J166" i="95"/>
  <c r="J122" i="95"/>
  <c r="J165" i="95"/>
  <c r="N120" i="95"/>
  <c r="J110" i="95"/>
  <c r="J107" i="95"/>
  <c r="J106" i="95"/>
  <c r="J105" i="95"/>
  <c r="M101" i="95"/>
  <c r="J101" i="95"/>
  <c r="J97" i="95"/>
  <c r="M94" i="95"/>
  <c r="J94" i="95"/>
  <c r="M93" i="95"/>
  <c r="M92" i="95"/>
  <c r="M91" i="95"/>
  <c r="J90" i="95"/>
  <c r="M89" i="95"/>
  <c r="J89" i="95"/>
  <c r="M88" i="95"/>
  <c r="J88" i="95"/>
  <c r="J87" i="95"/>
  <c r="N85" i="95"/>
  <c r="J74" i="95"/>
  <c r="J71" i="95"/>
  <c r="J70" i="95"/>
  <c r="J69" i="95"/>
  <c r="M65" i="95"/>
  <c r="J65" i="95"/>
  <c r="J61" i="95"/>
  <c r="M58" i="95"/>
  <c r="J58" i="95"/>
  <c r="M57" i="95"/>
  <c r="M56" i="95"/>
  <c r="M55" i="95"/>
  <c r="J54" i="95"/>
  <c r="B52" i="95"/>
  <c r="J91" i="95"/>
  <c r="M53" i="95"/>
  <c r="J53" i="95"/>
  <c r="M52" i="95"/>
  <c r="J52" i="95"/>
  <c r="J51" i="95"/>
  <c r="N49" i="95"/>
  <c r="D39" i="95"/>
  <c r="L192" i="95"/>
  <c r="J38" i="95"/>
  <c r="B34" i="95"/>
  <c r="J68" i="95"/>
  <c r="J33" i="95"/>
  <c r="J32" i="95"/>
  <c r="M27" i="95"/>
  <c r="J23" i="95"/>
  <c r="M19" i="95"/>
  <c r="J19" i="95"/>
  <c r="M18" i="95"/>
  <c r="M17" i="95"/>
  <c r="J17" i="95"/>
  <c r="J56" i="95"/>
  <c r="J92" i="95"/>
  <c r="J129" i="95"/>
  <c r="J172" i="95"/>
  <c r="M16" i="95"/>
  <c r="J16" i="95"/>
  <c r="M14" i="95"/>
  <c r="J14" i="95"/>
  <c r="M13" i="95"/>
  <c r="J13" i="95"/>
  <c r="N9" i="95"/>
  <c r="D7" i="95"/>
  <c r="D6" i="95"/>
  <c r="D5" i="95"/>
  <c r="D4" i="95"/>
  <c r="K37" i="98"/>
  <c r="H36" i="94"/>
  <c r="H35" i="94"/>
  <c r="J117" i="94"/>
  <c r="J115" i="94"/>
  <c r="J114" i="94"/>
  <c r="M111" i="94"/>
  <c r="J111" i="94"/>
  <c r="M110" i="94"/>
  <c r="J110" i="94"/>
  <c r="J106" i="94"/>
  <c r="J102" i="94"/>
  <c r="M101" i="94"/>
  <c r="J101" i="94"/>
  <c r="M100" i="94"/>
  <c r="J100" i="94"/>
  <c r="M98" i="94"/>
  <c r="M97" i="94"/>
  <c r="M95" i="94"/>
  <c r="M94" i="94"/>
  <c r="N90" i="94"/>
  <c r="J78" i="94"/>
  <c r="J76" i="94"/>
  <c r="J75" i="94"/>
  <c r="M72" i="94"/>
  <c r="M71" i="94"/>
  <c r="M63" i="94"/>
  <c r="M62" i="94"/>
  <c r="J62" i="94"/>
  <c r="M60" i="94"/>
  <c r="J60" i="94"/>
  <c r="M59" i="94"/>
  <c r="J59" i="94"/>
  <c r="M57" i="94"/>
  <c r="J57" i="94"/>
  <c r="B55" i="94"/>
  <c r="J72" i="94"/>
  <c r="M56" i="94"/>
  <c r="J56" i="94"/>
  <c r="B54" i="94"/>
  <c r="J71" i="94"/>
  <c r="B52" i="94"/>
  <c r="B51" i="94"/>
  <c r="N52" i="94"/>
  <c r="B50" i="94"/>
  <c r="B49" i="94"/>
  <c r="J99" i="94"/>
  <c r="B48" i="94"/>
  <c r="J98" i="94"/>
  <c r="B47" i="94"/>
  <c r="J97" i="94"/>
  <c r="B46" i="94"/>
  <c r="J96" i="94"/>
  <c r="B45" i="94"/>
  <c r="J95" i="94"/>
  <c r="B44" i="94"/>
  <c r="J94" i="94"/>
  <c r="B43" i="94"/>
  <c r="J41" i="94"/>
  <c r="D38" i="94"/>
  <c r="L41" i="94"/>
  <c r="J37" i="94"/>
  <c r="J36" i="94"/>
  <c r="J35" i="94"/>
  <c r="J34" i="94"/>
  <c r="M31" i="94"/>
  <c r="J31" i="94"/>
  <c r="M30" i="94"/>
  <c r="J30" i="94"/>
  <c r="J22" i="94"/>
  <c r="J21" i="94"/>
  <c r="J20" i="94"/>
  <c r="M18" i="94"/>
  <c r="J18" i="94"/>
  <c r="M17" i="94"/>
  <c r="J17" i="94"/>
  <c r="M15" i="94"/>
  <c r="J15" i="94"/>
  <c r="M14" i="94"/>
  <c r="J14" i="94"/>
  <c r="N9" i="94"/>
  <c r="D7" i="94"/>
  <c r="D6" i="94"/>
  <c r="D5" i="94"/>
  <c r="D4" i="94"/>
  <c r="J100" i="92"/>
  <c r="I100" i="92"/>
  <c r="H100" i="92"/>
  <c r="G100" i="92"/>
  <c r="E100" i="92"/>
  <c r="D100" i="92"/>
  <c r="C100" i="92"/>
  <c r="B74" i="92"/>
  <c r="B73" i="92"/>
  <c r="AG77" i="92"/>
  <c r="AA77" i="92"/>
  <c r="U77" i="92"/>
  <c r="B70" i="92"/>
  <c r="AJ70" i="92"/>
  <c r="AG70" i="92"/>
  <c r="AD70" i="92"/>
  <c r="X70" i="92"/>
  <c r="U70" i="92"/>
  <c r="AA70" i="92" s="1"/>
  <c r="AG69" i="92"/>
  <c r="AD69" i="92"/>
  <c r="U69" i="92"/>
  <c r="AA69" i="92" s="1"/>
  <c r="AJ67" i="92"/>
  <c r="AD67" i="92"/>
  <c r="X67" i="92"/>
  <c r="AJ66" i="92"/>
  <c r="AG66" i="92"/>
  <c r="AD66" i="92"/>
  <c r="AA66" i="92"/>
  <c r="X66" i="92"/>
  <c r="U66" i="92"/>
  <c r="AK62" i="92"/>
  <c r="AE62" i="92"/>
  <c r="Y62" i="92"/>
  <c r="J51" i="92"/>
  <c r="I51" i="92"/>
  <c r="H51" i="92"/>
  <c r="G51" i="92"/>
  <c r="E51" i="92"/>
  <c r="D51" i="92"/>
  <c r="C51" i="92"/>
  <c r="C39" i="92"/>
  <c r="C87" i="92" s="1"/>
  <c r="B28" i="92"/>
  <c r="B27" i="92"/>
  <c r="B25" i="92"/>
  <c r="AB21" i="92"/>
  <c r="V21" i="92"/>
  <c r="P21" i="92"/>
  <c r="M21" i="92"/>
  <c r="AB20" i="92"/>
  <c r="M20" i="92"/>
  <c r="S20" i="92" s="1"/>
  <c r="Y20" i="92" s="1"/>
  <c r="M18" i="92"/>
  <c r="S18" i="92" s="1"/>
  <c r="Y18" i="92" s="1"/>
  <c r="AB17" i="92"/>
  <c r="V17" i="92"/>
  <c r="P17" i="92"/>
  <c r="AC13" i="92"/>
  <c r="W13" i="92"/>
  <c r="Q13" i="92"/>
  <c r="D7" i="92"/>
  <c r="D6" i="92"/>
  <c r="D5" i="92"/>
  <c r="D4" i="92"/>
  <c r="F70" i="91"/>
  <c r="E70" i="91"/>
  <c r="G69" i="91"/>
  <c r="D69" i="91"/>
  <c r="B69" i="91"/>
  <c r="J67" i="91"/>
  <c r="B68" i="91"/>
  <c r="G67" i="91"/>
  <c r="D67" i="91"/>
  <c r="B67" i="91"/>
  <c r="G66" i="91"/>
  <c r="D66" i="91"/>
  <c r="G65" i="91"/>
  <c r="D65" i="91"/>
  <c r="B65" i="91"/>
  <c r="G64" i="91"/>
  <c r="D64" i="91"/>
  <c r="B64" i="91"/>
  <c r="G63" i="91"/>
  <c r="D63" i="91"/>
  <c r="B63" i="91"/>
  <c r="G62" i="91"/>
  <c r="D62" i="91"/>
  <c r="B62" i="91"/>
  <c r="B61" i="91"/>
  <c r="G60" i="91"/>
  <c r="D60" i="91"/>
  <c r="D74" i="91"/>
  <c r="B60" i="91"/>
  <c r="J62" i="91"/>
  <c r="G59" i="91"/>
  <c r="D59" i="91"/>
  <c r="B59" i="91"/>
  <c r="G58" i="91"/>
  <c r="D58" i="91"/>
  <c r="B58" i="91"/>
  <c r="G57" i="91"/>
  <c r="D57" i="91"/>
  <c r="B57" i="91"/>
  <c r="B56" i="91"/>
  <c r="G55" i="91"/>
  <c r="D55" i="91"/>
  <c r="B55" i="91"/>
  <c r="J57" i="91"/>
  <c r="G54" i="91"/>
  <c r="D54" i="91"/>
  <c r="B54" i="91"/>
  <c r="K52" i="91"/>
  <c r="G53" i="91"/>
  <c r="D53" i="91"/>
  <c r="B53" i="91"/>
  <c r="B52" i="91"/>
  <c r="D51" i="91"/>
  <c r="M84" i="91"/>
  <c r="J38" i="91"/>
  <c r="J86" i="91"/>
  <c r="M36" i="91"/>
  <c r="D36" i="91"/>
  <c r="D35" i="91"/>
  <c r="J21" i="91"/>
  <c r="J68" i="91"/>
  <c r="J20" i="91"/>
  <c r="J19" i="91"/>
  <c r="J66" i="91"/>
  <c r="J18" i="91"/>
  <c r="J65" i="91"/>
  <c r="J15" i="91"/>
  <c r="E7" i="91"/>
  <c r="E6" i="91"/>
  <c r="K5" i="91"/>
  <c r="E5" i="91"/>
  <c r="E4" i="91"/>
  <c r="BZ22" i="89"/>
  <c r="BY22" i="89"/>
  <c r="BX22" i="89"/>
  <c r="BW22" i="89"/>
  <c r="BV22" i="89"/>
  <c r="BU22" i="89"/>
  <c r="BT22" i="89"/>
  <c r="BS22" i="89"/>
  <c r="BZ21" i="89"/>
  <c r="BY21" i="89"/>
  <c r="BX21" i="89"/>
  <c r="BW21" i="89"/>
  <c r="BV21" i="89"/>
  <c r="BU21" i="89"/>
  <c r="BT21" i="89"/>
  <c r="BS21" i="89"/>
  <c r="BS18" i="89"/>
  <c r="CB18" i="89"/>
  <c r="BS17" i="89"/>
  <c r="M45" i="85"/>
  <c r="G55" i="4"/>
  <c r="C40" i="85"/>
  <c r="C41" i="85"/>
  <c r="D33" i="75"/>
  <c r="D31" i="22"/>
  <c r="E81" i="22"/>
  <c r="K80" i="22"/>
  <c r="B38" i="85"/>
  <c r="C38" i="85"/>
  <c r="R31" i="85"/>
  <c r="D27" i="78"/>
  <c r="K60" i="78"/>
  <c r="K96" i="78"/>
  <c r="K133" i="78"/>
  <c r="K176" i="78"/>
  <c r="D24" i="22"/>
  <c r="J24" i="22"/>
  <c r="D28" i="79"/>
  <c r="N69" i="88"/>
  <c r="M69" i="88"/>
  <c r="H68" i="88"/>
  <c r="O68" i="88"/>
  <c r="I66" i="88"/>
  <c r="I69" i="88"/>
  <c r="D66" i="88"/>
  <c r="O66" i="88"/>
  <c r="H64" i="88"/>
  <c r="O64" i="88"/>
  <c r="G62" i="88"/>
  <c r="F62" i="88"/>
  <c r="E62" i="88"/>
  <c r="D62" i="88"/>
  <c r="C62" i="88"/>
  <c r="F60" i="88"/>
  <c r="O60" i="88"/>
  <c r="O58" i="88"/>
  <c r="O56" i="88"/>
  <c r="O54" i="88"/>
  <c r="O52" i="88"/>
  <c r="F50" i="88"/>
  <c r="O50" i="88"/>
  <c r="O48" i="88"/>
  <c r="O46" i="88"/>
  <c r="C44" i="88"/>
  <c r="O44" i="88"/>
  <c r="O42" i="88"/>
  <c r="O40" i="88"/>
  <c r="O38" i="88"/>
  <c r="O36" i="88"/>
  <c r="O34" i="88"/>
  <c r="O32" i="88"/>
  <c r="F30" i="88"/>
  <c r="E30" i="88"/>
  <c r="E28" i="88"/>
  <c r="O26" i="88"/>
  <c r="G24" i="88"/>
  <c r="F24" i="88"/>
  <c r="E24" i="88"/>
  <c r="D24" i="88"/>
  <c r="C24" i="88"/>
  <c r="O22" i="88"/>
  <c r="J20" i="88"/>
  <c r="J69" i="88"/>
  <c r="O18" i="88"/>
  <c r="O16" i="88"/>
  <c r="E14" i="88"/>
  <c r="D14" i="88"/>
  <c r="C14" i="88"/>
  <c r="G12" i="88"/>
  <c r="L10" i="88"/>
  <c r="H10" i="88"/>
  <c r="F10" i="88"/>
  <c r="C10" i="88"/>
  <c r="L8" i="88"/>
  <c r="K8" i="88"/>
  <c r="O8" i="88"/>
  <c r="E6" i="88"/>
  <c r="D6" i="88"/>
  <c r="C6" i="88"/>
  <c r="C4" i="88"/>
  <c r="O4" i="88"/>
  <c r="O20" i="88"/>
  <c r="K56" i="23"/>
  <c r="K14" i="23"/>
  <c r="K68" i="22"/>
  <c r="K67" i="22"/>
  <c r="E69" i="22"/>
  <c r="E68" i="22"/>
  <c r="K20" i="22"/>
  <c r="K19" i="22"/>
  <c r="B51" i="22"/>
  <c r="J62" i="22"/>
  <c r="J14" i="22"/>
  <c r="K14" i="79"/>
  <c r="G64" i="78"/>
  <c r="K123" i="78"/>
  <c r="K88" i="78"/>
  <c r="K52" i="78"/>
  <c r="K14" i="78"/>
  <c r="K95" i="75"/>
  <c r="K57" i="75"/>
  <c r="K15" i="75"/>
  <c r="M15" i="75"/>
  <c r="O17" i="73"/>
  <c r="U17" i="73"/>
  <c r="L57" i="4"/>
  <c r="O57" i="4"/>
  <c r="L9" i="4"/>
  <c r="O9" i="4"/>
  <c r="D7" i="78"/>
  <c r="J15" i="4"/>
  <c r="O88" i="4"/>
  <c r="N69" i="4"/>
  <c r="N68" i="4"/>
  <c r="J68" i="4"/>
  <c r="N21" i="4"/>
  <c r="N20" i="4"/>
  <c r="J20" i="4"/>
  <c r="K31" i="85"/>
  <c r="K34" i="85"/>
  <c r="C22" i="85"/>
  <c r="D14" i="23"/>
  <c r="F18" i="22"/>
  <c r="D14" i="22"/>
  <c r="D14" i="79"/>
  <c r="L101" i="75"/>
  <c r="L100" i="75"/>
  <c r="L98" i="75"/>
  <c r="L97" i="75"/>
  <c r="I22" i="75"/>
  <c r="I21" i="75"/>
  <c r="I20" i="75"/>
  <c r="I18" i="75"/>
  <c r="I17" i="75"/>
  <c r="D15" i="75"/>
  <c r="C7" i="87"/>
  <c r="B18" i="87"/>
  <c r="J18" i="4"/>
  <c r="J66" i="4"/>
  <c r="J39" i="4"/>
  <c r="J88" i="4"/>
  <c r="J19" i="4"/>
  <c r="J67" i="4"/>
  <c r="J21" i="4"/>
  <c r="J69" i="4"/>
  <c r="L23" i="79"/>
  <c r="L22" i="79"/>
  <c r="K23" i="79"/>
  <c r="K22" i="79"/>
  <c r="I23" i="79"/>
  <c r="I22" i="79"/>
  <c r="L62" i="23"/>
  <c r="L61" i="23"/>
  <c r="L20" i="23"/>
  <c r="L19" i="23"/>
  <c r="L21" i="23"/>
  <c r="L17" i="23"/>
  <c r="L16" i="23"/>
  <c r="L55" i="23"/>
  <c r="L14" i="23"/>
  <c r="L13" i="23"/>
  <c r="I61" i="23"/>
  <c r="I62" i="23"/>
  <c r="I20" i="23"/>
  <c r="I19" i="23"/>
  <c r="J68" i="22"/>
  <c r="H68" i="22"/>
  <c r="B69" i="22"/>
  <c r="J67" i="22"/>
  <c r="J20" i="22"/>
  <c r="J69" i="22"/>
  <c r="J65" i="22"/>
  <c r="J64" i="22"/>
  <c r="J16" i="22"/>
  <c r="J17" i="22"/>
  <c r="J21" i="22"/>
  <c r="J19" i="22"/>
  <c r="H20" i="22"/>
  <c r="K33" i="79"/>
  <c r="K28" i="79"/>
  <c r="K24" i="79"/>
  <c r="K21" i="79"/>
  <c r="M21" i="79"/>
  <c r="K19" i="79"/>
  <c r="I182" i="78"/>
  <c r="L171" i="78"/>
  <c r="F64" i="78"/>
  <c r="E64" i="78"/>
  <c r="L128" i="78"/>
  <c r="I139" i="78"/>
  <c r="L91" i="78"/>
  <c r="I102" i="78"/>
  <c r="I66" i="78"/>
  <c r="L55" i="78"/>
  <c r="L17" i="78"/>
  <c r="I17" i="78"/>
  <c r="I55" i="78"/>
  <c r="I91" i="78"/>
  <c r="I128" i="78"/>
  <c r="I171" i="78"/>
  <c r="B53" i="78"/>
  <c r="I90" i="78"/>
  <c r="I29" i="78"/>
  <c r="D40" i="78"/>
  <c r="L66" i="78"/>
  <c r="B22" i="78"/>
  <c r="B55" i="78"/>
  <c r="I113" i="75"/>
  <c r="I74" i="75"/>
  <c r="L62" i="75"/>
  <c r="J24" i="83"/>
  <c r="D24" i="83"/>
  <c r="J23" i="83"/>
  <c r="D23" i="83"/>
  <c r="F15" i="83"/>
  <c r="E15" i="83"/>
  <c r="J12" i="83"/>
  <c r="I10" i="83"/>
  <c r="H10" i="83"/>
  <c r="C10" i="83"/>
  <c r="I8" i="83"/>
  <c r="I9" i="83"/>
  <c r="H8" i="83"/>
  <c r="H9" i="83"/>
  <c r="C8" i="83"/>
  <c r="C9" i="83"/>
  <c r="G6" i="83"/>
  <c r="G10" i="83"/>
  <c r="F6" i="83"/>
  <c r="F10" i="83"/>
  <c r="E6" i="83"/>
  <c r="E10" i="83"/>
  <c r="D6" i="83"/>
  <c r="D8" i="83"/>
  <c r="D9" i="83"/>
  <c r="B6" i="83"/>
  <c r="B8" i="83"/>
  <c r="L102" i="78"/>
  <c r="L21" i="75"/>
  <c r="L20" i="75"/>
  <c r="I33" i="75"/>
  <c r="L63" i="75"/>
  <c r="B53" i="75"/>
  <c r="N66" i="73"/>
  <c r="T66" i="73"/>
  <c r="Z66" i="73"/>
  <c r="L66" i="73"/>
  <c r="R66" i="73"/>
  <c r="X66" i="73"/>
  <c r="AA60" i="73"/>
  <c r="U60" i="73"/>
  <c r="O60" i="73"/>
  <c r="AA16" i="73"/>
  <c r="U16" i="73"/>
  <c r="O16" i="73"/>
  <c r="J85" i="4"/>
  <c r="J42" i="4"/>
  <c r="C22" i="82"/>
  <c r="H21" i="82"/>
  <c r="D21" i="82"/>
  <c r="D22" i="82"/>
  <c r="C20" i="82"/>
  <c r="D17" i="75"/>
  <c r="H19" i="82"/>
  <c r="D19" i="82"/>
  <c r="C18" i="82"/>
  <c r="D18" i="78"/>
  <c r="K127" i="78"/>
  <c r="K170" i="78"/>
  <c r="H17" i="82"/>
  <c r="D17" i="82"/>
  <c r="D18" i="82"/>
  <c r="C16" i="82"/>
  <c r="H15" i="82"/>
  <c r="D15" i="82"/>
  <c r="D16" i="82"/>
  <c r="C14" i="82"/>
  <c r="E18" i="4"/>
  <c r="H13" i="82"/>
  <c r="D13" i="82"/>
  <c r="D14" i="82"/>
  <c r="C12" i="82"/>
  <c r="H11" i="82"/>
  <c r="D11" i="82"/>
  <c r="D12" i="82"/>
  <c r="D9" i="82"/>
  <c r="D10" i="82"/>
  <c r="C9" i="82"/>
  <c r="C10" i="82"/>
  <c r="E20" i="4"/>
  <c r="C8" i="82"/>
  <c r="D18" i="75"/>
  <c r="H7" i="82"/>
  <c r="D7" i="82"/>
  <c r="D8" i="82"/>
  <c r="C6" i="82"/>
  <c r="E25" i="4"/>
  <c r="H5" i="82"/>
  <c r="D5" i="82"/>
  <c r="D6" i="82"/>
  <c r="C4" i="82"/>
  <c r="E23" i="4"/>
  <c r="H3" i="82"/>
  <c r="D3" i="82"/>
  <c r="D4" i="82"/>
  <c r="D21" i="75"/>
  <c r="E19" i="4"/>
  <c r="L62" i="4"/>
  <c r="O62" i="4"/>
  <c r="D21" i="78"/>
  <c r="K128" i="78"/>
  <c r="D20" i="75"/>
  <c r="K62" i="75"/>
  <c r="M62" i="75"/>
  <c r="D26" i="75"/>
  <c r="K67" i="75"/>
  <c r="C30" i="73"/>
  <c r="T21" i="73"/>
  <c r="L27" i="4"/>
  <c r="L75" i="4"/>
  <c r="L42" i="4"/>
  <c r="L85" i="4"/>
  <c r="Z21" i="73"/>
  <c r="I101" i="75"/>
  <c r="I102" i="75"/>
  <c r="I100" i="75"/>
  <c r="I63" i="75"/>
  <c r="D41" i="75"/>
  <c r="K44" i="75"/>
  <c r="D39" i="75"/>
  <c r="L74" i="75"/>
  <c r="X61" i="73"/>
  <c r="X59" i="73"/>
  <c r="X60" i="73"/>
  <c r="X58" i="73"/>
  <c r="R59" i="73"/>
  <c r="R58" i="73"/>
  <c r="N61" i="73"/>
  <c r="T61" i="73"/>
  <c r="L61" i="73"/>
  <c r="R61" i="73"/>
  <c r="L60" i="73"/>
  <c r="R60" i="73"/>
  <c r="L59" i="73"/>
  <c r="L58" i="73"/>
  <c r="L17" i="73"/>
  <c r="L14" i="73"/>
  <c r="R14" i="73"/>
  <c r="X14" i="73"/>
  <c r="L15" i="73"/>
  <c r="R15" i="73"/>
  <c r="X15" i="73"/>
  <c r="L16" i="73"/>
  <c r="R16" i="73"/>
  <c r="X16" i="73"/>
  <c r="N60" i="73"/>
  <c r="C31" i="73"/>
  <c r="Z25" i="73"/>
  <c r="N30" i="18"/>
  <c r="N34" i="18"/>
  <c r="I70" i="23"/>
  <c r="L73" i="23"/>
  <c r="I73" i="23"/>
  <c r="D35" i="23"/>
  <c r="L70" i="23"/>
  <c r="G36" i="23"/>
  <c r="G37" i="23"/>
  <c r="K79" i="22"/>
  <c r="E80" i="22"/>
  <c r="B38" i="22"/>
  <c r="B80" i="22"/>
  <c r="J30" i="22"/>
  <c r="K86" i="80"/>
  <c r="K90" i="80"/>
  <c r="D85" i="80"/>
  <c r="D89" i="80"/>
  <c r="J40" i="80"/>
  <c r="J37" i="80"/>
  <c r="H37" i="80"/>
  <c r="K91" i="80"/>
  <c r="I91" i="80"/>
  <c r="I90" i="80"/>
  <c r="D90" i="80"/>
  <c r="B90" i="80"/>
  <c r="B89" i="80"/>
  <c r="I85" i="80"/>
  <c r="B84" i="80"/>
  <c r="I80" i="80"/>
  <c r="I79" i="80"/>
  <c r="B79" i="80"/>
  <c r="B78" i="80"/>
  <c r="L76" i="80"/>
  <c r="E75" i="80"/>
  <c r="I72" i="80"/>
  <c r="B71" i="80"/>
  <c r="I68" i="80"/>
  <c r="L67" i="80"/>
  <c r="I67" i="80"/>
  <c r="I66" i="80"/>
  <c r="B67" i="80"/>
  <c r="L65" i="80"/>
  <c r="E66" i="80"/>
  <c r="B66" i="80"/>
  <c r="L64" i="80"/>
  <c r="I64" i="80"/>
  <c r="B65" i="80"/>
  <c r="I63" i="80"/>
  <c r="E64" i="80"/>
  <c r="L62" i="80"/>
  <c r="I62" i="80"/>
  <c r="E63" i="80"/>
  <c r="B63" i="80"/>
  <c r="L61" i="80"/>
  <c r="I61" i="80"/>
  <c r="B62" i="80"/>
  <c r="I60" i="80"/>
  <c r="E61" i="80"/>
  <c r="B61" i="80"/>
  <c r="E60" i="80"/>
  <c r="B60" i="80"/>
  <c r="B59" i="80"/>
  <c r="M57" i="80"/>
  <c r="M91" i="80"/>
  <c r="F56" i="80"/>
  <c r="B50" i="80"/>
  <c r="B49" i="80"/>
  <c r="B48" i="80"/>
  <c r="B46" i="80"/>
  <c r="B45" i="80"/>
  <c r="B44" i="80"/>
  <c r="B43" i="80"/>
  <c r="J41" i="80"/>
  <c r="H41" i="80"/>
  <c r="B42" i="80"/>
  <c r="H40" i="80"/>
  <c r="H36" i="80"/>
  <c r="K85" i="80"/>
  <c r="F32" i="80"/>
  <c r="H31" i="80"/>
  <c r="H30" i="80"/>
  <c r="B77" i="80"/>
  <c r="I78" i="80"/>
  <c r="K27" i="80"/>
  <c r="B27" i="80"/>
  <c r="B52" i="80"/>
  <c r="I76" i="80"/>
  <c r="H23" i="80"/>
  <c r="K72" i="80"/>
  <c r="H20" i="80"/>
  <c r="K19" i="80"/>
  <c r="H19" i="80"/>
  <c r="F19" i="80"/>
  <c r="H18" i="80"/>
  <c r="K17" i="80"/>
  <c r="F17" i="80"/>
  <c r="B17" i="80"/>
  <c r="I65" i="80"/>
  <c r="K16" i="80"/>
  <c r="H16" i="80"/>
  <c r="F16" i="80"/>
  <c r="H15" i="80"/>
  <c r="K14" i="80"/>
  <c r="H14" i="80"/>
  <c r="F14" i="80"/>
  <c r="K13" i="80"/>
  <c r="H13" i="80"/>
  <c r="F13" i="80"/>
  <c r="H12" i="80"/>
  <c r="L10" i="80"/>
  <c r="D7" i="80"/>
  <c r="D6" i="80"/>
  <c r="D5" i="80"/>
  <c r="D4" i="80"/>
  <c r="J23" i="80"/>
  <c r="F90" i="80"/>
  <c r="D84" i="80"/>
  <c r="H29" i="80"/>
  <c r="J36" i="80"/>
  <c r="D71" i="80"/>
  <c r="H30" i="22"/>
  <c r="D18" i="20"/>
  <c r="K18" i="20"/>
  <c r="D18" i="79"/>
  <c r="K18" i="79"/>
  <c r="I44" i="79"/>
  <c r="K30" i="79"/>
  <c r="I30" i="79"/>
  <c r="I39" i="79"/>
  <c r="D37" i="79"/>
  <c r="K39" i="79"/>
  <c r="I34" i="79"/>
  <c r="G33" i="79"/>
  <c r="I33" i="79"/>
  <c r="I32" i="79"/>
  <c r="I24" i="79"/>
  <c r="L21" i="79"/>
  <c r="I21" i="79"/>
  <c r="I20" i="79"/>
  <c r="L19" i="79"/>
  <c r="I19" i="79"/>
  <c r="L18" i="79"/>
  <c r="I18" i="79"/>
  <c r="L17" i="79"/>
  <c r="I17" i="79"/>
  <c r="L16" i="79"/>
  <c r="I16" i="79"/>
  <c r="I15" i="79"/>
  <c r="L14" i="79"/>
  <c r="I14" i="79"/>
  <c r="G14" i="79"/>
  <c r="L13" i="79"/>
  <c r="I13" i="79"/>
  <c r="I12" i="79"/>
  <c r="M9" i="79"/>
  <c r="M33" i="79"/>
  <c r="D7" i="79"/>
  <c r="D6" i="79"/>
  <c r="D5" i="79"/>
  <c r="D4" i="79"/>
  <c r="I38" i="20"/>
  <c r="I43" i="20"/>
  <c r="K43" i="20"/>
  <c r="I195" i="78"/>
  <c r="I191" i="78"/>
  <c r="I186" i="78"/>
  <c r="I184" i="78"/>
  <c r="L180" i="78"/>
  <c r="I180" i="78"/>
  <c r="L172" i="78"/>
  <c r="L170" i="78"/>
  <c r="L169" i="78"/>
  <c r="L168" i="78"/>
  <c r="L166" i="78"/>
  <c r="L165" i="78"/>
  <c r="I152" i="78"/>
  <c r="I148" i="78"/>
  <c r="L142" i="78"/>
  <c r="I142" i="78"/>
  <c r="I141" i="78"/>
  <c r="I143" i="78"/>
  <c r="L137" i="78"/>
  <c r="I137" i="78"/>
  <c r="I133" i="78"/>
  <c r="L129" i="78"/>
  <c r="L127" i="78"/>
  <c r="L126" i="78"/>
  <c r="L125" i="78"/>
  <c r="L123" i="78"/>
  <c r="M123" i="78"/>
  <c r="L122" i="78"/>
  <c r="I130" i="78"/>
  <c r="I173" i="78"/>
  <c r="I129" i="78"/>
  <c r="I172" i="78"/>
  <c r="I125" i="78"/>
  <c r="I168" i="78"/>
  <c r="I126" i="78"/>
  <c r="I169" i="78"/>
  <c r="I127" i="78"/>
  <c r="I170" i="78"/>
  <c r="I124" i="78"/>
  <c r="I167" i="78"/>
  <c r="I123" i="78"/>
  <c r="I166" i="78"/>
  <c r="I122" i="78"/>
  <c r="I165" i="78"/>
  <c r="I121" i="78"/>
  <c r="I164" i="78"/>
  <c r="I96" i="78"/>
  <c r="I111" i="78"/>
  <c r="I109" i="78"/>
  <c r="L105" i="78"/>
  <c r="I105" i="78"/>
  <c r="I104" i="78"/>
  <c r="K77" i="8"/>
  <c r="K119" i="8"/>
  <c r="K81" i="8"/>
  <c r="I60" i="78"/>
  <c r="I75" i="78"/>
  <c r="I73" i="78"/>
  <c r="L69" i="78"/>
  <c r="I69" i="78"/>
  <c r="I68" i="78"/>
  <c r="K38" i="8"/>
  <c r="K42" i="8"/>
  <c r="L27" i="78"/>
  <c r="M162" i="78"/>
  <c r="M185" i="78"/>
  <c r="M119" i="78"/>
  <c r="K123" i="8"/>
  <c r="L109" i="8"/>
  <c r="L26" i="8"/>
  <c r="L101" i="8"/>
  <c r="L100" i="8"/>
  <c r="L98" i="8"/>
  <c r="L97" i="8"/>
  <c r="F51" i="8"/>
  <c r="I77" i="8"/>
  <c r="I119" i="8"/>
  <c r="D175" i="8"/>
  <c r="D171" i="8"/>
  <c r="D131" i="8"/>
  <c r="D134" i="8"/>
  <c r="B171" i="8"/>
  <c r="B131" i="8"/>
  <c r="K131" i="7"/>
  <c r="I106" i="78"/>
  <c r="L100" i="78"/>
  <c r="I100" i="78"/>
  <c r="I93" i="78"/>
  <c r="L92" i="78"/>
  <c r="L90" i="78"/>
  <c r="I89" i="78"/>
  <c r="L88" i="78"/>
  <c r="I88" i="78"/>
  <c r="L87" i="78"/>
  <c r="I87" i="78"/>
  <c r="I86" i="78"/>
  <c r="M84" i="78"/>
  <c r="I70" i="78"/>
  <c r="L64" i="78"/>
  <c r="I64" i="78"/>
  <c r="I57" i="78"/>
  <c r="L56" i="78"/>
  <c r="L54" i="78"/>
  <c r="I53" i="78"/>
  <c r="L52" i="78"/>
  <c r="I52" i="78"/>
  <c r="L51" i="78"/>
  <c r="I51" i="78"/>
  <c r="I50" i="78"/>
  <c r="M48" i="78"/>
  <c r="I40" i="78"/>
  <c r="I38" i="78"/>
  <c r="D39" i="78"/>
  <c r="K148" i="78"/>
  <c r="I33" i="78"/>
  <c r="L32" i="78"/>
  <c r="I32" i="78"/>
  <c r="G36" i="78"/>
  <c r="B34" i="78"/>
  <c r="I67" i="78"/>
  <c r="I27" i="78"/>
  <c r="G31" i="78"/>
  <c r="I23" i="78"/>
  <c r="I19" i="78"/>
  <c r="L18" i="78"/>
  <c r="I18" i="78"/>
  <c r="L16" i="78"/>
  <c r="I16" i="78"/>
  <c r="L14" i="78"/>
  <c r="I14" i="78"/>
  <c r="L13" i="78"/>
  <c r="I13" i="78"/>
  <c r="M9" i="78"/>
  <c r="M32" i="78"/>
  <c r="D6" i="78"/>
  <c r="D5" i="78"/>
  <c r="D4" i="78"/>
  <c r="K88" i="7"/>
  <c r="K191" i="78"/>
  <c r="K38" i="78"/>
  <c r="BX23" i="77"/>
  <c r="BW23" i="77"/>
  <c r="BV23" i="77"/>
  <c r="BU23" i="77"/>
  <c r="BT23" i="77"/>
  <c r="BS23" i="77"/>
  <c r="BR23" i="77"/>
  <c r="BQ23" i="77"/>
  <c r="BX22" i="77"/>
  <c r="BW22" i="77"/>
  <c r="BV22" i="77"/>
  <c r="BU22" i="77"/>
  <c r="BT22" i="77"/>
  <c r="BS22" i="77"/>
  <c r="BR22" i="77"/>
  <c r="BQ22" i="77"/>
  <c r="BQ19" i="77"/>
  <c r="BZ19" i="77"/>
  <c r="BQ18" i="77"/>
  <c r="L93" i="78"/>
  <c r="L57" i="78"/>
  <c r="L19" i="78"/>
  <c r="I38" i="8"/>
  <c r="I31" i="8"/>
  <c r="L116" i="75"/>
  <c r="L77" i="75"/>
  <c r="D38" i="75"/>
  <c r="K82" i="75"/>
  <c r="L36" i="75"/>
  <c r="I36" i="75"/>
  <c r="I117" i="75"/>
  <c r="I115" i="75"/>
  <c r="I114" i="75"/>
  <c r="L111" i="75"/>
  <c r="I111" i="75"/>
  <c r="L110" i="75"/>
  <c r="I110" i="75"/>
  <c r="I106" i="75"/>
  <c r="L95" i="75"/>
  <c r="L94" i="75"/>
  <c r="M90" i="75"/>
  <c r="I78" i="75"/>
  <c r="I76" i="75"/>
  <c r="I75" i="75"/>
  <c r="L72" i="75"/>
  <c r="L71" i="75"/>
  <c r="I67" i="75"/>
  <c r="I64" i="75"/>
  <c r="I62" i="75"/>
  <c r="L60" i="75"/>
  <c r="I60" i="75"/>
  <c r="L59" i="75"/>
  <c r="I59" i="75"/>
  <c r="L57" i="75"/>
  <c r="M57" i="75"/>
  <c r="I57" i="75"/>
  <c r="L56" i="75"/>
  <c r="I56" i="75"/>
  <c r="M52" i="75"/>
  <c r="B57" i="75"/>
  <c r="I72" i="75"/>
  <c r="B56" i="75"/>
  <c r="I71" i="75"/>
  <c r="B54" i="75"/>
  <c r="B52" i="75"/>
  <c r="B51" i="75"/>
  <c r="I99" i="75"/>
  <c r="B50" i="75"/>
  <c r="I98" i="75"/>
  <c r="B49" i="75"/>
  <c r="I97" i="75"/>
  <c r="B48" i="75"/>
  <c r="I96" i="75"/>
  <c r="B47" i="75"/>
  <c r="I95" i="75"/>
  <c r="B46" i="75"/>
  <c r="I94" i="75"/>
  <c r="B45" i="75"/>
  <c r="I41" i="75"/>
  <c r="I37" i="75"/>
  <c r="I35" i="75"/>
  <c r="G35" i="75"/>
  <c r="I34" i="75"/>
  <c r="G34" i="75"/>
  <c r="G33" i="75"/>
  <c r="L31" i="75"/>
  <c r="I31" i="75"/>
  <c r="L30" i="75"/>
  <c r="I30" i="75"/>
  <c r="I26" i="75"/>
  <c r="L18" i="75"/>
  <c r="L17" i="75"/>
  <c r="L15" i="75"/>
  <c r="I15" i="75"/>
  <c r="L14" i="75"/>
  <c r="I14" i="75"/>
  <c r="G14" i="75"/>
  <c r="M9" i="75"/>
  <c r="D7" i="75"/>
  <c r="D6" i="75"/>
  <c r="D5" i="75"/>
  <c r="D4" i="75"/>
  <c r="D28" i="97"/>
  <c r="K28" i="97"/>
  <c r="L30" i="91"/>
  <c r="O30" i="91"/>
  <c r="L77" i="91"/>
  <c r="O77" i="91"/>
  <c r="N30" i="73"/>
  <c r="N34" i="73"/>
  <c r="K45" i="7"/>
  <c r="K42" i="7"/>
  <c r="I42" i="7"/>
  <c r="I41" i="7"/>
  <c r="Z74" i="18"/>
  <c r="T74" i="18"/>
  <c r="N74" i="18"/>
  <c r="C31" i="18"/>
  <c r="Z35" i="18"/>
  <c r="N35" i="18"/>
  <c r="T35" i="18"/>
  <c r="Z72" i="73"/>
  <c r="T72" i="73"/>
  <c r="N72" i="73"/>
  <c r="X68" i="73"/>
  <c r="R68" i="73"/>
  <c r="L68" i="73"/>
  <c r="G85" i="73"/>
  <c r="C85" i="73"/>
  <c r="B85" i="73"/>
  <c r="T30" i="73"/>
  <c r="Z30" i="73"/>
  <c r="D4" i="74"/>
  <c r="D5" i="74"/>
  <c r="D6" i="74"/>
  <c r="D7" i="74"/>
  <c r="P10" i="74"/>
  <c r="P25" i="74"/>
  <c r="V10" i="74"/>
  <c r="V25" i="74"/>
  <c r="AB10" i="74"/>
  <c r="C14" i="74"/>
  <c r="C59" i="74"/>
  <c r="F14" i="74"/>
  <c r="T14" i="74"/>
  <c r="O14" i="74"/>
  <c r="U14" i="74"/>
  <c r="AA14" i="74"/>
  <c r="N15" i="74"/>
  <c r="O15" i="74"/>
  <c r="T15" i="74"/>
  <c r="U15" i="74"/>
  <c r="Z15" i="74"/>
  <c r="AA15" i="74"/>
  <c r="C16" i="74"/>
  <c r="T16" i="74"/>
  <c r="G16" i="74"/>
  <c r="G61" i="74"/>
  <c r="O16" i="74"/>
  <c r="U16" i="74"/>
  <c r="AA16" i="74"/>
  <c r="B23" i="74"/>
  <c r="B24" i="74"/>
  <c r="P24" i="74"/>
  <c r="V24" i="74"/>
  <c r="AB24" i="74"/>
  <c r="B25" i="74"/>
  <c r="X25" i="74"/>
  <c r="Z25" i="74"/>
  <c r="B26" i="74"/>
  <c r="C30" i="74"/>
  <c r="C75" i="74"/>
  <c r="C39" i="74"/>
  <c r="Z30" i="74"/>
  <c r="C41" i="74"/>
  <c r="N34" i="74"/>
  <c r="P39" i="74"/>
  <c r="C50" i="74"/>
  <c r="D50" i="74"/>
  <c r="E50" i="74"/>
  <c r="F50" i="74"/>
  <c r="G50" i="74"/>
  <c r="H50" i="74"/>
  <c r="I50" i="74"/>
  <c r="P55" i="74"/>
  <c r="V55" i="74"/>
  <c r="AB55" i="74"/>
  <c r="F59" i="74"/>
  <c r="T59" i="74"/>
  <c r="G59" i="74"/>
  <c r="O59" i="74"/>
  <c r="U59" i="74"/>
  <c r="AA59" i="74"/>
  <c r="C60" i="74"/>
  <c r="G60" i="74"/>
  <c r="O60" i="74"/>
  <c r="U60" i="74"/>
  <c r="AA60" i="74"/>
  <c r="O61" i="74"/>
  <c r="U61" i="74"/>
  <c r="AA61" i="74"/>
  <c r="B68" i="74"/>
  <c r="B69" i="74"/>
  <c r="P69" i="74"/>
  <c r="V69" i="74"/>
  <c r="AB69" i="74"/>
  <c r="B70" i="74"/>
  <c r="R70" i="74"/>
  <c r="T70" i="74"/>
  <c r="V70" i="74"/>
  <c r="X70" i="74"/>
  <c r="Z70" i="74"/>
  <c r="AB70" i="74"/>
  <c r="B71" i="74"/>
  <c r="C93" i="74"/>
  <c r="D93" i="74"/>
  <c r="E93" i="74"/>
  <c r="F93" i="74"/>
  <c r="G93" i="74"/>
  <c r="H93" i="74"/>
  <c r="I93" i="74"/>
  <c r="I95" i="73"/>
  <c r="H95" i="73"/>
  <c r="G95" i="73"/>
  <c r="F95" i="73"/>
  <c r="E95" i="73"/>
  <c r="D95" i="73"/>
  <c r="C95" i="73"/>
  <c r="B71" i="73"/>
  <c r="B70" i="73"/>
  <c r="B69" i="73"/>
  <c r="B68" i="73"/>
  <c r="G60" i="73"/>
  <c r="G59" i="73"/>
  <c r="AA59" i="73"/>
  <c r="U59" i="73"/>
  <c r="O59" i="73"/>
  <c r="AA58" i="73"/>
  <c r="U58" i="73"/>
  <c r="O58" i="73"/>
  <c r="AB54" i="73"/>
  <c r="V54" i="73"/>
  <c r="P54" i="73"/>
  <c r="I50" i="73"/>
  <c r="H50" i="73"/>
  <c r="G50" i="73"/>
  <c r="F50" i="73"/>
  <c r="E50" i="73"/>
  <c r="D50" i="73"/>
  <c r="C50" i="73"/>
  <c r="C37" i="73"/>
  <c r="Z29" i="73"/>
  <c r="X30" i="73"/>
  <c r="R30" i="73"/>
  <c r="L30" i="73"/>
  <c r="B26" i="73"/>
  <c r="B25" i="73"/>
  <c r="B24" i="73"/>
  <c r="B23" i="73"/>
  <c r="AA14" i="73"/>
  <c r="U14" i="73"/>
  <c r="O14" i="73"/>
  <c r="AB10" i="73"/>
  <c r="V10" i="73"/>
  <c r="P10" i="73"/>
  <c r="D7" i="73"/>
  <c r="D6" i="73"/>
  <c r="D8" i="73"/>
  <c r="D9" i="73"/>
  <c r="D5" i="73"/>
  <c r="D4" i="73"/>
  <c r="T34" i="73"/>
  <c r="Z34" i="73"/>
  <c r="N29" i="73"/>
  <c r="U61" i="73"/>
  <c r="O61" i="73"/>
  <c r="U18" i="73"/>
  <c r="AA61" i="73"/>
  <c r="AA17" i="73"/>
  <c r="Z30" i="18"/>
  <c r="T30" i="18"/>
  <c r="X30" i="18"/>
  <c r="R30" i="18"/>
  <c r="L30" i="18"/>
  <c r="C37" i="18"/>
  <c r="N29" i="18"/>
  <c r="T78" i="18"/>
  <c r="Z78" i="18"/>
  <c r="N78" i="18"/>
  <c r="T34" i="18"/>
  <c r="Z34" i="18"/>
  <c r="D8" i="72"/>
  <c r="F68" i="72"/>
  <c r="E68" i="72"/>
  <c r="G67" i="72"/>
  <c r="D67" i="72"/>
  <c r="D75" i="72"/>
  <c r="B67" i="72"/>
  <c r="B66" i="72"/>
  <c r="G65" i="72"/>
  <c r="D65" i="72"/>
  <c r="B65" i="72"/>
  <c r="G64" i="72"/>
  <c r="D64" i="72"/>
  <c r="G63" i="72"/>
  <c r="D63" i="72"/>
  <c r="B63" i="72"/>
  <c r="G62" i="72"/>
  <c r="D62" i="72"/>
  <c r="D74" i="72"/>
  <c r="B62" i="72"/>
  <c r="G61" i="72"/>
  <c r="D61" i="72"/>
  <c r="B61" i="72"/>
  <c r="G60" i="72"/>
  <c r="D60" i="72"/>
  <c r="D73" i="72"/>
  <c r="B60" i="72"/>
  <c r="B59" i="72"/>
  <c r="G58" i="72"/>
  <c r="D58" i="72"/>
  <c r="D72" i="72"/>
  <c r="B58" i="72"/>
  <c r="G57" i="72"/>
  <c r="D57" i="72"/>
  <c r="B57" i="72"/>
  <c r="G56" i="72"/>
  <c r="D56" i="72"/>
  <c r="B56" i="72"/>
  <c r="G55" i="72"/>
  <c r="D55" i="72"/>
  <c r="B55" i="72"/>
  <c r="B54" i="72"/>
  <c r="G53" i="72"/>
  <c r="D53" i="72"/>
  <c r="B53" i="72"/>
  <c r="G52" i="72"/>
  <c r="D52" i="72"/>
  <c r="B52" i="72"/>
  <c r="G51" i="72"/>
  <c r="D51" i="72"/>
  <c r="B51" i="72"/>
  <c r="B50" i="72"/>
  <c r="D49" i="72"/>
  <c r="E43" i="72"/>
  <c r="E42" i="72"/>
  <c r="E40" i="72"/>
  <c r="E36" i="72"/>
  <c r="D36" i="72"/>
  <c r="E35" i="72"/>
  <c r="D35" i="72"/>
  <c r="E32" i="72"/>
  <c r="E29" i="72"/>
  <c r="E27" i="72"/>
  <c r="E26" i="72"/>
  <c r="E25" i="72"/>
  <c r="E24" i="72"/>
  <c r="E20" i="72"/>
  <c r="E22" i="72"/>
  <c r="E19" i="72"/>
  <c r="E18" i="72"/>
  <c r="E17" i="72"/>
  <c r="E15" i="72"/>
  <c r="E14" i="72"/>
  <c r="E13" i="72"/>
  <c r="E7" i="72"/>
  <c r="E6" i="72"/>
  <c r="E5" i="72"/>
  <c r="E4" i="72"/>
  <c r="F70" i="4"/>
  <c r="E70" i="4"/>
  <c r="G69" i="4"/>
  <c r="D69" i="4"/>
  <c r="N72" i="4"/>
  <c r="B69" i="4"/>
  <c r="B68" i="4"/>
  <c r="G67" i="4"/>
  <c r="B67" i="4"/>
  <c r="G66" i="4"/>
  <c r="D66" i="4"/>
  <c r="G65" i="4"/>
  <c r="D65" i="4"/>
  <c r="B65" i="4"/>
  <c r="G64" i="4"/>
  <c r="D64" i="4"/>
  <c r="B64" i="4"/>
  <c r="G63" i="4"/>
  <c r="D63" i="4"/>
  <c r="B63" i="4"/>
  <c r="G62" i="4"/>
  <c r="D62" i="4"/>
  <c r="B62" i="4"/>
  <c r="B61" i="4"/>
  <c r="G60" i="4"/>
  <c r="D60" i="4"/>
  <c r="D74" i="4"/>
  <c r="B60" i="4"/>
  <c r="J63" i="4"/>
  <c r="G59" i="4"/>
  <c r="D59" i="4"/>
  <c r="B59" i="4"/>
  <c r="G58" i="4"/>
  <c r="D58" i="4"/>
  <c r="B58" i="4"/>
  <c r="G57" i="4"/>
  <c r="D57" i="4"/>
  <c r="B57" i="4"/>
  <c r="B56" i="4"/>
  <c r="D55" i="4"/>
  <c r="B55" i="4"/>
  <c r="G54" i="4"/>
  <c r="D54" i="4"/>
  <c r="B54" i="4"/>
  <c r="G53" i="4"/>
  <c r="D53" i="4"/>
  <c r="B53" i="4"/>
  <c r="B52" i="4"/>
  <c r="D51" i="4"/>
  <c r="D36" i="4"/>
  <c r="D35" i="4"/>
  <c r="E7" i="4"/>
  <c r="E6" i="4"/>
  <c r="E5" i="4"/>
  <c r="E4" i="4"/>
  <c r="C75" i="73"/>
  <c r="N64" i="73"/>
  <c r="Z64" i="73"/>
  <c r="D80" i="69"/>
  <c r="D79" i="69"/>
  <c r="N22" i="4"/>
  <c r="D67" i="4"/>
  <c r="D16" i="80"/>
  <c r="J16" i="80"/>
  <c r="D27" i="80"/>
  <c r="K76" i="80"/>
  <c r="D31" i="78"/>
  <c r="K180" i="78"/>
  <c r="D14" i="80"/>
  <c r="K62" i="80"/>
  <c r="D61" i="80"/>
  <c r="C17" i="18"/>
  <c r="Z17" i="18"/>
  <c r="C16" i="18"/>
  <c r="L78" i="4"/>
  <c r="O78" i="4"/>
  <c r="F63" i="69"/>
  <c r="I63" i="69"/>
  <c r="J14" i="80"/>
  <c r="N17" i="71"/>
  <c r="N21" i="71"/>
  <c r="N23" i="71"/>
  <c r="M88" i="78"/>
  <c r="M14" i="78"/>
  <c r="P60" i="73"/>
  <c r="F75" i="69"/>
  <c r="F62" i="69"/>
  <c r="I62" i="69"/>
  <c r="F64" i="69"/>
  <c r="K166" i="78"/>
  <c r="B73" i="69"/>
  <c r="B75" i="69"/>
  <c r="B29" i="8"/>
  <c r="B74" i="8"/>
  <c r="I69" i="8"/>
  <c r="I121" i="7"/>
  <c r="I78" i="7"/>
  <c r="I33" i="7"/>
  <c r="G32" i="7"/>
  <c r="G30" i="20"/>
  <c r="F31" i="22"/>
  <c r="G29" i="23"/>
  <c r="I68" i="69"/>
  <c r="D70" i="69"/>
  <c r="D73" i="69"/>
  <c r="M47" i="70"/>
  <c r="M52" i="70"/>
  <c r="K47" i="70"/>
  <c r="J47" i="70"/>
  <c r="E47" i="70"/>
  <c r="L52" i="70"/>
  <c r="L55" i="70"/>
  <c r="D47" i="70"/>
  <c r="N32" i="70"/>
  <c r="N47" i="70"/>
  <c r="I21" i="70"/>
  <c r="H21" i="70"/>
  <c r="I20" i="70"/>
  <c r="H20" i="70"/>
  <c r="I18" i="70"/>
  <c r="H18" i="70"/>
  <c r="I16" i="70"/>
  <c r="H16" i="70"/>
  <c r="W48" i="69"/>
  <c r="S48" i="69"/>
  <c r="Q48" i="69"/>
  <c r="E48" i="69"/>
  <c r="V53" i="69"/>
  <c r="D48" i="69"/>
  <c r="X33" i="69"/>
  <c r="X48" i="69"/>
  <c r="F76" i="69"/>
  <c r="I22" i="69"/>
  <c r="H22" i="69"/>
  <c r="I21" i="69"/>
  <c r="H21" i="69"/>
  <c r="I19" i="69"/>
  <c r="H19" i="69"/>
  <c r="I17" i="69"/>
  <c r="H17" i="69"/>
  <c r="Z79" i="18"/>
  <c r="L31" i="23"/>
  <c r="K82" i="22"/>
  <c r="E83" i="22"/>
  <c r="K33" i="22"/>
  <c r="D176" i="8"/>
  <c r="B176" i="8"/>
  <c r="D135" i="8"/>
  <c r="B135" i="8"/>
  <c r="K124" i="8"/>
  <c r="K82" i="8"/>
  <c r="K43" i="8"/>
  <c r="I43" i="8"/>
  <c r="K132" i="7"/>
  <c r="K89" i="7"/>
  <c r="T79" i="18"/>
  <c r="N79" i="18"/>
  <c r="K46" i="7"/>
  <c r="I31" i="23"/>
  <c r="H82" i="22"/>
  <c r="B83" i="22"/>
  <c r="H33" i="22"/>
  <c r="I124" i="8"/>
  <c r="I82" i="8"/>
  <c r="I132" i="7"/>
  <c r="I89" i="7"/>
  <c r="I46" i="7"/>
  <c r="X79" i="18"/>
  <c r="R79" i="18"/>
  <c r="L79" i="18"/>
  <c r="D25" i="48"/>
  <c r="D23" i="48"/>
  <c r="D22" i="48"/>
  <c r="D21" i="48"/>
  <c r="D20" i="48"/>
  <c r="D19" i="48"/>
  <c r="D18" i="48"/>
  <c r="D16" i="48"/>
  <c r="D15" i="48"/>
  <c r="D14" i="48"/>
  <c r="D13" i="48"/>
  <c r="D11" i="48"/>
  <c r="D10" i="48"/>
  <c r="D9" i="48"/>
  <c r="D49" i="66"/>
  <c r="H24" i="22"/>
  <c r="C16" i="67"/>
  <c r="C15" i="67"/>
  <c r="C14" i="67"/>
  <c r="C13" i="67"/>
  <c r="C12" i="67"/>
  <c r="C11" i="67"/>
  <c r="C10" i="67"/>
  <c r="C9" i="67"/>
  <c r="C8" i="67"/>
  <c r="C7" i="67"/>
  <c r="C6" i="67"/>
  <c r="C5" i="67"/>
  <c r="C4" i="67"/>
  <c r="C3" i="67"/>
  <c r="K53" i="4"/>
  <c r="O30" i="4"/>
  <c r="K5" i="4"/>
  <c r="C95" i="18"/>
  <c r="G16" i="18"/>
  <c r="G61" i="18"/>
  <c r="BL35" i="64"/>
  <c r="BS39" i="64"/>
  <c r="BR39" i="64"/>
  <c r="BQ39" i="64"/>
  <c r="BP39" i="64"/>
  <c r="BO39" i="64"/>
  <c r="BN39" i="64"/>
  <c r="BM39" i="64"/>
  <c r="BL39" i="64"/>
  <c r="BO35" i="64"/>
  <c r="BN35" i="64"/>
  <c r="BM35" i="64"/>
  <c r="BI25" i="64"/>
  <c r="BH25" i="64"/>
  <c r="BG25" i="64"/>
  <c r="BF25" i="64"/>
  <c r="BE25" i="64"/>
  <c r="BD25" i="64"/>
  <c r="BC25" i="64"/>
  <c r="BB25" i="64"/>
  <c r="BK21" i="64"/>
  <c r="P58" i="48"/>
  <c r="O58" i="48"/>
  <c r="P55" i="48"/>
  <c r="O55" i="48"/>
  <c r="P51" i="48"/>
  <c r="O51" i="48"/>
  <c r="P47" i="48"/>
  <c r="O47" i="48"/>
  <c r="P46" i="48"/>
  <c r="O46" i="48"/>
  <c r="N58" i="48"/>
  <c r="N55" i="48"/>
  <c r="N51" i="48"/>
  <c r="N47" i="48"/>
  <c r="N46" i="48"/>
  <c r="K13" i="22"/>
  <c r="K14" i="22"/>
  <c r="K16" i="22"/>
  <c r="K17" i="22"/>
  <c r="L17" i="22"/>
  <c r="K28" i="22"/>
  <c r="K58" i="48"/>
  <c r="K57" i="48"/>
  <c r="K54" i="48"/>
  <c r="K52" i="48"/>
  <c r="K51" i="48"/>
  <c r="K49" i="48"/>
  <c r="K47" i="48"/>
  <c r="K46" i="48"/>
  <c r="J58" i="48"/>
  <c r="I58" i="48"/>
  <c r="I54" i="48"/>
  <c r="J54" i="48"/>
  <c r="J51" i="48"/>
  <c r="I51" i="48"/>
  <c r="I50" i="48"/>
  <c r="J47" i="48"/>
  <c r="I47" i="48"/>
  <c r="J46" i="48"/>
  <c r="I46" i="48"/>
  <c r="M52" i="8"/>
  <c r="H58" i="48"/>
  <c r="G58" i="48"/>
  <c r="H57" i="48"/>
  <c r="G57" i="48"/>
  <c r="H47" i="48"/>
  <c r="G47" i="48"/>
  <c r="H46" i="48"/>
  <c r="G46" i="48"/>
  <c r="F61" i="48"/>
  <c r="F58" i="48"/>
  <c r="F57" i="48"/>
  <c r="F47" i="48"/>
  <c r="F46" i="48"/>
  <c r="L18" i="8"/>
  <c r="L17" i="8"/>
  <c r="L16" i="8"/>
  <c r="L14" i="8"/>
  <c r="L13" i="8"/>
  <c r="E61" i="48"/>
  <c r="E58" i="48"/>
  <c r="D58" i="48"/>
  <c r="E55" i="48"/>
  <c r="D55" i="48"/>
  <c r="E53" i="48"/>
  <c r="D53" i="48"/>
  <c r="E46" i="48"/>
  <c r="D46" i="48"/>
  <c r="C58" i="48"/>
  <c r="C55" i="48"/>
  <c r="C53" i="48"/>
  <c r="C46" i="48"/>
  <c r="L14" i="7"/>
  <c r="C21" i="48"/>
  <c r="C20" i="48"/>
  <c r="C19" i="48"/>
  <c r="C16" i="48"/>
  <c r="C15" i="48"/>
  <c r="C14" i="48"/>
  <c r="C25" i="48"/>
  <c r="C18" i="48"/>
  <c r="C13" i="48"/>
  <c r="C11" i="48"/>
  <c r="C10" i="48"/>
  <c r="C9" i="48"/>
  <c r="C22" i="48"/>
  <c r="E36" i="48"/>
  <c r="D36" i="48"/>
  <c r="C36" i="48"/>
  <c r="E35" i="48"/>
  <c r="D35" i="48"/>
  <c r="C35" i="48"/>
  <c r="D34" i="48"/>
  <c r="C34" i="48"/>
  <c r="E34" i="48"/>
  <c r="H36" i="48"/>
  <c r="G36" i="48"/>
  <c r="F36" i="48"/>
  <c r="H35" i="48"/>
  <c r="G35" i="48"/>
  <c r="F35" i="48"/>
  <c r="H34" i="48"/>
  <c r="G34" i="48"/>
  <c r="F34" i="48"/>
  <c r="M62" i="48"/>
  <c r="L62" i="48"/>
  <c r="I26" i="23"/>
  <c r="I30" i="23"/>
  <c r="I32" i="23"/>
  <c r="I37" i="23"/>
  <c r="I41" i="23"/>
  <c r="I68" i="23"/>
  <c r="I74" i="23"/>
  <c r="I72" i="23"/>
  <c r="I79" i="23"/>
  <c r="I84" i="23"/>
  <c r="B74" i="22"/>
  <c r="B82" i="22"/>
  <c r="B84" i="22"/>
  <c r="B89" i="22"/>
  <c r="B94" i="22"/>
  <c r="H93" i="22"/>
  <c r="H88" i="22"/>
  <c r="H83" i="22"/>
  <c r="H81" i="22"/>
  <c r="H73" i="22"/>
  <c r="H34" i="22"/>
  <c r="H32" i="22"/>
  <c r="H39" i="22"/>
  <c r="H42" i="22"/>
  <c r="I37" i="20"/>
  <c r="I42" i="20"/>
  <c r="B124" i="8"/>
  <c r="B117" i="8"/>
  <c r="I63" i="8"/>
  <c r="I105" i="8"/>
  <c r="I70" i="8"/>
  <c r="B175" i="8"/>
  <c r="B170" i="8"/>
  <c r="B164" i="8"/>
  <c r="B134" i="8"/>
  <c r="B130" i="8"/>
  <c r="I123" i="8"/>
  <c r="I118" i="8"/>
  <c r="I76" i="8"/>
  <c r="I81" i="8"/>
  <c r="I42" i="8"/>
  <c r="I37" i="8"/>
  <c r="I123" i="7"/>
  <c r="I122" i="7"/>
  <c r="I80" i="7"/>
  <c r="I79" i="7"/>
  <c r="I35" i="7"/>
  <c r="I34" i="7"/>
  <c r="I114" i="7"/>
  <c r="I71" i="7"/>
  <c r="I25" i="7"/>
  <c r="B47" i="7"/>
  <c r="I118" i="7"/>
  <c r="I119" i="7"/>
  <c r="L12" i="91"/>
  <c r="O12" i="91"/>
  <c r="D29" i="94"/>
  <c r="L110" i="94"/>
  <c r="L78" i="91"/>
  <c r="O78" i="91"/>
  <c r="L31" i="91"/>
  <c r="O31" i="91"/>
  <c r="B17" i="22"/>
  <c r="B66" i="22"/>
  <c r="I112" i="8"/>
  <c r="I22" i="8"/>
  <c r="M83" i="4"/>
  <c r="M35" i="4"/>
  <c r="D32" i="7"/>
  <c r="L78" i="7"/>
  <c r="G31" i="8"/>
  <c r="G34" i="79"/>
  <c r="G60" i="18"/>
  <c r="G59" i="18"/>
  <c r="K26" i="23"/>
  <c r="K68" i="23"/>
  <c r="M56" i="7"/>
  <c r="M89" i="7"/>
  <c r="I113" i="8"/>
  <c r="I109" i="8"/>
  <c r="I97" i="8"/>
  <c r="I98" i="8"/>
  <c r="I99" i="8"/>
  <c r="I100" i="8"/>
  <c r="I101" i="8"/>
  <c r="I102" i="8"/>
  <c r="I96" i="8"/>
  <c r="I71" i="8"/>
  <c r="L67" i="8"/>
  <c r="I67" i="8"/>
  <c r="L56" i="8"/>
  <c r="L58" i="8"/>
  <c r="L59" i="8"/>
  <c r="L55" i="8"/>
  <c r="I55" i="8"/>
  <c r="I56" i="8"/>
  <c r="I57" i="8"/>
  <c r="I58" i="8"/>
  <c r="I59" i="8"/>
  <c r="I60" i="8"/>
  <c r="I54" i="8"/>
  <c r="M94" i="8"/>
  <c r="L119" i="7"/>
  <c r="L118" i="7"/>
  <c r="L75" i="7"/>
  <c r="L76" i="7"/>
  <c r="L104" i="7"/>
  <c r="L106" i="7"/>
  <c r="L107" i="7"/>
  <c r="L109" i="7"/>
  <c r="L110" i="7"/>
  <c r="L103" i="7"/>
  <c r="M99" i="7"/>
  <c r="E147" i="8"/>
  <c r="E149" i="8"/>
  <c r="E150" i="8"/>
  <c r="E151" i="8"/>
  <c r="E153" i="8"/>
  <c r="E146" i="8"/>
  <c r="O57" i="18"/>
  <c r="G32" i="20"/>
  <c r="B28" i="22"/>
  <c r="B54" i="22"/>
  <c r="H69" i="22"/>
  <c r="H67" i="22"/>
  <c r="H64" i="22"/>
  <c r="H62" i="22"/>
  <c r="H66" i="22"/>
  <c r="H63" i="22"/>
  <c r="H61" i="22"/>
  <c r="H60" i="22"/>
  <c r="B70" i="22"/>
  <c r="B68" i="22"/>
  <c r="B65" i="22"/>
  <c r="B63" i="22"/>
  <c r="B67" i="22"/>
  <c r="B64" i="22"/>
  <c r="B61" i="22"/>
  <c r="B62" i="22"/>
  <c r="B52" i="22"/>
  <c r="B50" i="22"/>
  <c r="B49" i="22"/>
  <c r="B47" i="22"/>
  <c r="B46" i="22"/>
  <c r="B45" i="22"/>
  <c r="B44" i="22"/>
  <c r="B43" i="22"/>
  <c r="I60" i="23"/>
  <c r="I57" i="23"/>
  <c r="I54" i="23"/>
  <c r="B50" i="23"/>
  <c r="B49" i="23"/>
  <c r="B47" i="23"/>
  <c r="B46" i="23"/>
  <c r="B45" i="23"/>
  <c r="B44" i="23"/>
  <c r="B43" i="23"/>
  <c r="B42" i="23"/>
  <c r="B40" i="23"/>
  <c r="B41" i="23"/>
  <c r="I64" i="23"/>
  <c r="I63" i="23"/>
  <c r="I59" i="23"/>
  <c r="I58" i="23"/>
  <c r="I56" i="23"/>
  <c r="I55" i="23"/>
  <c r="B165" i="8"/>
  <c r="G72" i="8"/>
  <c r="G26" i="8"/>
  <c r="B72" i="8"/>
  <c r="B121" i="8"/>
  <c r="C98" i="8"/>
  <c r="E113" i="8"/>
  <c r="E111" i="8"/>
  <c r="E110" i="8"/>
  <c r="E109" i="8"/>
  <c r="E107" i="8"/>
  <c r="E106" i="8"/>
  <c r="B96" i="8"/>
  <c r="B95" i="8"/>
  <c r="B94" i="8"/>
  <c r="B93" i="8"/>
  <c r="B92" i="8"/>
  <c r="B91" i="8"/>
  <c r="B90" i="8"/>
  <c r="B89" i="8"/>
  <c r="B88" i="8"/>
  <c r="B87" i="8"/>
  <c r="B154" i="8"/>
  <c r="B153" i="8"/>
  <c r="B151" i="8"/>
  <c r="B150" i="8"/>
  <c r="B149" i="8"/>
  <c r="B152" i="8"/>
  <c r="B145" i="8"/>
  <c r="B148" i="8"/>
  <c r="B147" i="8"/>
  <c r="B146" i="8"/>
  <c r="B106" i="8"/>
  <c r="B107" i="8"/>
  <c r="B109" i="8"/>
  <c r="I67" i="7"/>
  <c r="I66" i="7"/>
  <c r="I64" i="7"/>
  <c r="I63" i="7"/>
  <c r="I61" i="7"/>
  <c r="I60" i="7"/>
  <c r="L30" i="7"/>
  <c r="L29" i="7"/>
  <c r="B55" i="7"/>
  <c r="I76" i="7"/>
  <c r="B54" i="7"/>
  <c r="I75" i="7"/>
  <c r="B52" i="7"/>
  <c r="I110" i="7"/>
  <c r="B51" i="7"/>
  <c r="I109" i="7"/>
  <c r="B50" i="7"/>
  <c r="I108" i="7"/>
  <c r="B49" i="7"/>
  <c r="I107" i="7"/>
  <c r="B48" i="7"/>
  <c r="I106" i="7"/>
  <c r="I105" i="7"/>
  <c r="B46" i="7"/>
  <c r="I104" i="7"/>
  <c r="B44" i="7"/>
  <c r="B45" i="7"/>
  <c r="I103" i="7"/>
  <c r="L20" i="7"/>
  <c r="L18" i="7"/>
  <c r="L17" i="7"/>
  <c r="L15" i="7"/>
  <c r="G17" i="7"/>
  <c r="G14" i="7"/>
  <c r="G80" i="8"/>
  <c r="H12" i="22"/>
  <c r="O14" i="18"/>
  <c r="F33" i="22"/>
  <c r="H28" i="22"/>
  <c r="I95" i="18"/>
  <c r="H95" i="18"/>
  <c r="G95" i="18"/>
  <c r="F95" i="18"/>
  <c r="E95" i="18"/>
  <c r="D95" i="18"/>
  <c r="I50" i="18"/>
  <c r="H50" i="18"/>
  <c r="G50" i="18"/>
  <c r="F50" i="18"/>
  <c r="E50" i="18"/>
  <c r="D50" i="18"/>
  <c r="C50" i="18"/>
  <c r="K61" i="22"/>
  <c r="E62" i="22"/>
  <c r="H13" i="22"/>
  <c r="I13" i="23"/>
  <c r="L13" i="20"/>
  <c r="I13" i="20"/>
  <c r="I13" i="8"/>
  <c r="L60" i="7"/>
  <c r="I14" i="7"/>
  <c r="B68" i="18"/>
  <c r="AA57" i="18"/>
  <c r="U57" i="18"/>
  <c r="AA14" i="18"/>
  <c r="U14" i="18"/>
  <c r="B23" i="18"/>
  <c r="F34" i="22"/>
  <c r="F28" i="22"/>
  <c r="D7" i="22"/>
  <c r="D6" i="22"/>
  <c r="D5" i="22"/>
  <c r="D4" i="22"/>
  <c r="D7" i="23"/>
  <c r="D6" i="23"/>
  <c r="D5" i="23"/>
  <c r="D4" i="23"/>
  <c r="G21" i="20"/>
  <c r="D7" i="20"/>
  <c r="D6" i="20"/>
  <c r="D5" i="20"/>
  <c r="D4" i="20"/>
  <c r="G25" i="7"/>
  <c r="G22" i="8"/>
  <c r="G61" i="8"/>
  <c r="G17" i="79"/>
  <c r="G17" i="8"/>
  <c r="G64" i="8"/>
  <c r="G14" i="20"/>
  <c r="G14" i="23"/>
  <c r="F14" i="22"/>
  <c r="G33" i="20"/>
  <c r="G31" i="23"/>
  <c r="D7" i="8"/>
  <c r="D6" i="8"/>
  <c r="D5" i="8"/>
  <c r="D4" i="8"/>
  <c r="G34" i="7"/>
  <c r="G33" i="7"/>
  <c r="D7" i="7"/>
  <c r="D6" i="7"/>
  <c r="D5" i="7"/>
  <c r="D4" i="7"/>
  <c r="H62" i="48"/>
  <c r="D61" i="8"/>
  <c r="D110" i="8"/>
  <c r="D58" i="8"/>
  <c r="D107" i="8"/>
  <c r="G107" i="8"/>
  <c r="D15" i="7"/>
  <c r="K15" i="7"/>
  <c r="D17" i="7"/>
  <c r="K106" i="7"/>
  <c r="M106" i="7"/>
  <c r="D28" i="22"/>
  <c r="D78" i="22"/>
  <c r="G103" i="8"/>
  <c r="E121" i="8"/>
  <c r="M9" i="7"/>
  <c r="M46" i="7"/>
  <c r="I22" i="23"/>
  <c r="I21" i="23"/>
  <c r="I18" i="23"/>
  <c r="I17" i="23"/>
  <c r="I16" i="23"/>
  <c r="I15" i="23"/>
  <c r="I14" i="23"/>
  <c r="I12" i="23"/>
  <c r="M10" i="23"/>
  <c r="M31" i="23"/>
  <c r="L66" i="7"/>
  <c r="L64" i="7"/>
  <c r="L63" i="7"/>
  <c r="L61" i="7"/>
  <c r="K77" i="22"/>
  <c r="K65" i="22"/>
  <c r="L65" i="22"/>
  <c r="K64" i="22"/>
  <c r="L64" i="22"/>
  <c r="K62" i="22"/>
  <c r="L57" i="22"/>
  <c r="E66" i="22"/>
  <c r="H21" i="22"/>
  <c r="H19" i="22"/>
  <c r="H18" i="22"/>
  <c r="H16" i="22"/>
  <c r="H15" i="22"/>
  <c r="H14" i="22"/>
  <c r="L10" i="22"/>
  <c r="B125" i="8"/>
  <c r="B114" i="8"/>
  <c r="B113" i="8"/>
  <c r="B112" i="8"/>
  <c r="B111" i="8"/>
  <c r="B110" i="8"/>
  <c r="B108" i="8"/>
  <c r="B105" i="8"/>
  <c r="D26" i="8"/>
  <c r="AA59" i="18"/>
  <c r="AA58" i="18"/>
  <c r="U59" i="18"/>
  <c r="U58" i="18"/>
  <c r="B71" i="18"/>
  <c r="B70" i="18"/>
  <c r="B69" i="18"/>
  <c r="O59" i="18"/>
  <c r="O58" i="18"/>
  <c r="AB53" i="18"/>
  <c r="AB79" i="18"/>
  <c r="V53" i="18"/>
  <c r="P53" i="18"/>
  <c r="P79" i="18"/>
  <c r="L14" i="20"/>
  <c r="I30" i="20"/>
  <c r="L21" i="20"/>
  <c r="I21" i="20"/>
  <c r="I14" i="20"/>
  <c r="I26" i="8"/>
  <c r="E78" i="22"/>
  <c r="E63" i="22"/>
  <c r="L63" i="23"/>
  <c r="L59" i="23"/>
  <c r="L58" i="23"/>
  <c r="L56" i="23"/>
  <c r="M52" i="23"/>
  <c r="M73" i="23"/>
  <c r="E65" i="22"/>
  <c r="F58" i="22"/>
  <c r="F83" i="22"/>
  <c r="B25" i="18"/>
  <c r="B26" i="18"/>
  <c r="L18" i="20"/>
  <c r="I29" i="7"/>
  <c r="I30" i="7"/>
  <c r="I18" i="20"/>
  <c r="I19" i="20"/>
  <c r="I32" i="20"/>
  <c r="I23" i="20"/>
  <c r="L22" i="20"/>
  <c r="I22" i="20"/>
  <c r="I20" i="20"/>
  <c r="L19" i="20"/>
  <c r="L17" i="20"/>
  <c r="I17" i="20"/>
  <c r="L16" i="20"/>
  <c r="I16" i="20"/>
  <c r="I15" i="20"/>
  <c r="I12" i="20"/>
  <c r="M9" i="20"/>
  <c r="B24" i="18"/>
  <c r="E161" i="8"/>
  <c r="G143" i="8"/>
  <c r="I32" i="8"/>
  <c r="I18" i="8"/>
  <c r="I17" i="8"/>
  <c r="I16" i="8"/>
  <c r="I14" i="8"/>
  <c r="I21" i="7"/>
  <c r="I20" i="7"/>
  <c r="I18" i="7"/>
  <c r="I17" i="7"/>
  <c r="I15" i="7"/>
  <c r="K17" i="7"/>
  <c r="AA16" i="18"/>
  <c r="U16" i="18"/>
  <c r="O16" i="18"/>
  <c r="AA15" i="18"/>
  <c r="U15" i="18"/>
  <c r="O15" i="18"/>
  <c r="AB10" i="18"/>
  <c r="V10" i="18"/>
  <c r="P10" i="18"/>
  <c r="D7" i="18"/>
  <c r="D6" i="18"/>
  <c r="D5" i="18"/>
  <c r="D4" i="18"/>
  <c r="M9" i="8"/>
  <c r="M43" i="8"/>
  <c r="D14" i="20"/>
  <c r="K14" i="20"/>
  <c r="M31" i="8"/>
  <c r="J28" i="22"/>
  <c r="L14" i="22"/>
  <c r="M56" i="23"/>
  <c r="B98" i="8"/>
  <c r="B161" i="8"/>
  <c r="C23" i="48"/>
  <c r="C30" i="18"/>
  <c r="N21" i="18"/>
  <c r="D27" i="20"/>
  <c r="K27" i="20"/>
  <c r="D25" i="7"/>
  <c r="K71" i="7"/>
  <c r="D22" i="8"/>
  <c r="D68" i="8"/>
  <c r="D117" i="8"/>
  <c r="L121" i="7"/>
  <c r="D29" i="8"/>
  <c r="D30" i="80"/>
  <c r="N16" i="18"/>
  <c r="T16" i="18"/>
  <c r="C61" i="18"/>
  <c r="Z59" i="18"/>
  <c r="AB59" i="18"/>
  <c r="Z16" i="18"/>
  <c r="M22" i="79"/>
  <c r="D17" i="20"/>
  <c r="K17" i="20"/>
  <c r="M17" i="20"/>
  <c r="F68" i="22"/>
  <c r="F65" i="22"/>
  <c r="D34" i="8"/>
  <c r="K118" i="8"/>
  <c r="D37" i="22"/>
  <c r="D89" i="22"/>
  <c r="D36" i="20"/>
  <c r="K37" i="20"/>
  <c r="D34" i="23"/>
  <c r="K37" i="23"/>
  <c r="D37" i="7"/>
  <c r="K128" i="7"/>
  <c r="Z19" i="69"/>
  <c r="Z20" i="69"/>
  <c r="T29" i="69"/>
  <c r="L3" i="69"/>
  <c r="L47" i="69"/>
  <c r="M3" i="69"/>
  <c r="M9" i="69"/>
  <c r="P3" i="69"/>
  <c r="P45" i="69"/>
  <c r="O3" i="69"/>
  <c r="N3" i="69"/>
  <c r="N45" i="69"/>
  <c r="K3" i="69"/>
  <c r="K46" i="69"/>
  <c r="T59" i="18"/>
  <c r="V16" i="18"/>
  <c r="G17" i="18"/>
  <c r="G62" i="18"/>
  <c r="B48" i="22"/>
  <c r="E8" i="4"/>
  <c r="E9" i="4"/>
  <c r="C62" i="18"/>
  <c r="N60" i="18"/>
  <c r="N59" i="18"/>
  <c r="P59" i="18"/>
  <c r="L34" i="75"/>
  <c r="B123" i="8"/>
  <c r="B163" i="8"/>
  <c r="B31" i="79"/>
  <c r="I31" i="79"/>
  <c r="M76" i="80"/>
  <c r="M77" i="80"/>
  <c r="L114" i="75"/>
  <c r="M82" i="8"/>
  <c r="L82" i="22"/>
  <c r="L75" i="75"/>
  <c r="K31" i="22"/>
  <c r="Z21" i="18"/>
  <c r="D29" i="23"/>
  <c r="L71" i="23"/>
  <c r="K105" i="8"/>
  <c r="M47" i="69"/>
  <c r="K55" i="70"/>
  <c r="D73" i="4"/>
  <c r="L29" i="78"/>
  <c r="O30" i="88"/>
  <c r="F61" i="80"/>
  <c r="B93" i="74"/>
  <c r="M36" i="75"/>
  <c r="D74" i="22"/>
  <c r="V79" i="18"/>
  <c r="G135" i="8"/>
  <c r="L19" i="8"/>
  <c r="G34" i="78"/>
  <c r="L14" i="80"/>
  <c r="M62" i="80"/>
  <c r="D75" i="4"/>
  <c r="AA62" i="73"/>
  <c r="P15" i="74"/>
  <c r="O18" i="73"/>
  <c r="AB25" i="73"/>
  <c r="M14" i="79"/>
  <c r="L67" i="22"/>
  <c r="D69" i="88"/>
  <c r="L12" i="69"/>
  <c r="G22" i="20"/>
  <c r="E22" i="4"/>
  <c r="L17" i="4"/>
  <c r="O17" i="4"/>
  <c r="J73" i="22"/>
  <c r="M23" i="79"/>
  <c r="L38" i="69"/>
  <c r="P61" i="73"/>
  <c r="M18" i="20"/>
  <c r="D8" i="80"/>
  <c r="D9" i="80"/>
  <c r="C50" i="80"/>
  <c r="K20" i="80"/>
  <c r="D10" i="83"/>
  <c r="D11" i="83"/>
  <c r="D12" i="83"/>
  <c r="D14" i="83"/>
  <c r="D16" i="83"/>
  <c r="M95" i="75"/>
  <c r="K79" i="23"/>
  <c r="M43" i="20"/>
  <c r="M19" i="79"/>
  <c r="L15" i="69"/>
  <c r="L14" i="69"/>
  <c r="N17" i="18"/>
  <c r="V61" i="73"/>
  <c r="H79" i="22"/>
  <c r="L26" i="69"/>
  <c r="Z60" i="18"/>
  <c r="K63" i="8"/>
  <c r="M14" i="20"/>
  <c r="L62" i="22"/>
  <c r="G110" i="8"/>
  <c r="I47" i="70"/>
  <c r="I29" i="8"/>
  <c r="M166" i="78"/>
  <c r="T29" i="73"/>
  <c r="AB15" i="74"/>
  <c r="AB35" i="18"/>
  <c r="D8" i="79"/>
  <c r="D9" i="79"/>
  <c r="C24" i="79"/>
  <c r="L24" i="79"/>
  <c r="M24" i="79"/>
  <c r="K106" i="75"/>
  <c r="J13" i="101"/>
  <c r="D8" i="74"/>
  <c r="D9" i="74"/>
  <c r="G176" i="8"/>
  <c r="N25" i="73"/>
  <c r="P25" i="73"/>
  <c r="M77" i="75"/>
  <c r="K84" i="75"/>
  <c r="K100" i="75"/>
  <c r="M100" i="75"/>
  <c r="F66" i="22"/>
  <c r="V14" i="74"/>
  <c r="E50" i="80"/>
  <c r="L68" i="80"/>
  <c r="AB16" i="18"/>
  <c r="L17" i="69"/>
  <c r="D75" i="80"/>
  <c r="F75" i="80"/>
  <c r="F76" i="80"/>
  <c r="L16" i="80"/>
  <c r="T25" i="73"/>
  <c r="AA18" i="73"/>
  <c r="C84" i="73"/>
  <c r="M116" i="75"/>
  <c r="L14" i="4"/>
  <c r="O14" i="4"/>
  <c r="C11" i="83"/>
  <c r="C12" i="83"/>
  <c r="D25" i="83"/>
  <c r="D26" i="83"/>
  <c r="L16" i="22"/>
  <c r="M14" i="23"/>
  <c r="N25" i="4"/>
  <c r="O35" i="4"/>
  <c r="M52" i="78"/>
  <c r="L19" i="22"/>
  <c r="O62" i="88"/>
  <c r="D8" i="96"/>
  <c r="D9" i="96" s="1"/>
  <c r="C24" i="96" s="1"/>
  <c r="L24" i="96" s="1"/>
  <c r="N42" i="69"/>
  <c r="L42" i="69"/>
  <c r="L29" i="23"/>
  <c r="T21" i="18"/>
  <c r="H17" i="22"/>
  <c r="F78" i="22"/>
  <c r="F79" i="22"/>
  <c r="D8" i="7"/>
  <c r="D9" i="7"/>
  <c r="C52" i="7"/>
  <c r="K122" i="75"/>
  <c r="J25" i="83"/>
  <c r="J26" i="83"/>
  <c r="E13" i="83"/>
  <c r="L20" i="22"/>
  <c r="F69" i="88"/>
  <c r="D157" i="8"/>
  <c r="L28" i="22"/>
  <c r="L29" i="22"/>
  <c r="G17" i="20"/>
  <c r="G16" i="23"/>
  <c r="H65" i="22"/>
  <c r="L41" i="80"/>
  <c r="N21" i="73"/>
  <c r="I11" i="83"/>
  <c r="O10" i="88"/>
  <c r="K22" i="8"/>
  <c r="P35" i="18"/>
  <c r="M15" i="7"/>
  <c r="M132" i="7"/>
  <c r="V35" i="18"/>
  <c r="C77" i="73"/>
  <c r="T68" i="73"/>
  <c r="V68" i="73"/>
  <c r="C69" i="88"/>
  <c r="L69" i="88"/>
  <c r="D8" i="98"/>
  <c r="D9" i="98" s="1"/>
  <c r="D8" i="97"/>
  <c r="D9" i="97" s="1"/>
  <c r="K39" i="97"/>
  <c r="D90" i="97"/>
  <c r="I28" i="97"/>
  <c r="J141" i="95"/>
  <c r="J184" i="95"/>
  <c r="J104" i="95"/>
  <c r="J30" i="95"/>
  <c r="L38" i="95"/>
  <c r="D8" i="95"/>
  <c r="D9" i="95"/>
  <c r="F55" i="95"/>
  <c r="M131" i="95" s="1"/>
  <c r="B54" i="95"/>
  <c r="J93" i="95"/>
  <c r="N110" i="94"/>
  <c r="D8" i="94"/>
  <c r="D9" i="94"/>
  <c r="E52" i="94" s="1"/>
  <c r="M102" i="94" s="1"/>
  <c r="B51" i="92"/>
  <c r="B100" i="92"/>
  <c r="J13" i="82"/>
  <c r="J29" i="101"/>
  <c r="K97" i="75"/>
  <c r="M97" i="75"/>
  <c r="K17" i="75"/>
  <c r="M17" i="75"/>
  <c r="K59" i="75"/>
  <c r="M59" i="75"/>
  <c r="K18" i="75"/>
  <c r="M18" i="75"/>
  <c r="K98" i="75"/>
  <c r="M98" i="75"/>
  <c r="K60" i="75"/>
  <c r="M60" i="75"/>
  <c r="C26" i="74"/>
  <c r="O17" i="74"/>
  <c r="E71" i="74"/>
  <c r="AA62" i="74"/>
  <c r="L68" i="4"/>
  <c r="O68" i="4"/>
  <c r="L20" i="4"/>
  <c r="O20" i="4"/>
  <c r="K29" i="80"/>
  <c r="E77" i="80"/>
  <c r="G27" i="20"/>
  <c r="G68" i="8"/>
  <c r="M33" i="69"/>
  <c r="L56" i="70"/>
  <c r="I54" i="78"/>
  <c r="D22" i="75"/>
  <c r="K22" i="75"/>
  <c r="M46" i="69"/>
  <c r="J39" i="22"/>
  <c r="D8" i="23"/>
  <c r="D9" i="23"/>
  <c r="C50" i="23"/>
  <c r="L22" i="23"/>
  <c r="M7" i="69"/>
  <c r="M27" i="69"/>
  <c r="L31" i="69"/>
  <c r="L35" i="69"/>
  <c r="T60" i="18"/>
  <c r="L33" i="7"/>
  <c r="G35" i="78"/>
  <c r="D8" i="20"/>
  <c r="D9" i="20"/>
  <c r="C23" i="20"/>
  <c r="J27" i="80"/>
  <c r="L27" i="80"/>
  <c r="L28" i="80"/>
  <c r="G68" i="72"/>
  <c r="Z29" i="18"/>
  <c r="V15" i="74"/>
  <c r="D20" i="78"/>
  <c r="D22" i="78"/>
  <c r="K69" i="88"/>
  <c r="O14" i="88"/>
  <c r="O24" i="88"/>
  <c r="D31" i="79"/>
  <c r="K31" i="79"/>
  <c r="J55" i="95"/>
  <c r="J130" i="95"/>
  <c r="J173" i="95"/>
  <c r="N65" i="95"/>
  <c r="N66" i="95"/>
  <c r="M41" i="69"/>
  <c r="G31" i="98"/>
  <c r="G34" i="96"/>
  <c r="M124" i="8"/>
  <c r="E8" i="72"/>
  <c r="E9" i="72"/>
  <c r="D68" i="72"/>
  <c r="D71" i="72"/>
  <c r="O18" i="74"/>
  <c r="AB25" i="74"/>
  <c r="M28" i="97"/>
  <c r="M29" i="97"/>
  <c r="BZ23" i="77"/>
  <c r="BZ25" i="77"/>
  <c r="D41" i="79"/>
  <c r="K44" i="79"/>
  <c r="Z61" i="73"/>
  <c r="AB61" i="73"/>
  <c r="K20" i="75"/>
  <c r="M20" i="75"/>
  <c r="L65" i="4"/>
  <c r="O65" i="4"/>
  <c r="E29" i="4"/>
  <c r="L24" i="4"/>
  <c r="O24" i="4"/>
  <c r="E27" i="4"/>
  <c r="H69" i="88"/>
  <c r="M20" i="95"/>
  <c r="M95" i="95"/>
  <c r="M44" i="69"/>
  <c r="M12" i="69"/>
  <c r="L11" i="69"/>
  <c r="L25" i="69"/>
  <c r="D74" i="8"/>
  <c r="M17" i="7"/>
  <c r="L33" i="22"/>
  <c r="K63" i="7"/>
  <c r="M63" i="7"/>
  <c r="D8" i="8"/>
  <c r="D9" i="8"/>
  <c r="D8" i="22"/>
  <c r="D9" i="22"/>
  <c r="D52" i="22"/>
  <c r="E70" i="22"/>
  <c r="D63" i="80"/>
  <c r="F63" i="80"/>
  <c r="T64" i="73"/>
  <c r="D76" i="4"/>
  <c r="T70" i="73"/>
  <c r="O62" i="73"/>
  <c r="B50" i="74"/>
  <c r="D17" i="78"/>
  <c r="E24" i="4"/>
  <c r="C26" i="82"/>
  <c r="B9" i="87"/>
  <c r="G77" i="8"/>
  <c r="D80" i="8"/>
  <c r="D130" i="8"/>
  <c r="M23" i="69"/>
  <c r="M24" i="69"/>
  <c r="P16" i="18"/>
  <c r="C26" i="48"/>
  <c r="J77" i="22"/>
  <c r="L77" i="22"/>
  <c r="L78" i="22"/>
  <c r="K104" i="7"/>
  <c r="M104" i="7"/>
  <c r="N49" i="70"/>
  <c r="G70" i="4"/>
  <c r="B50" i="73"/>
  <c r="U62" i="73"/>
  <c r="K73" i="78"/>
  <c r="M18" i="79"/>
  <c r="L68" i="22"/>
  <c r="M19" i="69"/>
  <c r="M11" i="69"/>
  <c r="D150" i="8"/>
  <c r="G150" i="8"/>
  <c r="L29" i="8"/>
  <c r="M29" i="8"/>
  <c r="M45" i="69"/>
  <c r="M5" i="69"/>
  <c r="L28" i="69"/>
  <c r="T21" i="69"/>
  <c r="J88" i="22"/>
  <c r="T17" i="18"/>
  <c r="G30" i="23"/>
  <c r="E62" i="48"/>
  <c r="F62" i="48"/>
  <c r="BK25" i="64"/>
  <c r="BK27" i="64"/>
  <c r="BU39" i="64"/>
  <c r="I48" i="69"/>
  <c r="H47" i="70"/>
  <c r="I111" i="8"/>
  <c r="K64" i="80"/>
  <c r="M64" i="80"/>
  <c r="D8" i="75"/>
  <c r="D9" i="75"/>
  <c r="K109" i="78"/>
  <c r="D17" i="79"/>
  <c r="K17" i="79"/>
  <c r="M17" i="79"/>
  <c r="J18" i="95"/>
  <c r="M59" i="95"/>
  <c r="M14" i="69"/>
  <c r="M34" i="69"/>
  <c r="T17" i="69"/>
  <c r="V59" i="18"/>
  <c r="G30" i="8"/>
  <c r="G76" i="8"/>
  <c r="H48" i="69"/>
  <c r="V25" i="73"/>
  <c r="B95" i="73"/>
  <c r="Z14" i="74"/>
  <c r="AB14" i="74"/>
  <c r="M127" i="78"/>
  <c r="E39" i="4"/>
  <c r="E30" i="4"/>
  <c r="O79" i="91"/>
  <c r="J3" i="82"/>
  <c r="C17" i="74"/>
  <c r="N17" i="74"/>
  <c r="P17" i="74"/>
  <c r="J17" i="82"/>
  <c r="B64" i="80"/>
  <c r="H27" i="80"/>
  <c r="C61" i="74"/>
  <c r="C62" i="74"/>
  <c r="J7" i="82"/>
  <c r="N16" i="74"/>
  <c r="P16" i="74"/>
  <c r="Z16" i="74"/>
  <c r="AB16" i="74"/>
  <c r="K27" i="78"/>
  <c r="M27" i="78"/>
  <c r="M28" i="78"/>
  <c r="M170" i="78"/>
  <c r="L94" i="78"/>
  <c r="L58" i="78"/>
  <c r="K100" i="78"/>
  <c r="M100" i="78"/>
  <c r="M101" i="78"/>
  <c r="K64" i="78"/>
  <c r="M64" i="78"/>
  <c r="M65" i="78"/>
  <c r="I92" i="78"/>
  <c r="I56" i="78"/>
  <c r="M180" i="78"/>
  <c r="M181" i="78"/>
  <c r="K55" i="78"/>
  <c r="M55" i="78"/>
  <c r="K23" i="78"/>
  <c r="M142" i="78"/>
  <c r="M105" i="78"/>
  <c r="D8" i="78"/>
  <c r="D9" i="78"/>
  <c r="L20" i="78"/>
  <c r="M69" i="78"/>
  <c r="L139" i="78"/>
  <c r="L182" i="78"/>
  <c r="J27" i="101"/>
  <c r="J7" i="101"/>
  <c r="J31" i="101"/>
  <c r="K79" i="97"/>
  <c r="M79" i="97"/>
  <c r="M80" i="97"/>
  <c r="L30" i="94"/>
  <c r="N30" i="94"/>
  <c r="D79" i="97"/>
  <c r="G79" i="97"/>
  <c r="G80" i="97"/>
  <c r="D75" i="91"/>
  <c r="L59" i="91"/>
  <c r="O59" i="91"/>
  <c r="O32" i="91"/>
  <c r="D77" i="91"/>
  <c r="D73" i="91"/>
  <c r="D76" i="91"/>
  <c r="L27" i="95"/>
  <c r="N27" i="95"/>
  <c r="N28" i="95"/>
  <c r="N72" i="91"/>
  <c r="D70" i="91"/>
  <c r="G70" i="91"/>
  <c r="L181" i="95"/>
  <c r="N181" i="95"/>
  <c r="N182" i="95"/>
  <c r="L138" i="95"/>
  <c r="N138" i="95"/>
  <c r="N139" i="95"/>
  <c r="N25" i="91"/>
  <c r="L101" i="95"/>
  <c r="N101" i="95"/>
  <c r="N102" i="95"/>
  <c r="E8" i="91"/>
  <c r="E9" i="91" s="1"/>
  <c r="O42" i="69"/>
  <c r="O45" i="69"/>
  <c r="K47" i="69"/>
  <c r="K22" i="69"/>
  <c r="K25" i="69"/>
  <c r="K27" i="69"/>
  <c r="K29" i="69"/>
  <c r="K34" i="69"/>
  <c r="K7" i="69"/>
  <c r="K45" i="69"/>
  <c r="K35" i="69"/>
  <c r="K24" i="69"/>
  <c r="K42" i="69"/>
  <c r="K38" i="69"/>
  <c r="K23" i="69"/>
  <c r="K33" i="69"/>
  <c r="K21" i="69"/>
  <c r="K19" i="69"/>
  <c r="K31" i="69"/>
  <c r="K26" i="69"/>
  <c r="K44" i="69"/>
  <c r="K12" i="69"/>
  <c r="K28" i="69"/>
  <c r="K67" i="8"/>
  <c r="M67" i="8"/>
  <c r="M68" i="8"/>
  <c r="K26" i="8"/>
  <c r="M26" i="8"/>
  <c r="M27" i="8"/>
  <c r="K109" i="8"/>
  <c r="M109" i="8"/>
  <c r="M110" i="8"/>
  <c r="D72" i="8"/>
  <c r="K15" i="69"/>
  <c r="O29" i="69"/>
  <c r="K9" i="69"/>
  <c r="K37" i="69"/>
  <c r="O14" i="69"/>
  <c r="K40" i="69"/>
  <c r="K17" i="69"/>
  <c r="N34" i="69"/>
  <c r="N33" i="69"/>
  <c r="N46" i="69"/>
  <c r="N19" i="69"/>
  <c r="N11" i="69"/>
  <c r="K11" i="69"/>
  <c r="K5" i="69"/>
  <c r="L21" i="69"/>
  <c r="L33" i="69"/>
  <c r="L36" i="69"/>
  <c r="L5" i="69"/>
  <c r="K41" i="7"/>
  <c r="K76" i="8"/>
  <c r="O61" i="48"/>
  <c r="O62" i="48"/>
  <c r="D50" i="23"/>
  <c r="L64" i="23"/>
  <c r="L65" i="23"/>
  <c r="M71" i="23"/>
  <c r="B50" i="18"/>
  <c r="B95" i="18"/>
  <c r="B78" i="22"/>
  <c r="H77" i="22"/>
  <c r="L19" i="69"/>
  <c r="T19" i="69"/>
  <c r="L78" i="80"/>
  <c r="K61" i="48"/>
  <c r="K62" i="48"/>
  <c r="L23" i="20"/>
  <c r="L24" i="20"/>
  <c r="L44" i="69"/>
  <c r="L29" i="69"/>
  <c r="L27" i="69"/>
  <c r="L34" i="69"/>
  <c r="K114" i="7"/>
  <c r="D29" i="7"/>
  <c r="K25" i="7"/>
  <c r="F63" i="22"/>
  <c r="L37" i="69"/>
  <c r="L41" i="69"/>
  <c r="L24" i="69"/>
  <c r="L9" i="69"/>
  <c r="K85" i="7"/>
  <c r="D8" i="18"/>
  <c r="D9" i="18"/>
  <c r="G50" i="8"/>
  <c r="H61" i="48"/>
  <c r="C96" i="8"/>
  <c r="D50" i="8"/>
  <c r="F50" i="8"/>
  <c r="E96" i="8"/>
  <c r="C18" i="8"/>
  <c r="C52" i="22"/>
  <c r="L46" i="69"/>
  <c r="L7" i="69"/>
  <c r="L45" i="69"/>
  <c r="D52" i="7"/>
  <c r="C75" i="18"/>
  <c r="BU35" i="64"/>
  <c r="BU41" i="64"/>
  <c r="K61" i="7"/>
  <c r="M61" i="7"/>
  <c r="G13" i="78"/>
  <c r="B79" i="97"/>
  <c r="I79" i="97"/>
  <c r="G13" i="8"/>
  <c r="D26" i="48"/>
  <c r="L32" i="85"/>
  <c r="N60" i="74"/>
  <c r="P60" i="74"/>
  <c r="T60" i="74"/>
  <c r="V60" i="74"/>
  <c r="Z60" i="74"/>
  <c r="AB60" i="74"/>
  <c r="C54" i="75"/>
  <c r="L22" i="75"/>
  <c r="E54" i="75"/>
  <c r="L102" i="75"/>
  <c r="L103" i="75"/>
  <c r="M114" i="75"/>
  <c r="D54" i="75"/>
  <c r="L64" i="75"/>
  <c r="L111" i="7"/>
  <c r="M121" i="7"/>
  <c r="V56" i="69"/>
  <c r="V57" i="69"/>
  <c r="X50" i="69"/>
  <c r="W53" i="69"/>
  <c r="S56" i="69"/>
  <c r="F74" i="69"/>
  <c r="D70" i="4"/>
  <c r="N73" i="4"/>
  <c r="O83" i="4"/>
  <c r="B31" i="96"/>
  <c r="I31" i="96" s="1"/>
  <c r="B30" i="20"/>
  <c r="D77" i="4"/>
  <c r="Z60" i="73"/>
  <c r="AB60" i="73"/>
  <c r="T60" i="73"/>
  <c r="V60" i="73"/>
  <c r="H11" i="83"/>
  <c r="H12" i="83"/>
  <c r="H13" i="83"/>
  <c r="D27" i="95"/>
  <c r="L26" i="94"/>
  <c r="L106" i="94"/>
  <c r="L67" i="94"/>
  <c r="D71" i="74"/>
  <c r="U62" i="74"/>
  <c r="U63" i="74"/>
  <c r="C71" i="74"/>
  <c r="O62" i="74"/>
  <c r="O63" i="74"/>
  <c r="AA63" i="74"/>
  <c r="N30" i="74"/>
  <c r="T30" i="74"/>
  <c r="K21" i="75"/>
  <c r="M21" i="75"/>
  <c r="K63" i="75"/>
  <c r="M63" i="75"/>
  <c r="K101" i="75"/>
  <c r="M101" i="75"/>
  <c r="C16" i="73"/>
  <c r="L66" i="4"/>
  <c r="O66" i="4"/>
  <c r="L18" i="4"/>
  <c r="O18" i="4"/>
  <c r="L13" i="4"/>
  <c r="O13" i="4"/>
  <c r="L61" i="4"/>
  <c r="O61" i="4"/>
  <c r="O28" i="88"/>
  <c r="E69" i="88"/>
  <c r="D26" i="74"/>
  <c r="U17" i="74"/>
  <c r="U18" i="74"/>
  <c r="L69" i="80"/>
  <c r="L113" i="75"/>
  <c r="L33" i="75"/>
  <c r="G69" i="88"/>
  <c r="O12" i="88"/>
  <c r="L82" i="94"/>
  <c r="L120" i="94"/>
  <c r="L71" i="94"/>
  <c r="N71" i="94"/>
  <c r="G29" i="8"/>
  <c r="G74" i="8"/>
  <c r="E26" i="74"/>
  <c r="AA17" i="74"/>
  <c r="AA18" i="74"/>
  <c r="K16" i="78"/>
  <c r="M16" i="78"/>
  <c r="K90" i="78"/>
  <c r="M90" i="78"/>
  <c r="K54" i="78"/>
  <c r="M54" i="78"/>
  <c r="K17" i="78"/>
  <c r="M17" i="78"/>
  <c r="D13" i="83"/>
  <c r="B13" i="83"/>
  <c r="C13" i="83"/>
  <c r="D52" i="94"/>
  <c r="M64" i="94" s="1"/>
  <c r="C84" i="74"/>
  <c r="T75" i="74"/>
  <c r="L65" i="75"/>
  <c r="M75" i="75"/>
  <c r="K120" i="75"/>
  <c r="K41" i="75"/>
  <c r="K21" i="80"/>
  <c r="L29" i="80"/>
  <c r="M128" i="78"/>
  <c r="K171" i="78"/>
  <c r="M171" i="78"/>
  <c r="G31" i="79"/>
  <c r="K137" i="78"/>
  <c r="M137" i="78"/>
  <c r="M138" i="78"/>
  <c r="C84" i="18"/>
  <c r="I140" i="78"/>
  <c r="I183" i="78"/>
  <c r="I103" i="78"/>
  <c r="I30" i="78"/>
  <c r="CB22" i="89"/>
  <c r="CB24" i="89"/>
  <c r="T29" i="18"/>
  <c r="D50" i="80"/>
  <c r="E67" i="80"/>
  <c r="E68" i="80"/>
  <c r="F77" i="80"/>
  <c r="C20" i="80"/>
  <c r="D12" i="87"/>
  <c r="D13" i="87"/>
  <c r="B49" i="97"/>
  <c r="B67" i="97"/>
  <c r="I17" i="97"/>
  <c r="J17" i="101"/>
  <c r="J5" i="101"/>
  <c r="O6" i="88"/>
  <c r="V16" i="74"/>
  <c r="K91" i="78"/>
  <c r="M91" i="78"/>
  <c r="K26" i="75"/>
  <c r="J19" i="82"/>
  <c r="D34" i="78"/>
  <c r="D26" i="98"/>
  <c r="L74" i="95"/>
  <c r="J9" i="101"/>
  <c r="V59" i="74"/>
  <c r="E26" i="4"/>
  <c r="L110" i="95"/>
  <c r="D19" i="23"/>
  <c r="D17" i="23"/>
  <c r="L149" i="95"/>
  <c r="C14" i="101"/>
  <c r="C10" i="101"/>
  <c r="C18" i="101"/>
  <c r="C6" i="101"/>
  <c r="C34" i="101"/>
  <c r="E34" i="101"/>
  <c r="T21" i="74"/>
  <c r="J21" i="82"/>
  <c r="G17" i="74"/>
  <c r="G62" i="74"/>
  <c r="B47" i="80"/>
  <c r="I12" i="83"/>
  <c r="F8" i="83"/>
  <c r="F9" i="83"/>
  <c r="F11" i="83"/>
  <c r="F12" i="83"/>
  <c r="L63" i="4"/>
  <c r="O63" i="4"/>
  <c r="L15" i="4"/>
  <c r="O15" i="4"/>
  <c r="N14" i="74"/>
  <c r="P14" i="74"/>
  <c r="J11" i="82"/>
  <c r="N59" i="74"/>
  <c r="P59" i="74"/>
  <c r="Z59" i="74"/>
  <c r="AB59" i="74"/>
  <c r="B10" i="83"/>
  <c r="D20" i="82"/>
  <c r="E8" i="83"/>
  <c r="E9" i="83"/>
  <c r="E11" i="83"/>
  <c r="E12" i="83"/>
  <c r="T66" i="74"/>
  <c r="N66" i="74"/>
  <c r="Z66" i="74"/>
  <c r="T34" i="74"/>
  <c r="V39" i="74"/>
  <c r="C86" i="74"/>
  <c r="Z34" i="74"/>
  <c r="AB39" i="74"/>
  <c r="N21" i="74"/>
  <c r="J15" i="82"/>
  <c r="G8" i="83"/>
  <c r="G9" i="83"/>
  <c r="G11" i="83"/>
  <c r="Z21" i="74"/>
  <c r="H17" i="80"/>
  <c r="J5" i="82"/>
  <c r="B9" i="83"/>
  <c r="B75" i="80"/>
  <c r="E28" i="101"/>
  <c r="E12" i="101"/>
  <c r="E16" i="101"/>
  <c r="E8" i="101"/>
  <c r="E32" i="101"/>
  <c r="D170" i="8"/>
  <c r="D40" i="22"/>
  <c r="E48" i="4"/>
  <c r="C31" i="82"/>
  <c r="D42" i="78"/>
  <c r="E10" i="101"/>
  <c r="K70" i="97"/>
  <c r="K20" i="97"/>
  <c r="L18" i="94"/>
  <c r="N18" i="94"/>
  <c r="J57" i="95"/>
  <c r="L25" i="79"/>
  <c r="M31" i="79"/>
  <c r="G13" i="83"/>
  <c r="I13" i="83"/>
  <c r="I14" i="83"/>
  <c r="I16" i="83"/>
  <c r="Z70" i="73"/>
  <c r="N70" i="73"/>
  <c r="E14" i="83"/>
  <c r="E16" i="83"/>
  <c r="K102" i="75"/>
  <c r="M102" i="75"/>
  <c r="O69" i="88"/>
  <c r="F13" i="83"/>
  <c r="L72" i="4"/>
  <c r="O72" i="4"/>
  <c r="H14" i="83"/>
  <c r="H16" i="83"/>
  <c r="Z68" i="73"/>
  <c r="AB68" i="73"/>
  <c r="N68" i="73"/>
  <c r="P68" i="73"/>
  <c r="C14" i="83"/>
  <c r="C16" i="83"/>
  <c r="Z17" i="74"/>
  <c r="AB17" i="74"/>
  <c r="AB18" i="74"/>
  <c r="T17" i="74"/>
  <c r="V17" i="74"/>
  <c r="V18" i="74"/>
  <c r="V21" i="74"/>
  <c r="V22" i="74"/>
  <c r="V27" i="74"/>
  <c r="H55" i="95"/>
  <c r="M174" i="95"/>
  <c r="M175" i="95" s="1"/>
  <c r="C52" i="94"/>
  <c r="M22" i="94" s="1"/>
  <c r="L74" i="91"/>
  <c r="F70" i="22"/>
  <c r="E71" i="22"/>
  <c r="F81" i="22"/>
  <c r="K129" i="78"/>
  <c r="D23" i="78"/>
  <c r="F14" i="83"/>
  <c r="F16" i="83"/>
  <c r="E52" i="22"/>
  <c r="K69" i="22"/>
  <c r="C17" i="73"/>
  <c r="L22" i="4"/>
  <c r="O22" i="4"/>
  <c r="L70" i="4"/>
  <c r="O70" i="4"/>
  <c r="L69" i="8"/>
  <c r="E123" i="8"/>
  <c r="L19" i="4"/>
  <c r="O19" i="4"/>
  <c r="L67" i="4"/>
  <c r="O67" i="4"/>
  <c r="E50" i="8"/>
  <c r="L102" i="8"/>
  <c r="L103" i="8"/>
  <c r="C65" i="8"/>
  <c r="D20" i="23"/>
  <c r="K62" i="23"/>
  <c r="M62" i="23"/>
  <c r="M22" i="75"/>
  <c r="K92" i="78"/>
  <c r="M92" i="78"/>
  <c r="K56" i="78"/>
  <c r="M56" i="78"/>
  <c r="K18" i="78"/>
  <c r="M18" i="78"/>
  <c r="C32" i="92"/>
  <c r="U25" i="92" s="1"/>
  <c r="L27" i="91"/>
  <c r="D16" i="23"/>
  <c r="K126" i="78"/>
  <c r="K64" i="75"/>
  <c r="M64" i="75"/>
  <c r="E6" i="101"/>
  <c r="P18" i="74"/>
  <c r="N18" i="74"/>
  <c r="E18" i="101"/>
  <c r="C36" i="101"/>
  <c r="T61" i="74"/>
  <c r="V61" i="74"/>
  <c r="N61" i="74"/>
  <c r="P61" i="74"/>
  <c r="Z61" i="74"/>
  <c r="AB61" i="74"/>
  <c r="K20" i="23"/>
  <c r="M20" i="23"/>
  <c r="G56" i="78"/>
  <c r="L173" i="78"/>
  <c r="L174" i="78"/>
  <c r="F56" i="78"/>
  <c r="L130" i="78"/>
  <c r="L131" i="78"/>
  <c r="L65" i="91"/>
  <c r="O65" i="91"/>
  <c r="E14" i="101"/>
  <c r="O84" i="91"/>
  <c r="O36" i="91"/>
  <c r="M35" i="91"/>
  <c r="O35" i="91"/>
  <c r="L57" i="91"/>
  <c r="O57" i="91"/>
  <c r="K17" i="23"/>
  <c r="M17" i="23"/>
  <c r="K59" i="23"/>
  <c r="M59" i="23"/>
  <c r="Z16" i="73"/>
  <c r="AB16" i="73"/>
  <c r="T16" i="73"/>
  <c r="V16" i="73"/>
  <c r="N16" i="73"/>
  <c r="P16" i="73"/>
  <c r="C61" i="73"/>
  <c r="P61" i="48"/>
  <c r="P62" i="48"/>
  <c r="D71" i="18"/>
  <c r="E71" i="18"/>
  <c r="D26" i="18"/>
  <c r="E26" i="18"/>
  <c r="C26" i="18"/>
  <c r="C71" i="18"/>
  <c r="K61" i="23"/>
  <c r="M61" i="23"/>
  <c r="K19" i="23"/>
  <c r="M19" i="23"/>
  <c r="E39" i="91"/>
  <c r="O38" i="91"/>
  <c r="O86" i="91"/>
  <c r="J61" i="48"/>
  <c r="J62" i="48"/>
  <c r="E154" i="8"/>
  <c r="E155" i="8"/>
  <c r="K76" i="7"/>
  <c r="M76" i="7"/>
  <c r="K119" i="7"/>
  <c r="M119" i="7"/>
  <c r="K30" i="7"/>
  <c r="M30" i="7"/>
  <c r="K68" i="98"/>
  <c r="K26" i="98"/>
  <c r="T73" i="18"/>
  <c r="Z73" i="18"/>
  <c r="N73" i="18"/>
  <c r="N75" i="74"/>
  <c r="Z75" i="74"/>
  <c r="D121" i="8"/>
  <c r="G121" i="8"/>
  <c r="G122" i="8"/>
  <c r="D161" i="8"/>
  <c r="G161" i="8"/>
  <c r="G162" i="8"/>
  <c r="L10" i="91"/>
  <c r="O10" i="91"/>
  <c r="L67" i="7"/>
  <c r="L68" i="7"/>
  <c r="M78" i="7"/>
  <c r="D61" i="48"/>
  <c r="D62" i="48"/>
  <c r="L60" i="8"/>
  <c r="L61" i="8"/>
  <c r="M69" i="8"/>
  <c r="G61" i="48"/>
  <c r="G62" i="48"/>
  <c r="M78" i="80"/>
  <c r="L23" i="23"/>
  <c r="M29" i="23"/>
  <c r="L46" i="4"/>
  <c r="D37" i="23"/>
  <c r="L94" i="4"/>
  <c r="L21" i="4"/>
  <c r="O21" i="4"/>
  <c r="D21" i="23"/>
  <c r="L69" i="4"/>
  <c r="O69" i="4"/>
  <c r="D28" i="96"/>
  <c r="L61" i="95"/>
  <c r="L97" i="95"/>
  <c r="L134" i="95"/>
  <c r="L177" i="95"/>
  <c r="L23" i="95"/>
  <c r="C61" i="48"/>
  <c r="C62" i="48"/>
  <c r="L21" i="7"/>
  <c r="L22" i="7"/>
  <c r="M33" i="7"/>
  <c r="I61" i="48"/>
  <c r="I62" i="48"/>
  <c r="E114" i="8"/>
  <c r="E115" i="8"/>
  <c r="G123" i="8"/>
  <c r="I29" i="20"/>
  <c r="B31" i="22"/>
  <c r="B32" i="97"/>
  <c r="L67" i="78"/>
  <c r="M67" i="78"/>
  <c r="L140" i="78"/>
  <c r="L30" i="78"/>
  <c r="M30" i="78"/>
  <c r="L103" i="78"/>
  <c r="M103" i="78"/>
  <c r="AA38" i="92"/>
  <c r="O38" i="92"/>
  <c r="U38" i="92"/>
  <c r="L23" i="75"/>
  <c r="M34" i="75"/>
  <c r="D94" i="22"/>
  <c r="J42" i="22"/>
  <c r="J93" i="22"/>
  <c r="T64" i="18"/>
  <c r="N64" i="18"/>
  <c r="Z64" i="18"/>
  <c r="B22" i="87"/>
  <c r="M1" i="99"/>
  <c r="L32" i="99"/>
  <c r="L92" i="91"/>
  <c r="D40" i="94"/>
  <c r="L45" i="91"/>
  <c r="D41" i="97"/>
  <c r="D37" i="98"/>
  <c r="K41" i="98"/>
  <c r="K84" i="98"/>
  <c r="M32" i="85"/>
  <c r="O32" i="85"/>
  <c r="G13" i="79"/>
  <c r="G13" i="20"/>
  <c r="G57" i="8"/>
  <c r="E47" i="4"/>
  <c r="E46" i="72"/>
  <c r="N61" i="48"/>
  <c r="N62" i="48"/>
  <c r="K21" i="22"/>
  <c r="B11" i="83"/>
  <c r="B12" i="83"/>
  <c r="B14" i="83"/>
  <c r="B16" i="83"/>
  <c r="Z62" i="74"/>
  <c r="AB62" i="74"/>
  <c r="N62" i="74"/>
  <c r="P62" i="74"/>
  <c r="T62" i="74"/>
  <c r="V62" i="74"/>
  <c r="G12" i="83"/>
  <c r="Z79" i="74"/>
  <c r="AB84" i="74"/>
  <c r="T79" i="74"/>
  <c r="V84" i="74"/>
  <c r="N79" i="74"/>
  <c r="P84" i="74"/>
  <c r="L71" i="91"/>
  <c r="O71" i="91"/>
  <c r="L24" i="91"/>
  <c r="O24" i="91"/>
  <c r="L63" i="94"/>
  <c r="N63" i="94"/>
  <c r="L21" i="94"/>
  <c r="N21" i="94"/>
  <c r="L101" i="94"/>
  <c r="N101" i="94"/>
  <c r="V63" i="74"/>
  <c r="V66" i="74"/>
  <c r="V67" i="74"/>
  <c r="V72" i="74"/>
  <c r="V75" i="74"/>
  <c r="V77" i="74"/>
  <c r="V79" i="74"/>
  <c r="V81" i="74"/>
  <c r="V85" i="74"/>
  <c r="V89" i="74"/>
  <c r="G14" i="83"/>
  <c r="D30" i="94"/>
  <c r="Z18" i="74"/>
  <c r="AB21" i="74"/>
  <c r="AB22" i="74"/>
  <c r="AB27" i="74"/>
  <c r="AB30" i="74"/>
  <c r="AB32" i="74"/>
  <c r="AB34" i="74"/>
  <c r="AB36" i="74"/>
  <c r="AB40" i="74"/>
  <c r="AB46" i="74"/>
  <c r="AB47" i="74"/>
  <c r="L60" i="94"/>
  <c r="N60" i="94"/>
  <c r="P21" i="74"/>
  <c r="P22" i="74"/>
  <c r="P27" i="74"/>
  <c r="P30" i="74"/>
  <c r="P32" i="74"/>
  <c r="P34" i="74"/>
  <c r="P36" i="74"/>
  <c r="P40" i="74"/>
  <c r="P46" i="74"/>
  <c r="P47" i="74"/>
  <c r="T18" i="74"/>
  <c r="P63" i="74"/>
  <c r="P66" i="74"/>
  <c r="P67" i="74"/>
  <c r="P72" i="74"/>
  <c r="P75" i="74"/>
  <c r="P77" i="74"/>
  <c r="P79" i="74"/>
  <c r="P81" i="74"/>
  <c r="P85" i="74"/>
  <c r="P89" i="74"/>
  <c r="N17" i="73"/>
  <c r="P17" i="73"/>
  <c r="C62" i="73"/>
  <c r="Z17" i="73"/>
  <c r="AB17" i="73"/>
  <c r="T17" i="73"/>
  <c r="V17" i="73"/>
  <c r="E163" i="8"/>
  <c r="D30" i="20"/>
  <c r="K29" i="20"/>
  <c r="M29" i="20"/>
  <c r="L111" i="8"/>
  <c r="M111" i="8"/>
  <c r="K19" i="78"/>
  <c r="M19" i="78"/>
  <c r="K130" i="78"/>
  <c r="K173" i="78"/>
  <c r="M173" i="78"/>
  <c r="K57" i="78"/>
  <c r="M57" i="78"/>
  <c r="D22" i="23"/>
  <c r="K93" i="78"/>
  <c r="M93" i="78"/>
  <c r="K169" i="78"/>
  <c r="M169" i="78"/>
  <c r="M126" i="78"/>
  <c r="K172" i="78"/>
  <c r="M172" i="78"/>
  <c r="M129" i="78"/>
  <c r="M82" i="91"/>
  <c r="O82" i="91"/>
  <c r="K16" i="23"/>
  <c r="M16" i="23"/>
  <c r="K58" i="23"/>
  <c r="M58" i="23"/>
  <c r="AB63" i="74"/>
  <c r="AB66" i="74"/>
  <c r="AB67" i="74"/>
  <c r="AB72" i="74"/>
  <c r="AB75" i="74"/>
  <c r="AB77" i="74"/>
  <c r="AB79" i="74"/>
  <c r="AB81" i="74"/>
  <c r="AB85" i="74"/>
  <c r="AB89" i="74"/>
  <c r="D6" i="87"/>
  <c r="L18" i="91"/>
  <c r="O18" i="91"/>
  <c r="AA20" i="92"/>
  <c r="D67" i="97"/>
  <c r="G67" i="97"/>
  <c r="L98" i="94"/>
  <c r="N98" i="94"/>
  <c r="M130" i="78"/>
  <c r="D14" i="98"/>
  <c r="K14" i="98" s="1"/>
  <c r="M14" i="98" s="1"/>
  <c r="E17" i="4"/>
  <c r="E44" i="4"/>
  <c r="E15" i="4"/>
  <c r="E13" i="4"/>
  <c r="E42" i="4"/>
  <c r="E43" i="4"/>
  <c r="E40" i="4"/>
  <c r="D39" i="7"/>
  <c r="C40" i="73"/>
  <c r="D40" i="75"/>
  <c r="D36" i="23"/>
  <c r="E36" i="4"/>
  <c r="D39" i="22"/>
  <c r="C40" i="18"/>
  <c r="K28" i="96"/>
  <c r="D24" i="97"/>
  <c r="K75" i="97" s="1"/>
  <c r="O60" i="18"/>
  <c r="F37" i="48"/>
  <c r="F38" i="48"/>
  <c r="K42" i="97"/>
  <c r="K95" i="97"/>
  <c r="D95" i="97"/>
  <c r="E37" i="48"/>
  <c r="E38" i="48"/>
  <c r="AA17" i="18"/>
  <c r="G13" i="23"/>
  <c r="D41" i="95"/>
  <c r="L44" i="94"/>
  <c r="L122" i="94"/>
  <c r="L84" i="94"/>
  <c r="D37" i="48"/>
  <c r="D38" i="48"/>
  <c r="U17" i="18"/>
  <c r="L183" i="78"/>
  <c r="M183" i="78"/>
  <c r="M140" i="78"/>
  <c r="K21" i="23"/>
  <c r="M21" i="23"/>
  <c r="K63" i="23"/>
  <c r="M63" i="23"/>
  <c r="AA60" i="18"/>
  <c r="H37" i="48"/>
  <c r="H38" i="48"/>
  <c r="O17" i="18"/>
  <c r="C37" i="48"/>
  <c r="C38" i="48"/>
  <c r="U20" i="92"/>
  <c r="K22" i="22"/>
  <c r="L31" i="22"/>
  <c r="L21" i="22"/>
  <c r="O32" i="99"/>
  <c r="M32" i="99"/>
  <c r="B82" i="97"/>
  <c r="I82" i="97"/>
  <c r="I31" i="97"/>
  <c r="K84" i="23"/>
  <c r="K41" i="23"/>
  <c r="U60" i="18"/>
  <c r="G37" i="48"/>
  <c r="G38" i="48"/>
  <c r="B29" i="23"/>
  <c r="H31" i="22"/>
  <c r="B29" i="98"/>
  <c r="B81" i="22"/>
  <c r="H80" i="22"/>
  <c r="K152" i="78"/>
  <c r="K195" i="78"/>
  <c r="K75" i="78"/>
  <c r="K111" i="78"/>
  <c r="K40" i="78"/>
  <c r="L69" i="22"/>
  <c r="K70" i="22"/>
  <c r="L80" i="22"/>
  <c r="D21" i="98"/>
  <c r="L68" i="91"/>
  <c r="O68" i="91"/>
  <c r="L21" i="91"/>
  <c r="O21" i="91"/>
  <c r="L18" i="95"/>
  <c r="N18" i="95"/>
  <c r="D20" i="98"/>
  <c r="L57" i="95"/>
  <c r="N57" i="95"/>
  <c r="D23" i="96"/>
  <c r="K23" i="96" s="1"/>
  <c r="M23" i="96" s="1"/>
  <c r="L130" i="95"/>
  <c r="L93" i="95"/>
  <c r="N93" i="95"/>
  <c r="V30" i="74"/>
  <c r="V32" i="74"/>
  <c r="V34" i="74"/>
  <c r="V36" i="74"/>
  <c r="V40" i="74"/>
  <c r="V46" i="74"/>
  <c r="V47" i="74"/>
  <c r="D30" i="75"/>
  <c r="G16" i="83"/>
  <c r="G163" i="8"/>
  <c r="K17" i="97"/>
  <c r="M17" i="97"/>
  <c r="K64" i="23"/>
  <c r="M64" i="23"/>
  <c r="K22" i="23"/>
  <c r="M22" i="23"/>
  <c r="K67" i="97"/>
  <c r="M67" i="97"/>
  <c r="P17" i="18"/>
  <c r="O18" i="18"/>
  <c r="U18" i="18"/>
  <c r="V17" i="18"/>
  <c r="F13" i="22"/>
  <c r="C34" i="73"/>
  <c r="C87" i="73"/>
  <c r="C79" i="73"/>
  <c r="C14" i="73"/>
  <c r="C15" i="73"/>
  <c r="D13" i="79"/>
  <c r="K13" i="79"/>
  <c r="M13" i="79"/>
  <c r="D13" i="20"/>
  <c r="K13" i="20"/>
  <c r="M13" i="20"/>
  <c r="M24" i="20"/>
  <c r="L58" i="4"/>
  <c r="O58" i="4"/>
  <c r="D13" i="22"/>
  <c r="D62" i="22"/>
  <c r="F62" i="22"/>
  <c r="F71" i="22"/>
  <c r="D13" i="80"/>
  <c r="D60" i="80"/>
  <c r="F60" i="80"/>
  <c r="F68" i="80"/>
  <c r="D13" i="23"/>
  <c r="J13" i="22"/>
  <c r="L13" i="22"/>
  <c r="L22" i="22"/>
  <c r="L10" i="4"/>
  <c r="O10" i="4"/>
  <c r="J61" i="22"/>
  <c r="L61" i="22"/>
  <c r="L70" i="22"/>
  <c r="I71" i="23"/>
  <c r="I29" i="23"/>
  <c r="L81" i="91"/>
  <c r="O81" i="91"/>
  <c r="L34" i="91"/>
  <c r="C87" i="18"/>
  <c r="C79" i="18"/>
  <c r="C15" i="18"/>
  <c r="C14" i="18"/>
  <c r="C34" i="18"/>
  <c r="L82" i="4"/>
  <c r="O82" i="4"/>
  <c r="L34" i="4"/>
  <c r="O34" i="4"/>
  <c r="D35" i="75"/>
  <c r="D36" i="78"/>
  <c r="D34" i="7"/>
  <c r="D34" i="79"/>
  <c r="K34" i="79"/>
  <c r="M34" i="79"/>
  <c r="M38" i="4"/>
  <c r="O38" i="4"/>
  <c r="D31" i="8"/>
  <c r="D33" i="20"/>
  <c r="K32" i="20"/>
  <c r="M32" i="20"/>
  <c r="D34" i="22"/>
  <c r="M87" i="4"/>
  <c r="O87" i="4"/>
  <c r="D31" i="23"/>
  <c r="O61" i="18"/>
  <c r="P60" i="18"/>
  <c r="M86" i="4"/>
  <c r="O86" i="4"/>
  <c r="M37" i="4"/>
  <c r="O37" i="4"/>
  <c r="D16" i="79"/>
  <c r="K16" i="79"/>
  <c r="M16" i="79"/>
  <c r="L60" i="4"/>
  <c r="O60" i="4"/>
  <c r="D16" i="20"/>
  <c r="K16" i="20"/>
  <c r="M16" i="20"/>
  <c r="L12" i="4"/>
  <c r="O12" i="4"/>
  <c r="U61" i="18"/>
  <c r="V60" i="18"/>
  <c r="D75" i="97"/>
  <c r="O36" i="4"/>
  <c r="Q36" i="4"/>
  <c r="O84" i="4"/>
  <c r="AB60" i="18"/>
  <c r="AA61" i="18"/>
  <c r="AA18" i="18"/>
  <c r="AB17" i="18"/>
  <c r="D29" i="75"/>
  <c r="L31" i="4"/>
  <c r="O31" i="4"/>
  <c r="O32" i="4"/>
  <c r="L79" i="4"/>
  <c r="O79" i="4"/>
  <c r="O80" i="4"/>
  <c r="D28" i="7"/>
  <c r="L153" i="95"/>
  <c r="L76" i="95"/>
  <c r="L196" i="95"/>
  <c r="L112" i="95"/>
  <c r="L40" i="95"/>
  <c r="D40" i="96"/>
  <c r="K44" i="96"/>
  <c r="L8" i="4"/>
  <c r="O8" i="4"/>
  <c r="L56" i="4"/>
  <c r="O56" i="4"/>
  <c r="O73" i="4"/>
  <c r="D18" i="7"/>
  <c r="D14" i="7"/>
  <c r="D20" i="7"/>
  <c r="I71" i="98"/>
  <c r="I29" i="98"/>
  <c r="D14" i="75"/>
  <c r="D41" i="78"/>
  <c r="D36" i="8"/>
  <c r="K62" i="98"/>
  <c r="M62" i="98"/>
  <c r="K20" i="98"/>
  <c r="M20" i="98"/>
  <c r="K63" i="98"/>
  <c r="M63" i="98"/>
  <c r="K21" i="98"/>
  <c r="M21" i="98"/>
  <c r="N130" i="95"/>
  <c r="L173" i="95"/>
  <c r="N173" i="95"/>
  <c r="L72" i="94"/>
  <c r="N72" i="94"/>
  <c r="N73" i="94"/>
  <c r="L111" i="94"/>
  <c r="N111" i="94"/>
  <c r="N112" i="94"/>
  <c r="L31" i="94"/>
  <c r="N31" i="94"/>
  <c r="N32" i="94"/>
  <c r="K72" i="75"/>
  <c r="M72" i="75"/>
  <c r="K111" i="75"/>
  <c r="M111" i="75"/>
  <c r="K31" i="75"/>
  <c r="M31" i="75"/>
  <c r="O25" i="4"/>
  <c r="O27" i="4"/>
  <c r="O28" i="4"/>
  <c r="O40" i="4"/>
  <c r="O34" i="91"/>
  <c r="F74" i="22"/>
  <c r="F75" i="22"/>
  <c r="F80" i="22"/>
  <c r="D77" i="8"/>
  <c r="L113" i="8"/>
  <c r="L71" i="8"/>
  <c r="L32" i="8"/>
  <c r="M32" i="8"/>
  <c r="V24" i="18"/>
  <c r="D34" i="75"/>
  <c r="D33" i="7"/>
  <c r="D33" i="22"/>
  <c r="AB24" i="18"/>
  <c r="D30" i="23"/>
  <c r="M72" i="23"/>
  <c r="P24" i="18"/>
  <c r="L73" i="22"/>
  <c r="L74" i="22"/>
  <c r="L79" i="22"/>
  <c r="M27" i="20"/>
  <c r="M28" i="20"/>
  <c r="M35" i="20"/>
  <c r="M38" i="20"/>
  <c r="E84" i="22"/>
  <c r="F84" i="22"/>
  <c r="K34" i="22"/>
  <c r="L34" i="22"/>
  <c r="K83" i="22"/>
  <c r="K109" i="7"/>
  <c r="M109" i="7"/>
  <c r="D17" i="8"/>
  <c r="K66" i="7"/>
  <c r="M66" i="7"/>
  <c r="K20" i="7"/>
  <c r="M20" i="7"/>
  <c r="D19" i="80"/>
  <c r="D21" i="7"/>
  <c r="K29" i="7"/>
  <c r="M29" i="7"/>
  <c r="M31" i="7"/>
  <c r="K75" i="7"/>
  <c r="M75" i="7"/>
  <c r="M77" i="7"/>
  <c r="K118" i="7"/>
  <c r="M118" i="7"/>
  <c r="M120" i="7"/>
  <c r="N14" i="18"/>
  <c r="P14" i="18"/>
  <c r="T14" i="18"/>
  <c r="V14" i="18"/>
  <c r="Z14" i="18"/>
  <c r="AB14" i="18"/>
  <c r="C59" i="18"/>
  <c r="M25" i="79"/>
  <c r="D60" i="8"/>
  <c r="D14" i="8"/>
  <c r="D16" i="8"/>
  <c r="D62" i="8"/>
  <c r="D13" i="8"/>
  <c r="N15" i="18"/>
  <c r="P15" i="18"/>
  <c r="C60" i="18"/>
  <c r="Z15" i="18"/>
  <c r="AB15" i="18"/>
  <c r="T15" i="18"/>
  <c r="V15" i="18"/>
  <c r="Z15" i="73"/>
  <c r="AB15" i="73"/>
  <c r="T15" i="73"/>
  <c r="V15" i="73"/>
  <c r="C60" i="73"/>
  <c r="N15" i="73"/>
  <c r="P15" i="73"/>
  <c r="K14" i="7"/>
  <c r="M14" i="7"/>
  <c r="M22" i="7"/>
  <c r="K103" i="7"/>
  <c r="M103" i="7"/>
  <c r="M111" i="7"/>
  <c r="K60" i="7"/>
  <c r="M60" i="7"/>
  <c r="M68" i="7"/>
  <c r="L24" i="22"/>
  <c r="L25" i="22"/>
  <c r="D17" i="80"/>
  <c r="K64" i="7"/>
  <c r="M64" i="7"/>
  <c r="K107" i="7"/>
  <c r="M107" i="7"/>
  <c r="K18" i="7"/>
  <c r="M18" i="7"/>
  <c r="D33" i="80"/>
  <c r="L35" i="7"/>
  <c r="M35" i="7"/>
  <c r="L123" i="7"/>
  <c r="L80" i="7"/>
  <c r="V67" i="18"/>
  <c r="V68" i="18"/>
  <c r="P67" i="18"/>
  <c r="P68" i="18"/>
  <c r="AB67" i="18"/>
  <c r="AB68" i="18"/>
  <c r="K55" i="23"/>
  <c r="M55" i="23"/>
  <c r="M65" i="23"/>
  <c r="K13" i="23"/>
  <c r="M13" i="23"/>
  <c r="M23" i="23"/>
  <c r="N14" i="73"/>
  <c r="P14" i="73"/>
  <c r="Z14" i="73"/>
  <c r="AB14" i="73"/>
  <c r="AB18" i="73"/>
  <c r="C59" i="73"/>
  <c r="T14" i="73"/>
  <c r="V14" i="73"/>
  <c r="D14" i="78"/>
  <c r="D13" i="78"/>
  <c r="D16" i="78"/>
  <c r="K125" i="78"/>
  <c r="L74" i="23"/>
  <c r="L32" i="23"/>
  <c r="M32" i="23"/>
  <c r="L143" i="78"/>
  <c r="M143" i="78"/>
  <c r="L33" i="78"/>
  <c r="M33" i="78"/>
  <c r="L70" i="78"/>
  <c r="M70" i="78"/>
  <c r="L106" i="78"/>
  <c r="M106" i="78"/>
  <c r="L186" i="78"/>
  <c r="M186" i="78"/>
  <c r="P67" i="73"/>
  <c r="AB67" i="73"/>
  <c r="V67" i="73"/>
  <c r="O75" i="4"/>
  <c r="O76" i="4"/>
  <c r="O85" i="4"/>
  <c r="O89" i="4"/>
  <c r="K30" i="75"/>
  <c r="M30" i="75"/>
  <c r="M32" i="75"/>
  <c r="K110" i="75"/>
  <c r="M110" i="75"/>
  <c r="M112" i="75"/>
  <c r="K71" i="75"/>
  <c r="M71" i="75"/>
  <c r="M73" i="75"/>
  <c r="F72" i="80"/>
  <c r="F82" i="80"/>
  <c r="F71" i="80"/>
  <c r="K56" i="75"/>
  <c r="M56" i="75"/>
  <c r="M65" i="75"/>
  <c r="K94" i="75"/>
  <c r="M94" i="75"/>
  <c r="M103" i="75"/>
  <c r="K14" i="75"/>
  <c r="M14" i="75"/>
  <c r="M23" i="75"/>
  <c r="L78" i="75"/>
  <c r="M78" i="75"/>
  <c r="L37" i="75"/>
  <c r="M37" i="75"/>
  <c r="L117" i="75"/>
  <c r="M117" i="75"/>
  <c r="J13" i="80"/>
  <c r="L13" i="80"/>
  <c r="L21" i="80"/>
  <c r="K61" i="80"/>
  <c r="M61" i="80"/>
  <c r="M69" i="80"/>
  <c r="V24" i="73"/>
  <c r="P24" i="73"/>
  <c r="AB24" i="73"/>
  <c r="M20" i="97"/>
  <c r="M70" i="97"/>
  <c r="O41" i="4"/>
  <c r="O42" i="4"/>
  <c r="P18" i="18"/>
  <c r="N18" i="18"/>
  <c r="P18" i="73"/>
  <c r="O90" i="4"/>
  <c r="O92" i="4"/>
  <c r="O93" i="4"/>
  <c r="O94" i="4"/>
  <c r="O95" i="4"/>
  <c r="L30" i="22"/>
  <c r="F87" i="80"/>
  <c r="F89" i="80"/>
  <c r="F91" i="80"/>
  <c r="F94" i="80"/>
  <c r="F96" i="80"/>
  <c r="G95" i="80"/>
  <c r="F84" i="80"/>
  <c r="M74" i="23"/>
  <c r="L75" i="23"/>
  <c r="N58" i="73"/>
  <c r="P58" i="73"/>
  <c r="Z58" i="73"/>
  <c r="AB58" i="73"/>
  <c r="T58" i="73"/>
  <c r="V58" i="73"/>
  <c r="M80" i="7"/>
  <c r="L81" i="7"/>
  <c r="Z59" i="73"/>
  <c r="AB59" i="73"/>
  <c r="N59" i="73"/>
  <c r="P59" i="73"/>
  <c r="T59" i="73"/>
  <c r="V59" i="73"/>
  <c r="D151" i="8"/>
  <c r="G151" i="8"/>
  <c r="D19" i="20"/>
  <c r="K19" i="20"/>
  <c r="M19" i="20"/>
  <c r="D111" i="8"/>
  <c r="G111" i="8"/>
  <c r="V18" i="18"/>
  <c r="M113" i="8"/>
  <c r="M114" i="8"/>
  <c r="L114" i="8"/>
  <c r="AB30" i="73"/>
  <c r="Z18" i="73"/>
  <c r="AB21" i="73"/>
  <c r="AB22" i="73"/>
  <c r="AB27" i="73"/>
  <c r="M33" i="75"/>
  <c r="M26" i="75"/>
  <c r="M27" i="75"/>
  <c r="K51" i="78"/>
  <c r="M51" i="78"/>
  <c r="M58" i="78"/>
  <c r="K87" i="78"/>
  <c r="M87" i="78"/>
  <c r="M94" i="78"/>
  <c r="K13" i="78"/>
  <c r="M13" i="78"/>
  <c r="M20" i="78"/>
  <c r="K122" i="78"/>
  <c r="N18" i="73"/>
  <c r="P30" i="73"/>
  <c r="P21" i="73"/>
  <c r="P22" i="73"/>
  <c r="P27" i="73"/>
  <c r="K14" i="8"/>
  <c r="M14" i="8"/>
  <c r="K98" i="8"/>
  <c r="M98" i="8"/>
  <c r="K56" i="8"/>
  <c r="M56" i="8"/>
  <c r="D147" i="8"/>
  <c r="G147" i="8"/>
  <c r="M40" i="20"/>
  <c r="M42" i="20"/>
  <c r="M44" i="20"/>
  <c r="M46" i="20"/>
  <c r="M49" i="20"/>
  <c r="N48" i="20"/>
  <c r="M37" i="20"/>
  <c r="L32" i="22"/>
  <c r="F82" i="22"/>
  <c r="F85" i="22"/>
  <c r="F87" i="22"/>
  <c r="L81" i="22"/>
  <c r="M72" i="80"/>
  <c r="M73" i="80"/>
  <c r="M83" i="80"/>
  <c r="M106" i="75"/>
  <c r="M107" i="75"/>
  <c r="M113" i="75"/>
  <c r="M28" i="23"/>
  <c r="M33" i="23"/>
  <c r="M26" i="23"/>
  <c r="M27" i="23"/>
  <c r="K31" i="80"/>
  <c r="L80" i="80"/>
  <c r="E79" i="80"/>
  <c r="M71" i="7"/>
  <c r="M72" i="7"/>
  <c r="M83" i="7"/>
  <c r="D109" i="8"/>
  <c r="G109" i="8"/>
  <c r="D149" i="8"/>
  <c r="G149" i="8"/>
  <c r="M79" i="7"/>
  <c r="M81" i="7"/>
  <c r="D35" i="78"/>
  <c r="D32" i="20"/>
  <c r="M30" i="20"/>
  <c r="M33" i="20"/>
  <c r="M34" i="7"/>
  <c r="M36" i="7"/>
  <c r="D32" i="80"/>
  <c r="D33" i="79"/>
  <c r="M32" i="79"/>
  <c r="M122" i="7"/>
  <c r="D30" i="8"/>
  <c r="K17" i="8"/>
  <c r="M17" i="8"/>
  <c r="K101" i="8"/>
  <c r="M101" i="8"/>
  <c r="D18" i="8"/>
  <c r="D64" i="8"/>
  <c r="K59" i="8"/>
  <c r="M59" i="8"/>
  <c r="D22" i="20"/>
  <c r="L37" i="80"/>
  <c r="L23" i="80"/>
  <c r="L24" i="80"/>
  <c r="L34" i="80"/>
  <c r="M68" i="23"/>
  <c r="M69" i="23"/>
  <c r="M70" i="23"/>
  <c r="M75" i="23"/>
  <c r="M114" i="7"/>
  <c r="M115" i="7"/>
  <c r="M126" i="7"/>
  <c r="M115" i="75"/>
  <c r="M35" i="75"/>
  <c r="M76" i="75"/>
  <c r="M74" i="75"/>
  <c r="M79" i="75"/>
  <c r="M67" i="75"/>
  <c r="M68" i="75"/>
  <c r="M26" i="7"/>
  <c r="M38" i="7"/>
  <c r="M42" i="7"/>
  <c r="M25" i="7"/>
  <c r="T58" i="18"/>
  <c r="V58" i="18"/>
  <c r="Z58" i="18"/>
  <c r="AB58" i="18"/>
  <c r="N58" i="18"/>
  <c r="P58" i="18"/>
  <c r="M30" i="79"/>
  <c r="M28" i="79"/>
  <c r="M29" i="79"/>
  <c r="K21" i="7"/>
  <c r="M21" i="7"/>
  <c r="K67" i="7"/>
  <c r="M67" i="7"/>
  <c r="K110" i="7"/>
  <c r="M110" i="7"/>
  <c r="L83" i="22"/>
  <c r="L84" i="22"/>
  <c r="L86" i="22"/>
  <c r="K84" i="22"/>
  <c r="M125" i="78"/>
  <c r="K168" i="78"/>
  <c r="M168" i="78"/>
  <c r="K58" i="8"/>
  <c r="M58" i="8"/>
  <c r="K16" i="8"/>
  <c r="M16" i="8"/>
  <c r="K100" i="8"/>
  <c r="M100" i="8"/>
  <c r="D21" i="20"/>
  <c r="K21" i="20"/>
  <c r="M21" i="20"/>
  <c r="Z57" i="18"/>
  <c r="AB57" i="18"/>
  <c r="N57" i="18"/>
  <c r="P57" i="18"/>
  <c r="T57" i="18"/>
  <c r="V57" i="18"/>
  <c r="D20" i="80"/>
  <c r="J19" i="80"/>
  <c r="L19" i="80"/>
  <c r="K67" i="80"/>
  <c r="M67" i="80"/>
  <c r="D66" i="80"/>
  <c r="F66" i="80"/>
  <c r="L124" i="7"/>
  <c r="M123" i="7"/>
  <c r="E125" i="8"/>
  <c r="E165" i="8"/>
  <c r="V18" i="73"/>
  <c r="K65" i="80"/>
  <c r="M65" i="80"/>
  <c r="J17" i="80"/>
  <c r="L17" i="80"/>
  <c r="D64" i="80"/>
  <c r="F64" i="80"/>
  <c r="K97" i="8"/>
  <c r="M97" i="8"/>
  <c r="K13" i="8"/>
  <c r="M13" i="8"/>
  <c r="K55" i="8"/>
  <c r="M55" i="8"/>
  <c r="D146" i="8"/>
  <c r="G146" i="8"/>
  <c r="D57" i="8"/>
  <c r="D106" i="8"/>
  <c r="G106" i="8"/>
  <c r="G115" i="8"/>
  <c r="AB18" i="18"/>
  <c r="L72" i="8"/>
  <c r="M71" i="8"/>
  <c r="M72" i="8"/>
  <c r="O44" i="4"/>
  <c r="O45" i="4"/>
  <c r="O46" i="4"/>
  <c r="O47" i="4"/>
  <c r="O49" i="4"/>
  <c r="P21" i="18"/>
  <c r="P22" i="18"/>
  <c r="P27" i="18"/>
  <c r="P30" i="18"/>
  <c r="P62" i="73"/>
  <c r="K64" i="98"/>
  <c r="K22" i="98"/>
  <c r="E5" i="85"/>
  <c r="L5" i="85"/>
  <c r="M5" i="85"/>
  <c r="J3" i="69"/>
  <c r="J9" i="69"/>
  <c r="M38" i="75"/>
  <c r="M40" i="75"/>
  <c r="M41" i="75"/>
  <c r="M42" i="75"/>
  <c r="M44" i="75"/>
  <c r="M45" i="75"/>
  <c r="M48" i="75"/>
  <c r="G155" i="8"/>
  <c r="G157" i="8"/>
  <c r="M81" i="75"/>
  <c r="M82" i="75"/>
  <c r="M83" i="75"/>
  <c r="M84" i="75"/>
  <c r="M85" i="75"/>
  <c r="M88" i="75"/>
  <c r="V62" i="73"/>
  <c r="L35" i="22"/>
  <c r="L37" i="22"/>
  <c r="L39" i="22"/>
  <c r="L40" i="22"/>
  <c r="L42" i="22"/>
  <c r="L45" i="22"/>
  <c r="E26" i="85"/>
  <c r="V61" i="18"/>
  <c r="V74" i="18"/>
  <c r="M35" i="79"/>
  <c r="M37" i="79"/>
  <c r="L88" i="22"/>
  <c r="L91" i="22"/>
  <c r="L93" i="22"/>
  <c r="L97" i="22"/>
  <c r="P29" i="18"/>
  <c r="P32" i="18"/>
  <c r="P34" i="18"/>
  <c r="P36" i="18"/>
  <c r="P38" i="18"/>
  <c r="P41" i="18"/>
  <c r="E6" i="85"/>
  <c r="O97" i="4"/>
  <c r="R3" i="69"/>
  <c r="AB29" i="73"/>
  <c r="AB32" i="73"/>
  <c r="AB34" i="73"/>
  <c r="AB37" i="73"/>
  <c r="F89" i="22"/>
  <c r="F92" i="22"/>
  <c r="F94" i="22"/>
  <c r="F98" i="22"/>
  <c r="M130" i="7"/>
  <c r="M131" i="7"/>
  <c r="M133" i="7"/>
  <c r="M136" i="7"/>
  <c r="M128" i="7"/>
  <c r="M79" i="80"/>
  <c r="L30" i="80"/>
  <c r="F78" i="80"/>
  <c r="M80" i="80"/>
  <c r="L81" i="80"/>
  <c r="M122" i="78"/>
  <c r="M131" i="78"/>
  <c r="K165" i="78"/>
  <c r="M165" i="78"/>
  <c r="M174" i="78"/>
  <c r="T18" i="18"/>
  <c r="V30" i="18"/>
  <c r="V21" i="18"/>
  <c r="V22" i="18"/>
  <c r="V27" i="18"/>
  <c r="K32" i="80"/>
  <c r="L31" i="80"/>
  <c r="L48" i="22"/>
  <c r="M48" i="22"/>
  <c r="G165" i="8"/>
  <c r="E166" i="8"/>
  <c r="J20" i="80"/>
  <c r="L20" i="80"/>
  <c r="D67" i="80"/>
  <c r="F67" i="80"/>
  <c r="K68" i="80"/>
  <c r="M68" i="80"/>
  <c r="M77" i="23"/>
  <c r="M79" i="23"/>
  <c r="M82" i="23"/>
  <c r="M84" i="23"/>
  <c r="M90" i="23"/>
  <c r="K18" i="8"/>
  <c r="M18" i="8"/>
  <c r="M19" i="8"/>
  <c r="K102" i="8"/>
  <c r="M102" i="8"/>
  <c r="M103" i="8"/>
  <c r="K60" i="8"/>
  <c r="M60" i="8"/>
  <c r="M35" i="23"/>
  <c r="M96" i="78"/>
  <c r="M97" i="78"/>
  <c r="M102" i="78"/>
  <c r="AB62" i="73"/>
  <c r="D113" i="8"/>
  <c r="G113" i="8"/>
  <c r="D153" i="8"/>
  <c r="G153" i="8"/>
  <c r="D65" i="8"/>
  <c r="M141" i="78"/>
  <c r="M104" i="78"/>
  <c r="M68" i="78"/>
  <c r="M31" i="78"/>
  <c r="M184" i="78"/>
  <c r="M85" i="80"/>
  <c r="M88" i="80"/>
  <c r="M90" i="80"/>
  <c r="M92" i="80"/>
  <c r="M95" i="80"/>
  <c r="M97" i="80"/>
  <c r="N96" i="80"/>
  <c r="M23" i="78"/>
  <c r="M24" i="78"/>
  <c r="M29" i="78"/>
  <c r="V64" i="73"/>
  <c r="V65" i="73"/>
  <c r="V66" i="73"/>
  <c r="G125" i="8"/>
  <c r="E126" i="8"/>
  <c r="M43" i="7"/>
  <c r="M45" i="7"/>
  <c r="M47" i="7"/>
  <c r="M50" i="7"/>
  <c r="M41" i="7"/>
  <c r="M30" i="8"/>
  <c r="M33" i="8"/>
  <c r="D76" i="8"/>
  <c r="M66" i="78"/>
  <c r="M60" i="78"/>
  <c r="M61" i="78"/>
  <c r="P66" i="73"/>
  <c r="P64" i="73"/>
  <c r="P65" i="73"/>
  <c r="P69" i="73"/>
  <c r="M61" i="8"/>
  <c r="P61" i="18"/>
  <c r="L38" i="80"/>
  <c r="L40" i="80"/>
  <c r="L42" i="80"/>
  <c r="L45" i="80"/>
  <c r="L47" i="80"/>
  <c r="M47" i="80"/>
  <c r="L36" i="80"/>
  <c r="M124" i="7"/>
  <c r="P29" i="73"/>
  <c r="P32" i="73"/>
  <c r="P34" i="73"/>
  <c r="P37" i="73"/>
  <c r="AB61" i="18"/>
  <c r="M118" i="75"/>
  <c r="M119" i="75"/>
  <c r="M120" i="75"/>
  <c r="M121" i="75"/>
  <c r="M122" i="75"/>
  <c r="M123" i="75"/>
  <c r="H5" i="85"/>
  <c r="AB30" i="18"/>
  <c r="Z18" i="18"/>
  <c r="AB21" i="18"/>
  <c r="AB22" i="18"/>
  <c r="AB27" i="18"/>
  <c r="M87" i="7"/>
  <c r="M88" i="7"/>
  <c r="M90" i="7"/>
  <c r="M93" i="7"/>
  <c r="M85" i="7"/>
  <c r="G131" i="8"/>
  <c r="G117" i="8"/>
  <c r="G118" i="8"/>
  <c r="G128" i="8"/>
  <c r="T18" i="73"/>
  <c r="V21" i="73"/>
  <c r="V22" i="73"/>
  <c r="V27" i="73"/>
  <c r="V30" i="73"/>
  <c r="K22" i="20"/>
  <c r="M22" i="20"/>
  <c r="D23" i="20"/>
  <c r="K23" i="20"/>
  <c r="M23" i="20"/>
  <c r="E80" i="80"/>
  <c r="F79" i="80"/>
  <c r="J22" i="69"/>
  <c r="J28" i="69"/>
  <c r="J7" i="69"/>
  <c r="J25" i="69"/>
  <c r="J46" i="69"/>
  <c r="J34" i="69"/>
  <c r="J45" i="69"/>
  <c r="J31" i="69"/>
  <c r="J41" i="69"/>
  <c r="J38" i="69"/>
  <c r="J40" i="69"/>
  <c r="J17" i="69"/>
  <c r="V69" i="73"/>
  <c r="G171" i="8"/>
  <c r="I5" i="85"/>
  <c r="L2" i="85"/>
  <c r="G158" i="8"/>
  <c r="G168" i="8"/>
  <c r="E18" i="85"/>
  <c r="J44" i="69"/>
  <c r="J42" i="69"/>
  <c r="J47" i="69"/>
  <c r="J4" i="69"/>
  <c r="J14" i="69"/>
  <c r="J12" i="69"/>
  <c r="J37" i="69"/>
  <c r="J33" i="69"/>
  <c r="E17" i="85"/>
  <c r="J29" i="69"/>
  <c r="J27" i="69"/>
  <c r="J35" i="69"/>
  <c r="J11" i="69"/>
  <c r="J21" i="69"/>
  <c r="J36" i="69"/>
  <c r="J23" i="69"/>
  <c r="J24" i="69"/>
  <c r="M47" i="75"/>
  <c r="J26" i="69"/>
  <c r="J19" i="69"/>
  <c r="J15" i="69"/>
  <c r="M39" i="79"/>
  <c r="M42" i="79"/>
  <c r="M44" i="79"/>
  <c r="M48" i="79"/>
  <c r="V64" i="18"/>
  <c r="V65" i="18"/>
  <c r="V70" i="18"/>
  <c r="M34" i="78"/>
  <c r="M36" i="78"/>
  <c r="M38" i="78"/>
  <c r="M39" i="78"/>
  <c r="M40" i="78"/>
  <c r="M42" i="78"/>
  <c r="M87" i="75"/>
  <c r="M71" i="78"/>
  <c r="M72" i="78"/>
  <c r="M73" i="78"/>
  <c r="M74" i="78"/>
  <c r="M75" i="78"/>
  <c r="M76" i="78"/>
  <c r="G132" i="8"/>
  <c r="G134" i="8"/>
  <c r="G136" i="8"/>
  <c r="G139" i="8"/>
  <c r="G130" i="8"/>
  <c r="V32" i="18"/>
  <c r="V34" i="18"/>
  <c r="V36" i="18"/>
  <c r="V38" i="18"/>
  <c r="V41" i="18"/>
  <c r="V29" i="18"/>
  <c r="M126" i="75"/>
  <c r="E19" i="85"/>
  <c r="M125" i="75"/>
  <c r="AB32" i="18"/>
  <c r="AB34" i="18"/>
  <c r="AB36" i="18"/>
  <c r="AB38" i="18"/>
  <c r="AB41" i="18"/>
  <c r="AB29" i="18"/>
  <c r="V70" i="73"/>
  <c r="V71" i="73"/>
  <c r="V72" i="73"/>
  <c r="V73" i="73"/>
  <c r="M22" i="8"/>
  <c r="M23" i="8"/>
  <c r="M35" i="8"/>
  <c r="M38" i="8"/>
  <c r="V29" i="73"/>
  <c r="V32" i="73"/>
  <c r="V34" i="73"/>
  <c r="V37" i="73"/>
  <c r="P40" i="73"/>
  <c r="P41" i="73"/>
  <c r="E9" i="85"/>
  <c r="Z21" i="69"/>
  <c r="T31" i="69"/>
  <c r="E27" i="85"/>
  <c r="F100" i="22"/>
  <c r="G99" i="22"/>
  <c r="R25" i="69"/>
  <c r="U25" i="69"/>
  <c r="R9" i="69"/>
  <c r="U9" i="69"/>
  <c r="R47" i="69"/>
  <c r="U47" i="69"/>
  <c r="R24" i="69"/>
  <c r="U24" i="69"/>
  <c r="R44" i="69"/>
  <c r="R11" i="69"/>
  <c r="R23" i="69"/>
  <c r="R17" i="69"/>
  <c r="R26" i="69"/>
  <c r="R14" i="69"/>
  <c r="R4" i="69"/>
  <c r="R38" i="69"/>
  <c r="R33" i="69"/>
  <c r="R42" i="69"/>
  <c r="R35" i="69"/>
  <c r="R37" i="69"/>
  <c r="R12" i="69"/>
  <c r="R21" i="69"/>
  <c r="R40" i="69"/>
  <c r="R27" i="69"/>
  <c r="U27" i="69"/>
  <c r="R41" i="69"/>
  <c r="R22" i="69"/>
  <c r="U22" i="69"/>
  <c r="R15" i="69"/>
  <c r="R28" i="69"/>
  <c r="R19" i="69"/>
  <c r="R36" i="69"/>
  <c r="R31" i="69"/>
  <c r="R34" i="69"/>
  <c r="U34" i="69"/>
  <c r="R46" i="69"/>
  <c r="U46" i="69"/>
  <c r="R45" i="69"/>
  <c r="R29" i="69"/>
  <c r="R7" i="69"/>
  <c r="P74" i="18"/>
  <c r="P65" i="18"/>
  <c r="P70" i="18"/>
  <c r="P64" i="18"/>
  <c r="S5" i="85"/>
  <c r="U5" i="85"/>
  <c r="O5" i="85"/>
  <c r="V76" i="18"/>
  <c r="V78" i="18"/>
  <c r="V80" i="18"/>
  <c r="V83" i="18"/>
  <c r="V86" i="18"/>
  <c r="V87" i="18"/>
  <c r="V73" i="18"/>
  <c r="Z24" i="69"/>
  <c r="M92" i="23"/>
  <c r="N92" i="23"/>
  <c r="E30" i="85"/>
  <c r="M176" i="78"/>
  <c r="M177" i="78"/>
  <c r="M182" i="78"/>
  <c r="M187" i="78"/>
  <c r="M139" i="78"/>
  <c r="M144" i="78"/>
  <c r="M133" i="78"/>
  <c r="M134" i="78"/>
  <c r="D154" i="8"/>
  <c r="G154" i="8"/>
  <c r="D114" i="8"/>
  <c r="G114" i="8"/>
  <c r="M77" i="8"/>
  <c r="M63" i="8"/>
  <c r="M64" i="8"/>
  <c r="M74" i="8"/>
  <c r="M105" i="8"/>
  <c r="M106" i="8"/>
  <c r="M116" i="8"/>
  <c r="M119" i="8"/>
  <c r="Z13" i="69"/>
  <c r="M138" i="7"/>
  <c r="F10" i="85"/>
  <c r="F9" i="85"/>
  <c r="G9" i="85"/>
  <c r="I6" i="85"/>
  <c r="H6" i="85"/>
  <c r="L6" i="85"/>
  <c r="M6" i="85"/>
  <c r="F11" i="85"/>
  <c r="I26" i="85"/>
  <c r="H26" i="85"/>
  <c r="L26" i="85"/>
  <c r="M26" i="85"/>
  <c r="P70" i="73"/>
  <c r="P71" i="73"/>
  <c r="P72" i="73"/>
  <c r="P73" i="73"/>
  <c r="F80" i="80"/>
  <c r="E11" i="85"/>
  <c r="AB41" i="73"/>
  <c r="AB40" i="73"/>
  <c r="M37" i="23"/>
  <c r="M39" i="23"/>
  <c r="M41" i="23"/>
  <c r="M43" i="23"/>
  <c r="M47" i="23"/>
  <c r="AB74" i="18"/>
  <c r="AB64" i="18"/>
  <c r="AB65" i="18"/>
  <c r="AB70" i="18"/>
  <c r="Z11" i="69"/>
  <c r="M53" i="7"/>
  <c r="AB66" i="73"/>
  <c r="AB64" i="73"/>
  <c r="AB65" i="73"/>
  <c r="L32" i="80"/>
  <c r="Z12" i="69"/>
  <c r="M95" i="7"/>
  <c r="G164" i="8"/>
  <c r="G166" i="8"/>
  <c r="G124" i="8"/>
  <c r="G126" i="8"/>
  <c r="G173" i="8"/>
  <c r="G175" i="8"/>
  <c r="G177" i="8"/>
  <c r="G180" i="8"/>
  <c r="G170" i="8"/>
  <c r="M107" i="78"/>
  <c r="M108" i="78"/>
  <c r="M81" i="80"/>
  <c r="Z22" i="69"/>
  <c r="L99" i="22"/>
  <c r="M96" i="22"/>
  <c r="E28" i="85"/>
  <c r="U17" i="69"/>
  <c r="U15" i="69"/>
  <c r="U21" i="69"/>
  <c r="U12" i="69"/>
  <c r="U23" i="69"/>
  <c r="U29" i="69"/>
  <c r="L18" i="85"/>
  <c r="M18" i="85"/>
  <c r="I18" i="85"/>
  <c r="H18" i="85"/>
  <c r="U26" i="69"/>
  <c r="U19" i="69"/>
  <c r="U35" i="69"/>
  <c r="U11" i="69"/>
  <c r="H17" i="85"/>
  <c r="L17" i="85"/>
  <c r="M17" i="85"/>
  <c r="O17" i="85"/>
  <c r="I17" i="85"/>
  <c r="E25" i="85"/>
  <c r="I25" i="85"/>
  <c r="M51" i="79"/>
  <c r="N48" i="79"/>
  <c r="M146" i="78"/>
  <c r="M189" i="78"/>
  <c r="M191" i="78"/>
  <c r="M79" i="78"/>
  <c r="N77" i="78"/>
  <c r="E21" i="85"/>
  <c r="E10" i="85"/>
  <c r="G10" i="85"/>
  <c r="V41" i="73"/>
  <c r="V40" i="73"/>
  <c r="M121" i="8"/>
  <c r="M123" i="8"/>
  <c r="M125" i="8"/>
  <c r="M129" i="8"/>
  <c r="M118" i="8"/>
  <c r="M79" i="8"/>
  <c r="M81" i="8"/>
  <c r="M83" i="8"/>
  <c r="M87" i="8"/>
  <c r="M76" i="8"/>
  <c r="M44" i="78"/>
  <c r="N44" i="78"/>
  <c r="E20" i="85"/>
  <c r="E14" i="85"/>
  <c r="V75" i="73"/>
  <c r="V76" i="73"/>
  <c r="E13" i="85"/>
  <c r="P75" i="73"/>
  <c r="P76" i="73"/>
  <c r="T5" i="69"/>
  <c r="U4" i="69"/>
  <c r="U48" i="69"/>
  <c r="T33" i="69"/>
  <c r="U33" i="69"/>
  <c r="T36" i="69"/>
  <c r="U36" i="69"/>
  <c r="T41" i="69"/>
  <c r="U41" i="69"/>
  <c r="L27" i="85"/>
  <c r="M27" i="85"/>
  <c r="H27" i="85"/>
  <c r="I27" i="85"/>
  <c r="G11" i="85"/>
  <c r="L19" i="85"/>
  <c r="M19" i="85"/>
  <c r="H19" i="85"/>
  <c r="I19" i="85"/>
  <c r="S6" i="85"/>
  <c r="U6" i="85"/>
  <c r="O6" i="85"/>
  <c r="I30" i="85"/>
  <c r="H30" i="85"/>
  <c r="U31" i="69"/>
  <c r="H9" i="85"/>
  <c r="I9" i="85"/>
  <c r="L9" i="85"/>
  <c r="M148" i="78"/>
  <c r="M150" i="78"/>
  <c r="M152" i="78"/>
  <c r="M155" i="78"/>
  <c r="P76" i="18"/>
  <c r="P78" i="18"/>
  <c r="P80" i="18"/>
  <c r="P83" i="18"/>
  <c r="P86" i="18"/>
  <c r="P87" i="18"/>
  <c r="P73" i="18"/>
  <c r="M37" i="8"/>
  <c r="M39" i="8"/>
  <c r="M42" i="8"/>
  <c r="M44" i="8"/>
  <c r="M47" i="8"/>
  <c r="I11" i="85"/>
  <c r="H11" i="85"/>
  <c r="L11" i="85"/>
  <c r="M11" i="85"/>
  <c r="G182" i="8"/>
  <c r="H177" i="8"/>
  <c r="Z18" i="69"/>
  <c r="E29" i="85"/>
  <c r="Z23" i="69"/>
  <c r="M49" i="23"/>
  <c r="N47" i="23"/>
  <c r="H28" i="85"/>
  <c r="L28" i="85"/>
  <c r="M28" i="85"/>
  <c r="I28" i="85"/>
  <c r="AB69" i="73"/>
  <c r="AB76" i="18"/>
  <c r="AB78" i="18"/>
  <c r="AB80" i="18"/>
  <c r="AB83" i="18"/>
  <c r="AB86" i="18"/>
  <c r="AB87" i="18"/>
  <c r="AB73" i="18"/>
  <c r="M109" i="78"/>
  <c r="M110" i="78"/>
  <c r="M111" i="78"/>
  <c r="M112" i="78"/>
  <c r="T40" i="69"/>
  <c r="U40" i="69"/>
  <c r="T7" i="69"/>
  <c r="U7" i="69"/>
  <c r="O26" i="85"/>
  <c r="S26" i="85"/>
  <c r="U26" i="85"/>
  <c r="G141" i="8"/>
  <c r="H136" i="8"/>
  <c r="Z17" i="69"/>
  <c r="T38" i="69"/>
  <c r="U38" i="69"/>
  <c r="H25" i="85"/>
  <c r="S17" i="85"/>
  <c r="U17" i="85"/>
  <c r="O18" i="85"/>
  <c r="S18" i="85"/>
  <c r="U18" i="85"/>
  <c r="M193" i="78"/>
  <c r="M195" i="78"/>
  <c r="M197" i="78"/>
  <c r="M200" i="78"/>
  <c r="N200" i="78"/>
  <c r="M114" i="78"/>
  <c r="N114" i="78"/>
  <c r="E22" i="85"/>
  <c r="O27" i="85"/>
  <c r="S27" i="85"/>
  <c r="U27" i="85"/>
  <c r="L13" i="85"/>
  <c r="M13" i="85"/>
  <c r="I13" i="85"/>
  <c r="H13" i="85"/>
  <c r="M89" i="8"/>
  <c r="N89" i="8"/>
  <c r="Z15" i="69"/>
  <c r="M158" i="78"/>
  <c r="N158" i="78"/>
  <c r="E23" i="85"/>
  <c r="L14" i="85"/>
  <c r="M14" i="85"/>
  <c r="I14" i="85"/>
  <c r="H14" i="85"/>
  <c r="M131" i="8"/>
  <c r="N131" i="8"/>
  <c r="Z16" i="69"/>
  <c r="T44" i="69"/>
  <c r="U44" i="69"/>
  <c r="E24" i="85"/>
  <c r="Z14" i="69"/>
  <c r="M49" i="8"/>
  <c r="N49" i="8"/>
  <c r="M9" i="85"/>
  <c r="O11" i="85"/>
  <c r="S11" i="85"/>
  <c r="U11" i="85"/>
  <c r="I29" i="85"/>
  <c r="H29" i="85"/>
  <c r="X61" i="69"/>
  <c r="W64" i="69"/>
  <c r="V64" i="69"/>
  <c r="V68" i="69"/>
  <c r="F52" i="69"/>
  <c r="F61" i="69"/>
  <c r="L20" i="85"/>
  <c r="M20" i="85"/>
  <c r="H20" i="85"/>
  <c r="I20" i="85"/>
  <c r="L10" i="85"/>
  <c r="M10" i="85"/>
  <c r="H10" i="85"/>
  <c r="I10" i="85"/>
  <c r="O28" i="85"/>
  <c r="S28" i="85"/>
  <c r="U28" i="85"/>
  <c r="H21" i="85"/>
  <c r="L21" i="85"/>
  <c r="M21" i="85"/>
  <c r="I21" i="85"/>
  <c r="AB70" i="73"/>
  <c r="AB71" i="73"/>
  <c r="AB72" i="73"/>
  <c r="AB73" i="73"/>
  <c r="O19" i="85"/>
  <c r="S19" i="85"/>
  <c r="U19" i="85"/>
  <c r="E15" i="85"/>
  <c r="AB75" i="73"/>
  <c r="AB76" i="73"/>
  <c r="V69" i="69"/>
  <c r="V73" i="69"/>
  <c r="V77" i="69"/>
  <c r="O9" i="85"/>
  <c r="S9" i="85"/>
  <c r="O13" i="85"/>
  <c r="S13" i="85"/>
  <c r="U13" i="85"/>
  <c r="S14" i="85"/>
  <c r="U14" i="85"/>
  <c r="O14" i="85"/>
  <c r="O20" i="85"/>
  <c r="S20" i="85"/>
  <c r="U20" i="85"/>
  <c r="W81" i="69"/>
  <c r="X81" i="69"/>
  <c r="Y81" i="69"/>
  <c r="S67" i="69"/>
  <c r="X73" i="69"/>
  <c r="O10" i="85"/>
  <c r="S10" i="85"/>
  <c r="U10" i="85"/>
  <c r="T42" i="69"/>
  <c r="U42" i="69"/>
  <c r="T28" i="69"/>
  <c r="U28" i="69"/>
  <c r="T14" i="69"/>
  <c r="U14" i="69"/>
  <c r="I23" i="85"/>
  <c r="H23" i="85"/>
  <c r="I69" i="69"/>
  <c r="I61" i="69"/>
  <c r="F67" i="69"/>
  <c r="I22" i="85"/>
  <c r="H22" i="85"/>
  <c r="L22" i="85"/>
  <c r="M22" i="85"/>
  <c r="O21" i="85"/>
  <c r="S21" i="85"/>
  <c r="U21" i="85"/>
  <c r="L24" i="85"/>
  <c r="M24" i="85"/>
  <c r="H24" i="85"/>
  <c r="I24" i="85"/>
  <c r="T45" i="69"/>
  <c r="U45" i="69"/>
  <c r="T37" i="69"/>
  <c r="U37" i="69"/>
  <c r="U9" i="85"/>
  <c r="O22" i="85"/>
  <c r="S22" i="85"/>
  <c r="U22" i="85"/>
  <c r="S24" i="85"/>
  <c r="U24" i="85"/>
  <c r="O24" i="85"/>
  <c r="F72" i="69"/>
  <c r="F73" i="69"/>
  <c r="F77" i="69"/>
  <c r="F82" i="69"/>
  <c r="D83" i="69"/>
  <c r="H67" i="69"/>
  <c r="I15" i="85"/>
  <c r="H15" i="85"/>
  <c r="L15" i="85"/>
  <c r="M15" i="85"/>
  <c r="L31" i="85"/>
  <c r="B79" i="69"/>
  <c r="B80" i="69"/>
  <c r="L34" i="85"/>
  <c r="O31" i="85"/>
  <c r="S15" i="85"/>
  <c r="O15" i="85"/>
  <c r="M31" i="85"/>
  <c r="M34" i="85"/>
  <c r="M38" i="85"/>
  <c r="U15" i="85"/>
  <c r="S31" i="85"/>
  <c r="U31" i="85"/>
  <c r="O34" i="85"/>
  <c r="O38" i="85"/>
  <c r="L38" i="85"/>
  <c r="R31" i="113" l="1"/>
  <c r="X31" i="113" s="1"/>
  <c r="Y31" i="113" s="1"/>
  <c r="Q16" i="113"/>
  <c r="S16" i="113" s="1"/>
  <c r="D14" i="97"/>
  <c r="K14" i="97" s="1"/>
  <c r="M14" i="97" s="1"/>
  <c r="E18" i="91"/>
  <c r="D14" i="95"/>
  <c r="K19" i="113"/>
  <c r="M19" i="113" s="1"/>
  <c r="L169" i="95"/>
  <c r="N169" i="95" s="1"/>
  <c r="N126" i="95"/>
  <c r="L62" i="91"/>
  <c r="O62" i="91" s="1"/>
  <c r="L15" i="91"/>
  <c r="O15" i="91" s="1"/>
  <c r="K18" i="113"/>
  <c r="D29" i="113"/>
  <c r="D17" i="94"/>
  <c r="E19" i="91"/>
  <c r="B5" i="87"/>
  <c r="D5" i="87" s="1"/>
  <c r="D7" i="87" s="1"/>
  <c r="D20" i="94"/>
  <c r="D21" i="95"/>
  <c r="C49" i="108"/>
  <c r="D20" i="95"/>
  <c r="E22" i="91"/>
  <c r="E25" i="91"/>
  <c r="E24" i="91"/>
  <c r="C48" i="108"/>
  <c r="K56" i="98"/>
  <c r="M56" i="98" s="1"/>
  <c r="D64" i="97"/>
  <c r="G64" i="97" s="1"/>
  <c r="D15" i="94"/>
  <c r="D13" i="96"/>
  <c r="K13" i="96" s="1"/>
  <c r="M13" i="96" s="1"/>
  <c r="D17" i="96"/>
  <c r="K17" i="96" s="1"/>
  <c r="M17" i="96" s="1"/>
  <c r="D13" i="97"/>
  <c r="D13" i="98"/>
  <c r="L9" i="91"/>
  <c r="O9" i="91" s="1"/>
  <c r="E13" i="91"/>
  <c r="D17" i="95"/>
  <c r="K17" i="113"/>
  <c r="K64" i="97"/>
  <c r="M64" i="97" s="1"/>
  <c r="D14" i="96"/>
  <c r="K14" i="96" s="1"/>
  <c r="M14" i="96" s="1"/>
  <c r="L53" i="95"/>
  <c r="N53" i="95" s="1"/>
  <c r="D18" i="95"/>
  <c r="D19" i="96"/>
  <c r="K19" i="96" s="1"/>
  <c r="M19" i="96" s="1"/>
  <c r="L89" i="95"/>
  <c r="N89" i="95" s="1"/>
  <c r="Q19" i="113"/>
  <c r="R33" i="113"/>
  <c r="S33" i="113" s="1"/>
  <c r="S31" i="113"/>
  <c r="R30" i="113"/>
  <c r="R29" i="113"/>
  <c r="S29" i="113" s="1"/>
  <c r="R32" i="113"/>
  <c r="R28" i="113"/>
  <c r="X29" i="113"/>
  <c r="Y29" i="113" s="1"/>
  <c r="S21" i="113"/>
  <c r="W21" i="113"/>
  <c r="Y21" i="113" s="1"/>
  <c r="D50" i="98"/>
  <c r="L64" i="98" s="1"/>
  <c r="C50" i="98"/>
  <c r="L22" i="98" s="1"/>
  <c r="D53" i="97"/>
  <c r="E71" i="97" s="1"/>
  <c r="C53" i="97"/>
  <c r="L21" i="97" s="1"/>
  <c r="L22" i="97" s="1"/>
  <c r="E53" i="97"/>
  <c r="L71" i="97" s="1"/>
  <c r="I63" i="97"/>
  <c r="B45" i="97"/>
  <c r="B13" i="98"/>
  <c r="I13" i="97"/>
  <c r="B63" i="97"/>
  <c r="D20" i="97"/>
  <c r="K24" i="97"/>
  <c r="L25" i="96"/>
  <c r="M132" i="95"/>
  <c r="M103" i="94"/>
  <c r="M23" i="94"/>
  <c r="M65" i="94"/>
  <c r="S77" i="92"/>
  <c r="AI81" i="92"/>
  <c r="S76" i="92"/>
  <c r="O29" i="92"/>
  <c r="Q29" i="92" s="1"/>
  <c r="D36" i="94"/>
  <c r="M77" i="94" s="1"/>
  <c r="N77" i="94" s="1"/>
  <c r="U29" i="92"/>
  <c r="W29" i="92" s="1"/>
  <c r="O17" i="92"/>
  <c r="Q17" i="92" s="1"/>
  <c r="AA29" i="92"/>
  <c r="AC29" i="92" s="1"/>
  <c r="D35" i="96"/>
  <c r="K33" i="96" s="1"/>
  <c r="M33" i="96" s="1"/>
  <c r="AA17" i="92"/>
  <c r="AC17" i="92" s="1"/>
  <c r="U17" i="92"/>
  <c r="W17" i="92" s="1"/>
  <c r="C80" i="92"/>
  <c r="W77" i="92" s="1"/>
  <c r="Y77" i="92" s="1"/>
  <c r="W81" i="92"/>
  <c r="C60" i="92"/>
  <c r="AC66" i="92" s="1"/>
  <c r="AE66" i="92" s="1"/>
  <c r="B24" i="92"/>
  <c r="S66" i="92"/>
  <c r="D37" i="95"/>
  <c r="M143" i="95" s="1"/>
  <c r="N143" i="95" s="1"/>
  <c r="M3" i="106"/>
  <c r="M5" i="106" s="1"/>
  <c r="P22" i="92"/>
  <c r="I3" i="106"/>
  <c r="I6" i="106" s="1"/>
  <c r="O25" i="92"/>
  <c r="C78" i="92"/>
  <c r="W73" i="92" s="1"/>
  <c r="AI73" i="92" s="1"/>
  <c r="AA25" i="92"/>
  <c r="AI77" i="92"/>
  <c r="AK77" i="92" s="1"/>
  <c r="AA67" i="92"/>
  <c r="AB22" i="92"/>
  <c r="H60" i="92"/>
  <c r="W20" i="92"/>
  <c r="O33" i="92"/>
  <c r="U18" i="92"/>
  <c r="W18" i="92" s="1"/>
  <c r="D8" i="92"/>
  <c r="D9" i="92" s="1"/>
  <c r="V22" i="92"/>
  <c r="C61" i="92"/>
  <c r="AI67" i="92" s="1"/>
  <c r="AK67" i="92" s="1"/>
  <c r="B71" i="92"/>
  <c r="AG2" i="106"/>
  <c r="AG6" i="106" s="1"/>
  <c r="Q20" i="92"/>
  <c r="AC20" i="92"/>
  <c r="AA33" i="92"/>
  <c r="E3" i="106"/>
  <c r="E6" i="106" s="1"/>
  <c r="D34" i="94"/>
  <c r="M35" i="94" s="1"/>
  <c r="O18" i="92"/>
  <c r="Q18" i="92" s="1"/>
  <c r="D30" i="98"/>
  <c r="L72" i="98" s="1"/>
  <c r="M72" i="98" s="1"/>
  <c r="U33" i="92"/>
  <c r="AI79" i="92"/>
  <c r="W79" i="92"/>
  <c r="AC79" i="92"/>
  <c r="AA28" i="92"/>
  <c r="AC28" i="92" s="1"/>
  <c r="W28" i="92"/>
  <c r="AC76" i="92"/>
  <c r="AE76" i="92" s="1"/>
  <c r="Y76" i="92"/>
  <c r="AI76" i="92"/>
  <c r="AK76" i="92" s="1"/>
  <c r="AA68" i="92"/>
  <c r="AG68" i="92"/>
  <c r="M36" i="94"/>
  <c r="N36" i="94" s="1"/>
  <c r="L31" i="98"/>
  <c r="M31" i="98" s="1"/>
  <c r="Y19" i="92"/>
  <c r="AG67" i="92"/>
  <c r="C63" i="92"/>
  <c r="W69" i="92" s="1"/>
  <c r="Y69" i="92" s="1"/>
  <c r="Q28" i="92"/>
  <c r="L94" i="94"/>
  <c r="N94" i="94" s="1"/>
  <c r="S19" i="92"/>
  <c r="X71" i="92"/>
  <c r="AD71" i="92"/>
  <c r="AJ71" i="92"/>
  <c r="W3" i="106"/>
  <c r="W4" i="106" s="1"/>
  <c r="S2" i="106"/>
  <c r="S4" i="106" s="1"/>
  <c r="AE3" i="106"/>
  <c r="AE4" i="106" s="1"/>
  <c r="L14" i="94"/>
  <c r="N14" i="94" s="1"/>
  <c r="AK3" i="106"/>
  <c r="AK5" i="106" s="1"/>
  <c r="D33" i="97"/>
  <c r="L32" i="97" s="1"/>
  <c r="M32" i="97" s="1"/>
  <c r="L123" i="95"/>
  <c r="L88" i="95"/>
  <c r="N88" i="95" s="1"/>
  <c r="L52" i="95"/>
  <c r="N52" i="95" s="1"/>
  <c r="L13" i="95"/>
  <c r="N13" i="95" s="1"/>
  <c r="L56" i="94"/>
  <c r="N56" i="94" s="1"/>
  <c r="M76" i="94"/>
  <c r="N35" i="94"/>
  <c r="D35" i="97"/>
  <c r="AO3" i="106"/>
  <c r="AO6" i="106" s="1"/>
  <c r="Y3" i="106"/>
  <c r="Y5" i="106" s="1"/>
  <c r="AC3" i="106"/>
  <c r="AC4" i="106" s="1"/>
  <c r="AA2" i="106"/>
  <c r="AA6" i="106" s="1"/>
  <c r="G3" i="106"/>
  <c r="G5" i="106" s="1"/>
  <c r="U3" i="106"/>
  <c r="U4" i="106" s="1"/>
  <c r="K3" i="106"/>
  <c r="K6" i="106" s="1"/>
  <c r="Q3" i="106"/>
  <c r="Q4" i="106" s="1"/>
  <c r="AQ2" i="106"/>
  <c r="AQ4" i="106" s="1"/>
  <c r="O2" i="106"/>
  <c r="O6" i="106" s="1"/>
  <c r="Q6" i="106"/>
  <c r="W16" i="113" l="1"/>
  <c r="Y16" i="113" s="1"/>
  <c r="X33" i="113"/>
  <c r="Y33" i="113" s="1"/>
  <c r="I4" i="106"/>
  <c r="I5" i="106"/>
  <c r="D16" i="97"/>
  <c r="L60" i="91"/>
  <c r="O60" i="91" s="1"/>
  <c r="L13" i="91"/>
  <c r="O13" i="91" s="1"/>
  <c r="L124" i="95"/>
  <c r="L14" i="95"/>
  <c r="N14" i="95" s="1"/>
  <c r="E27" i="91"/>
  <c r="L64" i="91"/>
  <c r="O64" i="91" s="1"/>
  <c r="C16" i="92"/>
  <c r="L17" i="91"/>
  <c r="O17" i="91" s="1"/>
  <c r="L61" i="91"/>
  <c r="O61" i="91" s="1"/>
  <c r="L14" i="91"/>
  <c r="O14" i="91" s="1"/>
  <c r="L17" i="95"/>
  <c r="N17" i="95" s="1"/>
  <c r="D21" i="96"/>
  <c r="K21" i="96" s="1"/>
  <c r="M21" i="96" s="1"/>
  <c r="L16" i="95"/>
  <c r="N16" i="95" s="1"/>
  <c r="L91" i="95"/>
  <c r="N91" i="95" s="1"/>
  <c r="L55" i="95"/>
  <c r="N55" i="95" s="1"/>
  <c r="L59" i="94"/>
  <c r="N59" i="94" s="1"/>
  <c r="L97" i="94"/>
  <c r="N97" i="94" s="1"/>
  <c r="L17" i="94"/>
  <c r="N17" i="94" s="1"/>
  <c r="M17" i="113"/>
  <c r="Q17" i="113"/>
  <c r="L95" i="94"/>
  <c r="N95" i="94" s="1"/>
  <c r="L57" i="94"/>
  <c r="N57" i="94" s="1"/>
  <c r="L15" i="94"/>
  <c r="N15" i="94" s="1"/>
  <c r="W19" i="113"/>
  <c r="Y19" i="113" s="1"/>
  <c r="S19" i="113"/>
  <c r="D16" i="98"/>
  <c r="L127" i="95"/>
  <c r="D19" i="98"/>
  <c r="L56" i="95"/>
  <c r="N56" i="95" s="1"/>
  <c r="L129" i="95"/>
  <c r="L92" i="95"/>
  <c r="N92" i="95" s="1"/>
  <c r="D22" i="96"/>
  <c r="Q18" i="113"/>
  <c r="M18" i="113"/>
  <c r="L55" i="91"/>
  <c r="O55" i="91" s="1"/>
  <c r="L8" i="91"/>
  <c r="O8" i="91" s="1"/>
  <c r="L20" i="94"/>
  <c r="N20" i="94" s="1"/>
  <c r="L62" i="94"/>
  <c r="N62" i="94" s="1"/>
  <c r="L100" i="94"/>
  <c r="N100" i="94" s="1"/>
  <c r="D10" i="87"/>
  <c r="D16" i="87" s="1"/>
  <c r="D9" i="87"/>
  <c r="D17" i="98"/>
  <c r="L128" i="95"/>
  <c r="K55" i="98"/>
  <c r="M55" i="98" s="1"/>
  <c r="K13" i="98"/>
  <c r="M13" i="98" s="1"/>
  <c r="L66" i="91"/>
  <c r="O66" i="91" s="1"/>
  <c r="L19" i="91"/>
  <c r="O19" i="91" s="1"/>
  <c r="D63" i="97"/>
  <c r="G63" i="97" s="1"/>
  <c r="K13" i="97"/>
  <c r="M13" i="97" s="1"/>
  <c r="K63" i="97"/>
  <c r="M63" i="97" s="1"/>
  <c r="L20" i="91"/>
  <c r="O20" i="91" s="1"/>
  <c r="L67" i="91"/>
  <c r="O67" i="91" s="1"/>
  <c r="AG4" i="106"/>
  <c r="AG5" i="106"/>
  <c r="X30" i="113"/>
  <c r="Y30" i="113" s="1"/>
  <c r="S30" i="113"/>
  <c r="S28" i="113"/>
  <c r="X28" i="113"/>
  <c r="Y28" i="113" s="1"/>
  <c r="S32" i="113"/>
  <c r="X32" i="113"/>
  <c r="Y32" i="113" s="1"/>
  <c r="L23" i="98"/>
  <c r="M22" i="98"/>
  <c r="M64" i="98"/>
  <c r="L65" i="98"/>
  <c r="L72" i="97"/>
  <c r="E72" i="97"/>
  <c r="U6" i="106"/>
  <c r="I55" i="98"/>
  <c r="I13" i="98"/>
  <c r="B41" i="98"/>
  <c r="M6" i="106"/>
  <c r="AE6" i="106"/>
  <c r="AE5" i="106"/>
  <c r="E4" i="106"/>
  <c r="AK4" i="106"/>
  <c r="AK6" i="106"/>
  <c r="E5" i="106"/>
  <c r="AQ5" i="106"/>
  <c r="AQ6" i="106"/>
  <c r="Y6" i="106"/>
  <c r="L30" i="98"/>
  <c r="M32" i="95"/>
  <c r="N32" i="95" s="1"/>
  <c r="M106" i="95"/>
  <c r="N106" i="95" s="1"/>
  <c r="M70" i="95"/>
  <c r="N70" i="95" s="1"/>
  <c r="W66" i="92"/>
  <c r="Y66" i="92" s="1"/>
  <c r="AC77" i="92"/>
  <c r="AE77" i="92" s="1"/>
  <c r="AC73" i="92"/>
  <c r="M116" i="94"/>
  <c r="N116" i="94" s="1"/>
  <c r="Q5" i="106"/>
  <c r="AO5" i="106"/>
  <c r="AI66" i="92"/>
  <c r="AK66" i="92" s="1"/>
  <c r="M4" i="106"/>
  <c r="W5" i="106"/>
  <c r="W6" i="106"/>
  <c r="O5" i="106"/>
  <c r="D33" i="94" s="1"/>
  <c r="D31" i="96" s="1"/>
  <c r="K31" i="96" s="1"/>
  <c r="M31" i="96" s="1"/>
  <c r="D35" i="95"/>
  <c r="M31" i="95" s="1"/>
  <c r="N31" i="95" s="1"/>
  <c r="D33" i="96"/>
  <c r="K32" i="96" s="1"/>
  <c r="M32" i="96" s="1"/>
  <c r="AO4" i="106"/>
  <c r="G4" i="106"/>
  <c r="E83" i="97"/>
  <c r="G83" i="97" s="1"/>
  <c r="O4" i="106"/>
  <c r="L83" i="97"/>
  <c r="M83" i="97" s="1"/>
  <c r="AC67" i="92"/>
  <c r="AE67" i="92" s="1"/>
  <c r="W67" i="92"/>
  <c r="Y4" i="106"/>
  <c r="AC69" i="92"/>
  <c r="AE69" i="92" s="1"/>
  <c r="AI69" i="92"/>
  <c r="AK69" i="92" s="1"/>
  <c r="M69" i="95"/>
  <c r="M105" i="95" s="1"/>
  <c r="U5" i="106"/>
  <c r="S6" i="106"/>
  <c r="S5" i="106"/>
  <c r="G6" i="106"/>
  <c r="L166" i="95"/>
  <c r="N166" i="95" s="1"/>
  <c r="N123" i="95"/>
  <c r="K4" i="106"/>
  <c r="L84" i="97"/>
  <c r="M84" i="97" s="1"/>
  <c r="E84" i="97"/>
  <c r="G84" i="97" s="1"/>
  <c r="L33" i="97"/>
  <c r="M33" i="97" s="1"/>
  <c r="M115" i="94"/>
  <c r="N115" i="94" s="1"/>
  <c r="N76" i="94"/>
  <c r="AC5" i="106"/>
  <c r="AA5" i="106"/>
  <c r="AA4" i="106"/>
  <c r="AC6" i="106"/>
  <c r="K5" i="106"/>
  <c r="D35" i="94"/>
  <c r="E43" i="91"/>
  <c r="O72" i="91" l="1"/>
  <c r="K16" i="97"/>
  <c r="M16" i="97" s="1"/>
  <c r="K66" i="97"/>
  <c r="M66" i="97" s="1"/>
  <c r="D66" i="97"/>
  <c r="G66" i="97" s="1"/>
  <c r="K22" i="113"/>
  <c r="M22" i="113" s="1"/>
  <c r="M23" i="113" s="1"/>
  <c r="M24" i="113" s="1"/>
  <c r="M25" i="113" s="1"/>
  <c r="M34" i="113" s="1"/>
  <c r="M35" i="113" s="1"/>
  <c r="N124" i="95"/>
  <c r="L167" i="95"/>
  <c r="N167" i="95" s="1"/>
  <c r="D18" i="87"/>
  <c r="D20" i="87" s="1"/>
  <c r="D19" i="97"/>
  <c r="K22" i="96"/>
  <c r="M22" i="96" s="1"/>
  <c r="N129" i="95"/>
  <c r="L172" i="95"/>
  <c r="N172" i="95" s="1"/>
  <c r="L171" i="95"/>
  <c r="N171" i="95" s="1"/>
  <c r="N128" i="95"/>
  <c r="K59" i="98"/>
  <c r="M59" i="98" s="1"/>
  <c r="K17" i="98"/>
  <c r="M17" i="98" s="1"/>
  <c r="K19" i="98"/>
  <c r="M19" i="98" s="1"/>
  <c r="K61" i="98"/>
  <c r="M61" i="98" s="1"/>
  <c r="S17" i="113"/>
  <c r="W17" i="113"/>
  <c r="Y17" i="113" s="1"/>
  <c r="O19" i="92"/>
  <c r="C62" i="92"/>
  <c r="O74" i="91"/>
  <c r="O75" i="91" s="1"/>
  <c r="L170" i="95"/>
  <c r="N170" i="95" s="1"/>
  <c r="N127" i="95"/>
  <c r="Y67" i="92"/>
  <c r="Q67" i="92"/>
  <c r="S67" i="92" s="1"/>
  <c r="K58" i="98"/>
  <c r="M58" i="98" s="1"/>
  <c r="K16" i="98"/>
  <c r="M16" i="98" s="1"/>
  <c r="L22" i="91"/>
  <c r="O22" i="91" s="1"/>
  <c r="O25" i="91" s="1"/>
  <c r="D22" i="94"/>
  <c r="C18" i="92"/>
  <c r="W18" i="113"/>
  <c r="Y18" i="113" s="1"/>
  <c r="S18" i="113"/>
  <c r="D34" i="95"/>
  <c r="M104" i="95" s="1"/>
  <c r="N104" i="95" s="1"/>
  <c r="M75" i="94"/>
  <c r="N75" i="94" s="1"/>
  <c r="M34" i="94"/>
  <c r="N34" i="94" s="1"/>
  <c r="M114" i="94"/>
  <c r="N114" i="94" s="1"/>
  <c r="D32" i="97"/>
  <c r="D29" i="98" s="1"/>
  <c r="N69" i="95"/>
  <c r="N105" i="95"/>
  <c r="M142" i="95"/>
  <c r="D31" i="98"/>
  <c r="D34" i="96"/>
  <c r="K34" i="96" s="1"/>
  <c r="M34" i="96" s="1"/>
  <c r="M35" i="96" s="1"/>
  <c r="D36" i="95"/>
  <c r="M85" i="91"/>
  <c r="O85" i="91" s="1"/>
  <c r="O87" i="91" s="1"/>
  <c r="M37" i="91"/>
  <c r="O37" i="91" s="1"/>
  <c r="O39" i="91" s="1"/>
  <c r="M78" i="94"/>
  <c r="N78" i="94" s="1"/>
  <c r="D34" i="97"/>
  <c r="M117" i="94"/>
  <c r="N117" i="94" s="1"/>
  <c r="M37" i="94"/>
  <c r="N37" i="94" s="1"/>
  <c r="M23" i="98" l="1"/>
  <c r="M26" i="98" s="1"/>
  <c r="M27" i="98" s="1"/>
  <c r="M36" i="113"/>
  <c r="M65" i="98"/>
  <c r="M68" i="98" s="1"/>
  <c r="M69" i="98" s="1"/>
  <c r="W22" i="113"/>
  <c r="Y22" i="113" s="1"/>
  <c r="Y23" i="113" s="1"/>
  <c r="Y24" i="113" s="1"/>
  <c r="Y25" i="113" s="1"/>
  <c r="Y34" i="113" s="1"/>
  <c r="Y36" i="113" s="1"/>
  <c r="D22" i="87"/>
  <c r="D24" i="87" s="1"/>
  <c r="D26" i="87" s="1"/>
  <c r="Q22" i="113"/>
  <c r="S22" i="113" s="1"/>
  <c r="S23" i="113"/>
  <c r="S24" i="113" s="1"/>
  <c r="S25" i="113" s="1"/>
  <c r="S34" i="113" s="1"/>
  <c r="S35" i="113" s="1"/>
  <c r="D69" i="97"/>
  <c r="G69" i="97" s="1"/>
  <c r="K69" i="97"/>
  <c r="M69" i="97" s="1"/>
  <c r="K19" i="97"/>
  <c r="M19" i="97" s="1"/>
  <c r="O88" i="91"/>
  <c r="O90" i="91" s="1"/>
  <c r="O91" i="91" s="1"/>
  <c r="O92" i="91" s="1"/>
  <c r="O93" i="91" s="1"/>
  <c r="C64" i="92"/>
  <c r="W70" i="92" s="1"/>
  <c r="O21" i="92"/>
  <c r="Q21" i="92" s="1"/>
  <c r="AA21" i="92"/>
  <c r="AC21" i="92" s="1"/>
  <c r="U21" i="92"/>
  <c r="W21" i="92" s="1"/>
  <c r="L64" i="94"/>
  <c r="N64" i="94" s="1"/>
  <c r="N65" i="94" s="1"/>
  <c r="N67" i="94" s="1"/>
  <c r="N68" i="94" s="1"/>
  <c r="L22" i="94"/>
  <c r="N22" i="94" s="1"/>
  <c r="N23" i="94" s="1"/>
  <c r="N26" i="94" s="1"/>
  <c r="N27" i="94" s="1"/>
  <c r="D23" i="95"/>
  <c r="L102" i="94"/>
  <c r="N102" i="94" s="1"/>
  <c r="N103" i="94" s="1"/>
  <c r="N106" i="94" s="1"/>
  <c r="N107" i="94" s="1"/>
  <c r="O27" i="91"/>
  <c r="O28" i="91" s="1"/>
  <c r="O40" i="91" s="1"/>
  <c r="O43" i="91" s="1"/>
  <c r="O44" i="91" s="1"/>
  <c r="O45" i="91" s="1"/>
  <c r="O46" i="91" s="1"/>
  <c r="W68" i="92"/>
  <c r="AC68" i="92"/>
  <c r="AE68" i="92" s="1"/>
  <c r="AI68" i="92"/>
  <c r="AK68" i="92" s="1"/>
  <c r="Q19" i="92"/>
  <c r="U19" i="92"/>
  <c r="W19" i="92" s="1"/>
  <c r="AA19" i="92"/>
  <c r="AC19" i="92" s="1"/>
  <c r="M37" i="113"/>
  <c r="M38" i="113" s="1"/>
  <c r="M68" i="95"/>
  <c r="N68" i="95" s="1"/>
  <c r="M30" i="95"/>
  <c r="N30" i="95" s="1"/>
  <c r="M141" i="95"/>
  <c r="N141" i="95" s="1"/>
  <c r="L31" i="97"/>
  <c r="M31" i="97" s="1"/>
  <c r="N38" i="94"/>
  <c r="E82" i="97"/>
  <c r="G82" i="97" s="1"/>
  <c r="N118" i="94"/>
  <c r="N79" i="94"/>
  <c r="N81" i="94" s="1"/>
  <c r="N82" i="94" s="1"/>
  <c r="N83" i="94" s="1"/>
  <c r="N84" i="94" s="1"/>
  <c r="N85" i="94" s="1"/>
  <c r="M185" i="95"/>
  <c r="N185" i="95" s="1"/>
  <c r="N142" i="95"/>
  <c r="L85" i="97"/>
  <c r="E85" i="97"/>
  <c r="G85" i="97" s="1"/>
  <c r="L34" i="97"/>
  <c r="M34" i="97" s="1"/>
  <c r="L29" i="98"/>
  <c r="M29" i="98" s="1"/>
  <c r="L71" i="98"/>
  <c r="M71" i="98" s="1"/>
  <c r="M33" i="95"/>
  <c r="N33" i="95" s="1"/>
  <c r="M71" i="95"/>
  <c r="N71" i="95" s="1"/>
  <c r="M187" i="95"/>
  <c r="N187" i="95" s="1"/>
  <c r="M107" i="95"/>
  <c r="N107" i="95" s="1"/>
  <c r="N108" i="95" s="1"/>
  <c r="M144" i="95"/>
  <c r="N144" i="95" s="1"/>
  <c r="L74" i="98"/>
  <c r="L32" i="98"/>
  <c r="M32" i="98" s="1"/>
  <c r="Y35" i="113" l="1"/>
  <c r="S36" i="113"/>
  <c r="AC22" i="92"/>
  <c r="AC25" i="92" s="1"/>
  <c r="AC26" i="92" s="1"/>
  <c r="AC31" i="92" s="1"/>
  <c r="AC33" i="92" s="1"/>
  <c r="AC36" i="92" s="1"/>
  <c r="AC38" i="92" s="1"/>
  <c r="AC41" i="92" s="1"/>
  <c r="AC45" i="92" s="1"/>
  <c r="W22" i="92"/>
  <c r="W25" i="92" s="1"/>
  <c r="W26" i="92" s="1"/>
  <c r="W31" i="92" s="1"/>
  <c r="W33" i="92" s="1"/>
  <c r="W36" i="92" s="1"/>
  <c r="W38" i="92" s="1"/>
  <c r="W41" i="92" s="1"/>
  <c r="Y68" i="92"/>
  <c r="Q68" i="92"/>
  <c r="S68" i="92" s="1"/>
  <c r="Q70" i="92"/>
  <c r="S70" i="92" s="1"/>
  <c r="AC70" i="92"/>
  <c r="AE70" i="92" s="1"/>
  <c r="AE71" i="92" s="1"/>
  <c r="AE73" i="92" s="1"/>
  <c r="AE74" i="92" s="1"/>
  <c r="AE78" i="92" s="1"/>
  <c r="AE79" i="92" s="1"/>
  <c r="AE80" i="92" s="1"/>
  <c r="AE81" i="92" s="1"/>
  <c r="AE82" i="92" s="1"/>
  <c r="Y70" i="92"/>
  <c r="AI70" i="92"/>
  <c r="AK70" i="92" s="1"/>
  <c r="AK71" i="92" s="1"/>
  <c r="AK73" i="92" s="1"/>
  <c r="AK74" i="92" s="1"/>
  <c r="AK78" i="92" s="1"/>
  <c r="AK79" i="92" s="1"/>
  <c r="AK80" i="92" s="1"/>
  <c r="AK81" i="92" s="1"/>
  <c r="AK82" i="92" s="1"/>
  <c r="E28" i="87"/>
  <c r="I37" i="104"/>
  <c r="N119" i="94"/>
  <c r="N120" i="94" s="1"/>
  <c r="N121" i="94" s="1"/>
  <c r="N122" i="94" s="1"/>
  <c r="N123" i="94" s="1"/>
  <c r="E19" i="99" s="1"/>
  <c r="Q22" i="92"/>
  <c r="Q25" i="92" s="1"/>
  <c r="Q26" i="92" s="1"/>
  <c r="Q31" i="92" s="1"/>
  <c r="Q33" i="92" s="1"/>
  <c r="Q36" i="92" s="1"/>
  <c r="Q38" i="92" s="1"/>
  <c r="Q41" i="92" s="1"/>
  <c r="L58" i="95"/>
  <c r="N58" i="95" s="1"/>
  <c r="N59" i="95" s="1"/>
  <c r="N61" i="95" s="1"/>
  <c r="N62" i="95" s="1"/>
  <c r="D24" i="96"/>
  <c r="L19" i="95"/>
  <c r="N19" i="95" s="1"/>
  <c r="N20" i="95" s="1"/>
  <c r="N23" i="95" s="1"/>
  <c r="N24" i="95" s="1"/>
  <c r="L131" i="95"/>
  <c r="L94" i="95"/>
  <c r="N94" i="95" s="1"/>
  <c r="N95" i="95" s="1"/>
  <c r="W44" i="92"/>
  <c r="E10" i="99"/>
  <c r="W45" i="92"/>
  <c r="I10" i="104"/>
  <c r="N40" i="94"/>
  <c r="N41" i="94" s="1"/>
  <c r="N42" i="94" s="1"/>
  <c r="N44" i="94" s="1"/>
  <c r="N45" i="94" s="1"/>
  <c r="N47" i="94" s="1"/>
  <c r="Y37" i="113"/>
  <c r="Y38" i="113" s="1"/>
  <c r="S37" i="113"/>
  <c r="S38" i="113" s="1"/>
  <c r="M40" i="113"/>
  <c r="M45" i="113"/>
  <c r="I31" i="104"/>
  <c r="J31" i="104" s="1"/>
  <c r="N34" i="95"/>
  <c r="N36" i="95" s="1"/>
  <c r="N38" i="95" s="1"/>
  <c r="N39" i="95" s="1"/>
  <c r="N40" i="95" s="1"/>
  <c r="N42" i="95" s="1"/>
  <c r="N72" i="95"/>
  <c r="N73" i="95" s="1"/>
  <c r="N74" i="95" s="1"/>
  <c r="N75" i="95" s="1"/>
  <c r="N76" i="95" s="1"/>
  <c r="N77" i="95" s="1"/>
  <c r="L82" i="97"/>
  <c r="M82" i="97" s="1"/>
  <c r="M184" i="95"/>
  <c r="N184" i="95" s="1"/>
  <c r="N188" i="95" s="1"/>
  <c r="M35" i="97"/>
  <c r="N145" i="95"/>
  <c r="N88" i="94"/>
  <c r="I18" i="104"/>
  <c r="O18" i="104" s="1"/>
  <c r="E18" i="99"/>
  <c r="N87" i="94"/>
  <c r="M74" i="98"/>
  <c r="M75" i="98" s="1"/>
  <c r="M77" i="98" s="1"/>
  <c r="L75" i="98"/>
  <c r="G86" i="97"/>
  <c r="E5" i="99"/>
  <c r="I5" i="104"/>
  <c r="O48" i="91"/>
  <c r="O95" i="91"/>
  <c r="E6" i="99"/>
  <c r="I6" i="104"/>
  <c r="M33" i="98"/>
  <c r="M35" i="98" s="1"/>
  <c r="M85" i="97"/>
  <c r="L86" i="97"/>
  <c r="I19" i="104" l="1"/>
  <c r="O19" i="104" s="1"/>
  <c r="N125" i="94"/>
  <c r="N126" i="94"/>
  <c r="N48" i="94"/>
  <c r="E17" i="99"/>
  <c r="L17" i="99" s="1"/>
  <c r="M17" i="99" s="1"/>
  <c r="O17" i="99" s="1"/>
  <c r="I17" i="104"/>
  <c r="O17" i="104" s="1"/>
  <c r="E11" i="99"/>
  <c r="AC44" i="92"/>
  <c r="I11" i="104"/>
  <c r="Y71" i="92"/>
  <c r="Y73" i="92" s="1"/>
  <c r="Y74" i="92" s="1"/>
  <c r="Y78" i="92" s="1"/>
  <c r="AK83" i="92"/>
  <c r="AK84" i="92" s="1"/>
  <c r="I15" i="104"/>
  <c r="E15" i="99"/>
  <c r="L174" i="95"/>
  <c r="N174" i="95" s="1"/>
  <c r="N175" i="95" s="1"/>
  <c r="N177" i="95" s="1"/>
  <c r="N178" i="95" s="1"/>
  <c r="N190" i="95" s="1"/>
  <c r="N192" i="95" s="1"/>
  <c r="N194" i="95" s="1"/>
  <c r="N196" i="95" s="1"/>
  <c r="N198" i="95" s="1"/>
  <c r="N131" i="95"/>
  <c r="N132" i="95" s="1"/>
  <c r="N134" i="95" s="1"/>
  <c r="N135" i="95" s="1"/>
  <c r="N147" i="95" s="1"/>
  <c r="N149" i="95" s="1"/>
  <c r="N151" i="95" s="1"/>
  <c r="N153" i="95" s="1"/>
  <c r="N156" i="95" s="1"/>
  <c r="I14" i="104"/>
  <c r="E14" i="99"/>
  <c r="AE83" i="92"/>
  <c r="AE84" i="92" s="1"/>
  <c r="K24" i="96"/>
  <c r="M24" i="96" s="1"/>
  <c r="M25" i="96" s="1"/>
  <c r="M28" i="96" s="1"/>
  <c r="M29" i="96" s="1"/>
  <c r="M37" i="96" s="1"/>
  <c r="M39" i="96" s="1"/>
  <c r="M42" i="96" s="1"/>
  <c r="M44" i="96" s="1"/>
  <c r="M48" i="96" s="1"/>
  <c r="D21" i="97"/>
  <c r="J10" i="104"/>
  <c r="K10" i="104"/>
  <c r="L10" i="104" s="1"/>
  <c r="I9" i="104"/>
  <c r="E9" i="99"/>
  <c r="Q44" i="92"/>
  <c r="Q45" i="92"/>
  <c r="L10" i="99"/>
  <c r="M10" i="99" s="1"/>
  <c r="O10" i="99" s="1"/>
  <c r="H10" i="99"/>
  <c r="I10" i="99"/>
  <c r="S71" i="92"/>
  <c r="S73" i="92" s="1"/>
  <c r="S74" i="92" s="1"/>
  <c r="S78" i="92" s="1"/>
  <c r="S79" i="92" s="1"/>
  <c r="S80" i="92" s="1"/>
  <c r="S81" i="92" s="1"/>
  <c r="S82" i="92" s="1"/>
  <c r="J37" i="104"/>
  <c r="K37" i="104"/>
  <c r="Y79" i="92"/>
  <c r="Y80" i="92"/>
  <c r="Y81" i="92" s="1"/>
  <c r="Y82" i="92" s="1"/>
  <c r="N97" i="95"/>
  <c r="N98" i="95" s="1"/>
  <c r="N109" i="95" s="1"/>
  <c r="N110" i="95" s="1"/>
  <c r="N111" i="95" s="1"/>
  <c r="N112" i="95" s="1"/>
  <c r="N113" i="95" s="1"/>
  <c r="Y40" i="113"/>
  <c r="Y45" i="113"/>
  <c r="I33" i="104"/>
  <c r="J33" i="104" s="1"/>
  <c r="I32" i="104"/>
  <c r="J32" i="104" s="1"/>
  <c r="S40" i="113"/>
  <c r="S45" i="113"/>
  <c r="M86" i="97"/>
  <c r="M79" i="98"/>
  <c r="M82" i="98" s="1"/>
  <c r="M84" i="98" s="1"/>
  <c r="M90" i="98" s="1"/>
  <c r="J6" i="104"/>
  <c r="K6" i="104"/>
  <c r="L6" i="104" s="1"/>
  <c r="J5" i="104"/>
  <c r="K5" i="104"/>
  <c r="L5" i="104" s="1"/>
  <c r="M37" i="98"/>
  <c r="M39" i="98" s="1"/>
  <c r="M41" i="98" s="1"/>
  <c r="M43" i="98" s="1"/>
  <c r="M47" i="98" s="1"/>
  <c r="F9" i="99"/>
  <c r="G9" i="99" s="1"/>
  <c r="H6" i="99"/>
  <c r="I6" i="99"/>
  <c r="F11" i="99"/>
  <c r="G11" i="99" s="1"/>
  <c r="F10" i="99"/>
  <c r="G10" i="99" s="1"/>
  <c r="L5" i="99"/>
  <c r="I5" i="99"/>
  <c r="H5" i="99"/>
  <c r="I19" i="99"/>
  <c r="H19" i="99"/>
  <c r="L19" i="99"/>
  <c r="M19" i="99" s="1"/>
  <c r="O19" i="99" s="1"/>
  <c r="I21" i="104"/>
  <c r="O21" i="104" s="1"/>
  <c r="E21" i="99"/>
  <c r="N80" i="95"/>
  <c r="O78" i="95" s="1"/>
  <c r="J18" i="104"/>
  <c r="K18" i="104"/>
  <c r="L18" i="104" s="1"/>
  <c r="L18" i="99"/>
  <c r="M18" i="99" s="1"/>
  <c r="O18" i="99" s="1"/>
  <c r="I18" i="99"/>
  <c r="H18" i="99"/>
  <c r="I20" i="104"/>
  <c r="O20" i="104" s="1"/>
  <c r="N45" i="95"/>
  <c r="O45" i="95" s="1"/>
  <c r="E20" i="99"/>
  <c r="J19" i="104" l="1"/>
  <c r="K19" i="104"/>
  <c r="L19" i="104" s="1"/>
  <c r="I17" i="99"/>
  <c r="H17" i="99"/>
  <c r="K17" i="104"/>
  <c r="L17" i="104" s="1"/>
  <c r="J17" i="104"/>
  <c r="N115" i="95"/>
  <c r="O115" i="95" s="1"/>
  <c r="E22" i="99"/>
  <c r="L22" i="99" s="1"/>
  <c r="M22" i="99" s="1"/>
  <c r="O22" i="99" s="1"/>
  <c r="J11" i="104"/>
  <c r="K11" i="104"/>
  <c r="L11" i="104" s="1"/>
  <c r="L11" i="99"/>
  <c r="M11" i="99" s="1"/>
  <c r="O11" i="99" s="1"/>
  <c r="H11" i="99"/>
  <c r="I11" i="99"/>
  <c r="I23" i="104"/>
  <c r="K23" i="104" s="1"/>
  <c r="L23" i="104" s="1"/>
  <c r="E23" i="99"/>
  <c r="I23" i="99" s="1"/>
  <c r="N159" i="95"/>
  <c r="O159" i="95" s="1"/>
  <c r="I24" i="104"/>
  <c r="J24" i="104" s="1"/>
  <c r="E24" i="99"/>
  <c r="H24" i="99" s="1"/>
  <c r="N201" i="95"/>
  <c r="O201" i="95" s="1"/>
  <c r="J9" i="104"/>
  <c r="K9" i="104"/>
  <c r="L9" i="104" s="1"/>
  <c r="O14" i="104"/>
  <c r="K14" i="104"/>
  <c r="L14" i="104" s="1"/>
  <c r="J14" i="104"/>
  <c r="I22" i="104"/>
  <c r="J22" i="104" s="1"/>
  <c r="E13" i="99"/>
  <c r="I13" i="104"/>
  <c r="Y83" i="92"/>
  <c r="Y84" i="92" s="1"/>
  <c r="K71" i="97"/>
  <c r="M71" i="97" s="1"/>
  <c r="M72" i="97" s="1"/>
  <c r="M75" i="97" s="1"/>
  <c r="M76" i="97" s="1"/>
  <c r="M88" i="97" s="1"/>
  <c r="M90" i="97" s="1"/>
  <c r="M93" i="97" s="1"/>
  <c r="M95" i="97" s="1"/>
  <c r="M99" i="97" s="1"/>
  <c r="K21" i="97"/>
  <c r="M21" i="97" s="1"/>
  <c r="M22" i="97" s="1"/>
  <c r="M24" i="97" s="1"/>
  <c r="M25" i="97" s="1"/>
  <c r="M37" i="97" s="1"/>
  <c r="M39" i="97" s="1"/>
  <c r="M40" i="97" s="1"/>
  <c r="M42" i="97" s="1"/>
  <c r="M45" i="97" s="1"/>
  <c r="D71" i="97"/>
  <c r="G71" i="97" s="1"/>
  <c r="G72" i="97" s="1"/>
  <c r="G75" i="97" s="1"/>
  <c r="G76" i="97" s="1"/>
  <c r="G88" i="97" s="1"/>
  <c r="G90" i="97" s="1"/>
  <c r="G93" i="97" s="1"/>
  <c r="G95" i="97" s="1"/>
  <c r="G99" i="97" s="1"/>
  <c r="I27" i="104" s="1"/>
  <c r="M50" i="96"/>
  <c r="N48" i="96" s="1"/>
  <c r="I25" i="104"/>
  <c r="E25" i="99"/>
  <c r="L15" i="99"/>
  <c r="M15" i="99" s="1"/>
  <c r="O15" i="99" s="1"/>
  <c r="I15" i="99"/>
  <c r="H15" i="99"/>
  <c r="O15" i="104"/>
  <c r="K15" i="104"/>
  <c r="L15" i="104" s="1"/>
  <c r="J15" i="104"/>
  <c r="L9" i="99"/>
  <c r="M9" i="99" s="1"/>
  <c r="O9" i="99" s="1"/>
  <c r="I9" i="99"/>
  <c r="H9" i="99"/>
  <c r="H14" i="99"/>
  <c r="I14" i="99"/>
  <c r="L14" i="99"/>
  <c r="M14" i="99" s="1"/>
  <c r="O14" i="99" s="1"/>
  <c r="I29" i="104"/>
  <c r="M49" i="98"/>
  <c r="N47" i="98" s="1"/>
  <c r="E29" i="99"/>
  <c r="I30" i="104"/>
  <c r="E30" i="99"/>
  <c r="M92" i="98"/>
  <c r="N92" i="98" s="1"/>
  <c r="J20" i="104"/>
  <c r="K20" i="104"/>
  <c r="L20" i="104" s="1"/>
  <c r="H21" i="99"/>
  <c r="I21" i="99"/>
  <c r="L21" i="99"/>
  <c r="M21" i="99" s="1"/>
  <c r="O21" i="99" s="1"/>
  <c r="L20" i="99"/>
  <c r="M20" i="99" s="1"/>
  <c r="O20" i="99" s="1"/>
  <c r="I20" i="99"/>
  <c r="H20" i="99"/>
  <c r="J21" i="104"/>
  <c r="K21" i="104"/>
  <c r="L21" i="104" s="1"/>
  <c r="M5" i="99"/>
  <c r="I22" i="99"/>
  <c r="H22" i="99" l="1"/>
  <c r="L24" i="99"/>
  <c r="M24" i="99" s="1"/>
  <c r="O24" i="99" s="1"/>
  <c r="K24" i="104"/>
  <c r="L24" i="104" s="1"/>
  <c r="I24" i="99"/>
  <c r="H23" i="99"/>
  <c r="K22" i="104"/>
  <c r="L22" i="104" s="1"/>
  <c r="J23" i="104"/>
  <c r="I28" i="104"/>
  <c r="K28" i="104" s="1"/>
  <c r="L28" i="104" s="1"/>
  <c r="E28" i="99"/>
  <c r="I28" i="99" s="1"/>
  <c r="M101" i="97"/>
  <c r="M102" i="97" s="1"/>
  <c r="E26" i="99"/>
  <c r="I26" i="104"/>
  <c r="M48" i="97"/>
  <c r="M49" i="97" s="1"/>
  <c r="J13" i="104"/>
  <c r="O13" i="104"/>
  <c r="O22" i="104" s="1"/>
  <c r="K13" i="104"/>
  <c r="L13" i="104" s="1"/>
  <c r="G101" i="97"/>
  <c r="G102" i="97" s="1"/>
  <c r="I25" i="99"/>
  <c r="H25" i="99"/>
  <c r="L13" i="99"/>
  <c r="M13" i="99" s="1"/>
  <c r="O13" i="99" s="1"/>
  <c r="I13" i="99"/>
  <c r="H13" i="99"/>
  <c r="J25" i="104"/>
  <c r="K25" i="104"/>
  <c r="L25" i="104" s="1"/>
  <c r="E27" i="99"/>
  <c r="I27" i="99" s="1"/>
  <c r="J27" i="104"/>
  <c r="K27" i="104"/>
  <c r="L27" i="104" s="1"/>
  <c r="O5" i="99"/>
  <c r="J29" i="104"/>
  <c r="K29" i="104"/>
  <c r="L29" i="104" s="1"/>
  <c r="I29" i="99"/>
  <c r="H29" i="99"/>
  <c r="H30" i="99"/>
  <c r="I30" i="99"/>
  <c r="K30" i="104"/>
  <c r="L30" i="104" s="1"/>
  <c r="J30" i="104"/>
  <c r="J28" i="104" l="1"/>
  <c r="H28" i="99"/>
  <c r="L27" i="99"/>
  <c r="M27" i="99" s="1"/>
  <c r="O27" i="99" s="1"/>
  <c r="H27" i="99"/>
  <c r="L28" i="99"/>
  <c r="M28" i="99" s="1"/>
  <c r="O28" i="99" s="1"/>
  <c r="J26" i="104"/>
  <c r="K26" i="104"/>
  <c r="L26" i="104" s="1"/>
  <c r="I26" i="99"/>
  <c r="H26" i="99"/>
  <c r="L26" i="99"/>
  <c r="M26" i="99" s="1"/>
  <c r="O26" i="99" s="1"/>
  <c r="J34" i="104" l="1"/>
  <c r="M31" i="99"/>
  <c r="M34" i="99" s="1"/>
  <c r="K34" i="104"/>
  <c r="L31" i="99"/>
  <c r="O31" i="99" s="1"/>
  <c r="L34" i="99" l="1"/>
  <c r="O34" i="99" s="1"/>
  <c r="L34" i="10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F63" authorId="0" shapeId="0" xr:uid="{00000000-0006-0000-0100-000001000000}">
      <text>
        <r>
          <rPr>
            <b/>
            <sz val="9"/>
            <color indexed="81"/>
            <rFont val="Tahoma"/>
            <family val="2"/>
          </rPr>
          <t>kara:</t>
        </r>
        <r>
          <rPr>
            <sz val="9"/>
            <color indexed="81"/>
            <rFont val="Tahoma"/>
            <family val="2"/>
          </rPr>
          <t xml:space="preserve">
This is actual expeced Contingency funds</t>
        </r>
      </text>
    </comment>
    <comment ref="B75" authorId="0" shapeId="0" xr:uid="{00000000-0006-0000-0100-000002000000}">
      <text>
        <r>
          <rPr>
            <b/>
            <sz val="9"/>
            <color indexed="81"/>
            <rFont val="Tahoma"/>
            <family val="2"/>
          </rPr>
          <t>kara:</t>
        </r>
        <r>
          <rPr>
            <sz val="9"/>
            <color indexed="81"/>
            <rFont val="Tahoma"/>
            <family val="2"/>
          </rPr>
          <t xml:space="preserve">
this is close to the # that Brooke estimates</t>
        </r>
      </text>
    </comment>
    <comment ref="G82" authorId="0" shapeId="0" xr:uid="{00000000-0006-0000-0100-000003000000}">
      <text>
        <r>
          <rPr>
            <b/>
            <sz val="9"/>
            <color indexed="81"/>
            <rFont val="Tahoma"/>
            <family val="2"/>
          </rPr>
          <t>kara:</t>
        </r>
        <r>
          <rPr>
            <sz val="9"/>
            <color indexed="81"/>
            <rFont val="Tahoma"/>
            <family val="2"/>
          </rPr>
          <t xml:space="preserve">
</t>
        </r>
        <r>
          <rPr>
            <sz val="11"/>
            <color indexed="81"/>
            <rFont val="Tahoma"/>
            <family val="2"/>
          </rPr>
          <t>12/6/17
Changes made to Program Functional Manager Salary, Program Director Salary and Asst Prg Director Salary, plus adding in MORS and Staff Training to all models except GLE(b/c they have it in the I-team) and the addition of Food/Meal costs:
The post PH additional increase is $8.9M.
Incorporating the FY18 spend of $284.3 and then subtracting out the different variances and adding in the the two ISA's for MRC and DHC, the ask for coverage is $2M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author>
    <author>Shannon</author>
  </authors>
  <commentList>
    <comment ref="E1" authorId="0" shapeId="0" xr:uid="{00000000-0006-0000-0A00-000001000000}">
      <text>
        <r>
          <rPr>
            <b/>
            <sz val="9"/>
            <color indexed="81"/>
            <rFont val="Tahoma"/>
            <family val="2"/>
          </rPr>
          <t xml:space="preserve">kara:
Median is the Massachusetts 50th percentile salary from the BLS
</t>
        </r>
      </text>
    </comment>
    <comment ref="C30" authorId="1" shapeId="0" xr:uid="{00000000-0006-0000-0A00-000002000000}">
      <text>
        <r>
          <rPr>
            <b/>
            <sz val="9"/>
            <color indexed="81"/>
            <rFont val="Tahoma"/>
            <family val="2"/>
          </rPr>
          <t>Shannon:</t>
        </r>
        <r>
          <rPr>
            <sz val="9"/>
            <color indexed="81"/>
            <rFont val="Tahoma"/>
            <family val="2"/>
          </rPr>
          <t xml:space="preserve">
USED FOR LINKS IN WORKBOOKS DO NOT DELETE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D97DCB6A-B2F2-4525-9DD8-C8B7D113CF6F}">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O38" authorId="0" shapeId="0" xr:uid="{00000000-0006-0000-0E00-000001000000}">
      <text>
        <r>
          <rPr>
            <b/>
            <sz val="9"/>
            <color indexed="81"/>
            <rFont val="Tahoma"/>
            <family val="2"/>
          </rPr>
          <t>kara:</t>
        </r>
        <r>
          <rPr>
            <sz val="9"/>
            <color indexed="81"/>
            <rFont val="Tahoma"/>
            <family val="2"/>
          </rPr>
          <t xml:space="preserve">
This is the same expesne that was above the line
shannon: 34927 *.82 FTE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H5" authorId="0" shapeId="0" xr:uid="{00000000-0006-0000-1000-000001000000}">
      <text>
        <r>
          <rPr>
            <b/>
            <sz val="9"/>
            <color indexed="81"/>
            <rFont val="Tahoma"/>
            <family val="2"/>
          </rPr>
          <t>kara:</t>
        </r>
        <r>
          <rPr>
            <sz val="9"/>
            <color indexed="81"/>
            <rFont val="Tahoma"/>
            <family val="2"/>
          </rPr>
          <t xml:space="preserve">
Toni to get a new "definition" and title b/c this is not real - there is no such thing as a Masters Lvl Phycologist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kara</author>
    <author>Shannon</author>
  </authors>
  <commentList>
    <comment ref="O39" authorId="0" shapeId="0" xr:uid="{00000000-0006-0000-1100-000001000000}">
      <text>
        <r>
          <rPr>
            <b/>
            <sz val="9"/>
            <color indexed="81"/>
            <rFont val="Tahoma"/>
            <family val="2"/>
          </rPr>
          <t>kara:</t>
        </r>
        <r>
          <rPr>
            <sz val="9"/>
            <color indexed="81"/>
            <rFont val="Tahoma"/>
            <family val="2"/>
          </rPr>
          <t xml:space="preserve">
This is the same expesne that was above the line</t>
        </r>
      </text>
    </comment>
    <comment ref="G55" authorId="1" shapeId="0" xr:uid="{00000000-0006-0000-1100-000002000000}">
      <text>
        <r>
          <rPr>
            <b/>
            <sz val="9"/>
            <color indexed="81"/>
            <rFont val="Tahoma"/>
            <family val="2"/>
          </rPr>
          <t>Shannon:</t>
        </r>
        <r>
          <rPr>
            <sz val="9"/>
            <color indexed="81"/>
            <rFont val="Tahoma"/>
            <family val="2"/>
          </rPr>
          <t xml:space="preserve">
add 75 sq ft PPH 5.8.20 purchaser recommend.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tc={4878CC46-F7C6-49E3-97AD-F0D08B601879}</author>
  </authors>
  <commentList>
    <comment ref="C31" authorId="0" shapeId="0" xr:uid="{4878CC46-F7C6-49E3-97AD-F0D08B601879}">
      <text>
        <t>[Threaded comment]
Your version of Excel allows you to read this threaded comment; however, any edits to it will get removed if the file is opened in a newer version of Excel. Learn more: https://go.microsoft.com/fwlink/?linkid=870924
Comment:
    This is also in Int. Team with 1.06 FTE, and it's benchmarked to YITS.  Need to understand the difference in FTE or units whichever it is</t>
      </text>
    </comment>
  </commentList>
</comments>
</file>

<file path=xl/sharedStrings.xml><?xml version="1.0" encoding="utf-8"?>
<sst xmlns="http://schemas.openxmlformats.org/spreadsheetml/2006/main" count="5597" uniqueCount="1451">
  <si>
    <t>Relief Assumptions:</t>
  </si>
  <si>
    <t>Days</t>
  </si>
  <si>
    <t>Hours</t>
  </si>
  <si>
    <t>Total Hours per FTE:</t>
  </si>
  <si>
    <t>% of FTE</t>
  </si>
  <si>
    <t>Salary</t>
  </si>
  <si>
    <t>FTE</t>
  </si>
  <si>
    <t>Expense</t>
  </si>
  <si>
    <t>Psychiatrist</t>
  </si>
  <si>
    <t>LPHA</t>
  </si>
  <si>
    <t>RN</t>
  </si>
  <si>
    <t>Occupational Therapist</t>
  </si>
  <si>
    <t>Relief</t>
  </si>
  <si>
    <t>Total Program Staff</t>
  </si>
  <si>
    <t>Training</t>
  </si>
  <si>
    <t>Expenses</t>
  </si>
  <si>
    <t>Unit Cost</t>
  </si>
  <si>
    <t>Tax and Fringe</t>
  </si>
  <si>
    <t>Total Compensation</t>
  </si>
  <si>
    <t>Hourly Rate</t>
  </si>
  <si>
    <t>Hour</t>
  </si>
  <si>
    <t>Total Consulting Services</t>
  </si>
  <si>
    <t>Transportation</t>
  </si>
  <si>
    <t>Total Reimb excl M&amp;G</t>
  </si>
  <si>
    <t>Admin. Allocation</t>
  </si>
  <si>
    <t>TOTAL</t>
  </si>
  <si>
    <t>CAF:</t>
  </si>
  <si>
    <t>Rate with CAF</t>
  </si>
  <si>
    <t>RATE:</t>
  </si>
  <si>
    <t>Management</t>
  </si>
  <si>
    <t>Medical and Clinical</t>
  </si>
  <si>
    <t>Direct Care</t>
  </si>
  <si>
    <t xml:space="preserve">    Relief</t>
  </si>
  <si>
    <t>Support</t>
  </si>
  <si>
    <t xml:space="preserve">    Prog Secretarial / Clerical</t>
  </si>
  <si>
    <t>Benchmark FTEs</t>
  </si>
  <si>
    <t>Capacity:</t>
  </si>
  <si>
    <t>CAF rate</t>
  </si>
  <si>
    <t xml:space="preserve">    Psychiatrist</t>
  </si>
  <si>
    <t xml:space="preserve">    Substance Abuse Counselor</t>
  </si>
  <si>
    <t xml:space="preserve">    Housing Coordinator</t>
  </si>
  <si>
    <t>Benchmark Salaries</t>
  </si>
  <si>
    <t>Benchmark Expenses</t>
  </si>
  <si>
    <t xml:space="preserve">  Program Director</t>
  </si>
  <si>
    <t xml:space="preserve">    LPHA</t>
  </si>
  <si>
    <t xml:space="preserve">    RN</t>
  </si>
  <si>
    <t xml:space="preserve">    Peer &amp; Family Specialist</t>
  </si>
  <si>
    <t xml:space="preserve">  LPHA</t>
  </si>
  <si>
    <t xml:space="preserve">  RN</t>
  </si>
  <si>
    <r>
      <t xml:space="preserve">  </t>
    </r>
    <r>
      <rPr>
        <i/>
        <sz val="10"/>
        <rFont val="Arial"/>
        <family val="2"/>
      </rPr>
      <t>Relief</t>
    </r>
  </si>
  <si>
    <t>Massachusetts Economic Indicators</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</si>
  <si>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</si>
  <si>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</si>
  <si>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</si>
  <si>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</si>
  <si>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</si>
  <si>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</si>
  <si>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</si>
  <si>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</si>
  <si>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</si>
  <si>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</si>
  <si>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</si>
  <si>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</si>
  <si>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</si>
  <si>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</si>
  <si>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</si>
  <si>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</si>
  <si>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</si>
  <si>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</si>
  <si>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</si>
  <si>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</si>
  <si>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</si>
  <si>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</si>
  <si>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</si>
  <si>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</si>
  <si>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</si>
  <si>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</si>
  <si>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</si>
  <si>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</si>
  <si>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</si>
  <si>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</si>
  <si>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</si>
  <si>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</si>
  <si>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</si>
  <si>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</si>
  <si>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</si>
  <si>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</si>
  <si>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</si>
  <si>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</si>
  <si>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</si>
  <si>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</si>
  <si>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</si>
  <si>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</si>
  <si>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</si>
  <si>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</si>
  <si>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</si>
  <si>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</si>
  <si>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</si>
  <si>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</si>
  <si>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</si>
  <si>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</si>
  <si>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</si>
  <si>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</si>
  <si>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</si>
  <si>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</si>
  <si>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</si>
  <si>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</si>
  <si>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</si>
  <si>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</si>
  <si>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</si>
  <si>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</si>
  <si>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</si>
  <si>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CPI--BASELINE SCENARIO (1982-84=1)</t>
  </si>
  <si>
    <t>CPIBASEMA</t>
  </si>
  <si>
    <t>CPI--OPTIMISTIC SCENARIO (1982-84=1)</t>
  </si>
  <si>
    <t>CPIOPTMA</t>
  </si>
  <si>
    <t>CPI--PESSIMISTIC SCENARIO (1982-84=1)</t>
  </si>
  <si>
    <t>CPIPESSMA</t>
  </si>
  <si>
    <t>4 to 6</t>
  </si>
  <si>
    <t>7 to 9</t>
  </si>
  <si>
    <t>10 to 12</t>
  </si>
  <si>
    <t xml:space="preserve">  Site Manager</t>
  </si>
  <si>
    <t xml:space="preserve">  Certified Nursing Assistant (CNA)</t>
  </si>
  <si>
    <t xml:space="preserve">  Occupational Therapist</t>
  </si>
  <si>
    <t xml:space="preserve">  DC Evening Supervisor</t>
  </si>
  <si>
    <t xml:space="preserve">  Psychologist</t>
  </si>
  <si>
    <t xml:space="preserve">  LPN</t>
  </si>
  <si>
    <t>Other Expense</t>
  </si>
  <si>
    <t xml:space="preserve">    DC Blended (DC I + II + III)</t>
  </si>
  <si>
    <t xml:space="preserve">  DC Blended (DC I + II + III)</t>
  </si>
  <si>
    <t xml:space="preserve">  DC Blended (DC I + II)</t>
  </si>
  <si>
    <t>DC Blended (DC I + II)</t>
  </si>
  <si>
    <t xml:space="preserve">  Program Functional Manager</t>
  </si>
  <si>
    <t>Enrollment Days:</t>
  </si>
  <si>
    <t xml:space="preserve">  Assistant Director (LICSW Level)</t>
  </si>
  <si>
    <t>Site Manager</t>
  </si>
  <si>
    <t>2019Q1</t>
  </si>
  <si>
    <t>2019Q2</t>
  </si>
  <si>
    <t>2019Q3</t>
  </si>
  <si>
    <t>2019Q4</t>
  </si>
  <si>
    <t>Model and Capacity:</t>
  </si>
  <si>
    <t>17E</t>
  </si>
  <si>
    <t>51E</t>
  </si>
  <si>
    <t>Program Director (UFR Title 102)</t>
  </si>
  <si>
    <t>Program Function Manager (UFR Title 101)</t>
  </si>
  <si>
    <t>Asst. Program Director (UFR Title 103)</t>
  </si>
  <si>
    <t xml:space="preserve">Supervising Professional (UFR Title 104) </t>
  </si>
  <si>
    <t>Physician &amp; Psychiatrist  (UFR Title 105 &amp; 121)</t>
  </si>
  <si>
    <t>Physician Asst. (UFR Title 106)</t>
  </si>
  <si>
    <t>N. Midwife, N.P., Psych N.,N.A., R.N.- MA (Title 107)</t>
  </si>
  <si>
    <t>R.N. - Non Masters (UFR Title 108)</t>
  </si>
  <si>
    <t xml:space="preserve">L.P.N. (UFR Title 109) </t>
  </si>
  <si>
    <t>Pharmacist (UFR Title 110)</t>
  </si>
  <si>
    <t>Occupational Therapist (UFR Title 111)</t>
  </si>
  <si>
    <t>Physical Therapist (UFR Title 112)</t>
  </si>
  <si>
    <t>Speech / Lang. Pathol., Audiologist (UFR Title 113)</t>
  </si>
  <si>
    <t>Dietician / Nutritionist (UFR Title 114)</t>
  </si>
  <si>
    <t>Spec. Education Teacher (UFR Title 115)</t>
  </si>
  <si>
    <t>Teacher (UFR Title 116)</t>
  </si>
  <si>
    <t>Day Care Director (UFR Title 117)</t>
  </si>
  <si>
    <t>Day Care Lead Teacher (UFR Title 118)</t>
  </si>
  <si>
    <t>Day Care Teacher (UFR Title 119)</t>
  </si>
  <si>
    <t>Day Care Asst. Teacher / Aide (UFR Title 120)</t>
  </si>
  <si>
    <t>Psychologist - Doctorate (UFR Title 122)</t>
  </si>
  <si>
    <t>Social Worker - L.I.C.S.W. (UFR Title 124)</t>
  </si>
  <si>
    <t>Social Worker - L.C.S.W., L.S.W (UFR Title 125 &amp; 126)</t>
  </si>
  <si>
    <t>Licensed Counselor (UFR Title 127)</t>
  </si>
  <si>
    <t>Cert. Voc. Rehab. Counselor (UFR Title 128)</t>
  </si>
  <si>
    <t>Cert. Alch. &amp;/or Drug Abuse Counselor (UFR Title 129)</t>
  </si>
  <si>
    <t>Counselor (UFR Title 130)</t>
  </si>
  <si>
    <t>Case Worker / Manager - Masters (UFR Title 131)</t>
  </si>
  <si>
    <t>Case Worker / Manager (UFR Title 132)</t>
  </si>
  <si>
    <t>Direct Care / Prog. Staff Superv. (UFR Title 133)</t>
  </si>
  <si>
    <t>Direct Care / Prog. Staff III (UFR Title 134)</t>
  </si>
  <si>
    <t>Direct Care / Prog. Staff II (UFR Title 135)</t>
  </si>
  <si>
    <t>Direct Care / Prog. Staff I (UFR Title 136)</t>
  </si>
  <si>
    <t>Prog. Secretarial / Clerical Staff (UFR Title 137)</t>
  </si>
  <si>
    <t>Maintainence, House/Groundskeeping, Cook 138</t>
  </si>
  <si>
    <t>Direct Care / Driver Staff (UFR Title 138)</t>
  </si>
  <si>
    <t xml:space="preserve">Direct Care Overtime, Shift Differential and Relief </t>
  </si>
  <si>
    <t>Total Direct Program Staff = 1E</t>
  </si>
  <si>
    <t>N/A</t>
  </si>
  <si>
    <t>Chief Executive Officer</t>
  </si>
  <si>
    <t>Chief Financial Officer</t>
  </si>
  <si>
    <t>Accting/Clerical Support</t>
  </si>
  <si>
    <t>Admin Maint/House-Grndskeeping</t>
  </si>
  <si>
    <t>Total Admin Employee</t>
  </si>
  <si>
    <t>Commerical products &amp; Svs/Mkting</t>
  </si>
  <si>
    <t>Total FTE/Salary/Wages</t>
  </si>
  <si>
    <t>Payroll Taxes 150</t>
  </si>
  <si>
    <t>Fringe Benefits 151</t>
  </si>
  <si>
    <t>Accrual Adjustments</t>
  </si>
  <si>
    <t>Total Employee Compensation &amp; Rel. Exp.</t>
  </si>
  <si>
    <t>Facility and Prog. Equip.Expenses 301,390</t>
  </si>
  <si>
    <t>Facility &amp; Prog. Equip. Depreciation 301</t>
  </si>
  <si>
    <t>Facility Operation/Maint./Furn.390</t>
  </si>
  <si>
    <t>Facility General Liability Insurance 390</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</si>
  <si>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</si>
  <si>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</si>
  <si>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</si>
  <si>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</si>
  <si>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</si>
  <si>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</si>
  <si>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</si>
  <si>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</si>
  <si>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</si>
  <si>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</si>
  <si>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</si>
  <si>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</si>
  <si>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</si>
  <si>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</si>
  <si>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</si>
  <si>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</si>
  <si>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</si>
  <si>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</si>
  <si>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Total Other Program Expense</t>
  </si>
  <si>
    <t>Other Professional Fees &amp; Other Admin. Exp. 410</t>
  </si>
  <si>
    <t>Leased Office/Program Office Equip.410,390</t>
  </si>
  <si>
    <t>Office Equipment Depreciation 410</t>
  </si>
  <si>
    <t>Program Support 216</t>
  </si>
  <si>
    <t>Professional Insurance 410</t>
  </si>
  <si>
    <t>Working Capital Interest 410</t>
  </si>
  <si>
    <t>Total Direct Administrative Expense</t>
  </si>
  <si>
    <t>Admin (M&amp;G) Reporting Center Allocation</t>
  </si>
  <si>
    <t>Total Reimbursable Expense</t>
  </si>
  <si>
    <t>Direct State/Federal Non-Reimbursable Expense</t>
  </si>
  <si>
    <t>Allocation of State/Fed Non-Reimbursable Expense</t>
  </si>
  <si>
    <t>TOTAL EXPENSE</t>
  </si>
  <si>
    <t>OPERATING RESULTS</t>
  </si>
  <si>
    <t>1E</t>
  </si>
  <si>
    <t>2E</t>
  </si>
  <si>
    <t>3E</t>
  </si>
  <si>
    <t>4E</t>
  </si>
  <si>
    <t>5E</t>
  </si>
  <si>
    <t>6E</t>
  </si>
  <si>
    <t>7E</t>
  </si>
  <si>
    <t>8E</t>
  </si>
  <si>
    <t>9E</t>
  </si>
  <si>
    <t>10E</t>
  </si>
  <si>
    <t>11E</t>
  </si>
  <si>
    <t>12E</t>
  </si>
  <si>
    <t>13E</t>
  </si>
  <si>
    <t>14E</t>
  </si>
  <si>
    <t>15E</t>
  </si>
  <si>
    <t>16E</t>
  </si>
  <si>
    <t>18E</t>
  </si>
  <si>
    <t>19E</t>
  </si>
  <si>
    <t>20E</t>
  </si>
  <si>
    <t>21E</t>
  </si>
  <si>
    <t>22E</t>
  </si>
  <si>
    <t>23E</t>
  </si>
  <si>
    <t>24E</t>
  </si>
  <si>
    <t>25E</t>
  </si>
  <si>
    <t>26E</t>
  </si>
  <si>
    <t>27E</t>
  </si>
  <si>
    <t>28E</t>
  </si>
  <si>
    <t>29E</t>
  </si>
  <si>
    <t>30E</t>
  </si>
  <si>
    <t>31E</t>
  </si>
  <si>
    <t>32E</t>
  </si>
  <si>
    <t>33E</t>
  </si>
  <si>
    <t>34E</t>
  </si>
  <si>
    <t>35E</t>
  </si>
  <si>
    <t>36E</t>
  </si>
  <si>
    <t>42E</t>
  </si>
  <si>
    <t>43E</t>
  </si>
  <si>
    <t>44E</t>
  </si>
  <si>
    <t>48E</t>
  </si>
  <si>
    <t>49E</t>
  </si>
  <si>
    <t>50E</t>
  </si>
  <si>
    <t>52E</t>
  </si>
  <si>
    <t>53E</t>
  </si>
  <si>
    <t>54E</t>
  </si>
  <si>
    <t>55E</t>
  </si>
  <si>
    <t>56E</t>
  </si>
  <si>
    <t>57E</t>
  </si>
  <si>
    <t>58E</t>
  </si>
  <si>
    <t xml:space="preserve">Capacity: </t>
  </si>
  <si>
    <t>Comments</t>
  </si>
  <si>
    <t xml:space="preserve">(13 to 16) </t>
  </si>
  <si>
    <t>(17 to 25)</t>
  </si>
  <si>
    <t>(26 to 35)</t>
  </si>
  <si>
    <t>A</t>
  </si>
  <si>
    <t>B</t>
  </si>
  <si>
    <t>C</t>
  </si>
  <si>
    <t xml:space="preserve">  Psychiatrist</t>
  </si>
  <si>
    <t>1S</t>
  </si>
  <si>
    <t>2S</t>
  </si>
  <si>
    <t>3S</t>
  </si>
  <si>
    <t>4S</t>
  </si>
  <si>
    <t>5S</t>
  </si>
  <si>
    <t>7S</t>
  </si>
  <si>
    <t>8S</t>
  </si>
  <si>
    <t>9S</t>
  </si>
  <si>
    <t>11S</t>
  </si>
  <si>
    <t>14S</t>
  </si>
  <si>
    <t>21S</t>
  </si>
  <si>
    <t>22S</t>
  </si>
  <si>
    <t>Clinician-(formerly Psych.Masters)(UFR Title 123)</t>
  </si>
  <si>
    <t>23S</t>
  </si>
  <si>
    <t>24S</t>
  </si>
  <si>
    <t>25S</t>
  </si>
  <si>
    <t>27S</t>
  </si>
  <si>
    <t>28S</t>
  </si>
  <si>
    <t>29S</t>
  </si>
  <si>
    <t>30S</t>
  </si>
  <si>
    <t>31S</t>
  </si>
  <si>
    <t>32S</t>
  </si>
  <si>
    <t>33S</t>
  </si>
  <si>
    <t>34S</t>
  </si>
  <si>
    <t>35S</t>
  </si>
  <si>
    <t>36S</t>
  </si>
  <si>
    <t>37S</t>
  </si>
  <si>
    <t>39S</t>
  </si>
  <si>
    <t>Prepared by Michael Lynch, 781-301-9129</t>
  </si>
  <si>
    <t>FY16</t>
  </si>
  <si>
    <t>FY17</t>
  </si>
  <si>
    <t>FY18</t>
  </si>
  <si>
    <t>FY19</t>
  </si>
  <si>
    <t>2020Q1</t>
  </si>
  <si>
    <t>2020Q2</t>
  </si>
  <si>
    <t>2020Q3</t>
  </si>
  <si>
    <t>2020Q4</t>
  </si>
  <si>
    <t>2021Q1</t>
  </si>
  <si>
    <t>2021Q2</t>
  </si>
  <si>
    <t>2021Q3</t>
  </si>
  <si>
    <t>2021Q4</t>
  </si>
  <si>
    <t>LABEL</t>
  </si>
  <si>
    <t>Consulting Services</t>
  </si>
  <si>
    <t xml:space="preserve">UFR Position </t>
  </si>
  <si>
    <t>ScheduleBExpLineNumber</t>
  </si>
  <si>
    <t>LineDescription</t>
  </si>
  <si>
    <t>Actual</t>
  </si>
  <si>
    <t>6S</t>
  </si>
  <si>
    <t>10S</t>
  </si>
  <si>
    <t>12S</t>
  </si>
  <si>
    <t>13S</t>
  </si>
  <si>
    <t>15S</t>
  </si>
  <si>
    <t>16S</t>
  </si>
  <si>
    <t>17S</t>
  </si>
  <si>
    <t>18S</t>
  </si>
  <si>
    <t>19S</t>
  </si>
  <si>
    <t>20S</t>
  </si>
  <si>
    <t>26S</t>
  </si>
  <si>
    <t>38S</t>
  </si>
  <si>
    <t>Total Direct Program Staff = 39S</t>
  </si>
  <si>
    <t>TOTAL REVENUE = 53R</t>
  </si>
  <si>
    <t>Brockton</t>
  </si>
  <si>
    <t>Total</t>
  </si>
  <si>
    <t xml:space="preserve">  Relief</t>
  </si>
  <si>
    <t>Units for Calculations</t>
  </si>
  <si>
    <t>GLE Type</t>
  </si>
  <si>
    <t>17 to 25</t>
  </si>
  <si>
    <t>26 to 35</t>
  </si>
  <si>
    <t>13 to 16</t>
  </si>
  <si>
    <t>Standard GLEs</t>
  </si>
  <si>
    <t>Capacity</t>
  </si>
  <si>
    <t>Specialty Type</t>
  </si>
  <si>
    <t>DC Evening Supervisor</t>
  </si>
  <si>
    <t>Psychologist</t>
  </si>
  <si>
    <t>LPN</t>
  </si>
  <si>
    <t>Peer &amp; Family Specialist</t>
  </si>
  <si>
    <t>Vocational Coordinator</t>
  </si>
  <si>
    <t>DC Blended (DC I + II + III)</t>
  </si>
  <si>
    <t>Supervising Professional</t>
  </si>
  <si>
    <t>Cert. Nursing Assistant (CNA)</t>
  </si>
  <si>
    <t>Staff Type</t>
  </si>
  <si>
    <t>Operating Expenses</t>
  </si>
  <si>
    <t>Unit Cost/FTE</t>
  </si>
  <si>
    <t>% of Reim. Expenses</t>
  </si>
  <si>
    <t>Vacation</t>
  </si>
  <si>
    <t>Sick/ Personal</t>
  </si>
  <si>
    <t>Holidays</t>
  </si>
  <si>
    <t>Avg of the FY15 CBFS data.</t>
  </si>
  <si>
    <t>Tax and Fringe Expenses</t>
  </si>
  <si>
    <t>Total Operating Expenses</t>
  </si>
  <si>
    <t>Administrative Allocation</t>
  </si>
  <si>
    <t>Total Reim. Expenses (excluding M&amp;G)</t>
  </si>
  <si>
    <t>Sick/Personal</t>
  </si>
  <si>
    <t>MEDICALLY INTENSIVE MODELS</t>
  </si>
  <si>
    <t>INTENSIVE BEHAVIORAL MODELS</t>
  </si>
  <si>
    <t>FIRE SAFETY MODEL</t>
  </si>
  <si>
    <t>INTENSIVE DIALECTICAL BEHAVIOR THERAPY (DBT) MODELS</t>
  </si>
  <si>
    <t>Avg of the FY15 CBFS data per FTE.</t>
  </si>
  <si>
    <t>n</t>
  </si>
  <si>
    <t>Average</t>
  </si>
  <si>
    <t>FY15 UFR Position and Statistic</t>
  </si>
  <si>
    <t xml:space="preserve">    DC Blended (DC I + II)</t>
  </si>
  <si>
    <t xml:space="preserve">    DC III</t>
  </si>
  <si>
    <t>Weighted Blend for DC I, II and III</t>
  </si>
  <si>
    <t xml:space="preserve">  Program Function Manager</t>
  </si>
  <si>
    <t>Day</t>
  </si>
  <si>
    <t>Evening</t>
  </si>
  <si>
    <t>Overnight</t>
  </si>
  <si>
    <t>Monday</t>
  </si>
  <si>
    <t>Tuesday</t>
  </si>
  <si>
    <t>Wednesday</t>
  </si>
  <si>
    <t>Thursday</t>
  </si>
  <si>
    <t>Friday</t>
  </si>
  <si>
    <t>Saturday</t>
  </si>
  <si>
    <t>Sunday</t>
  </si>
  <si>
    <t>Shift</t>
  </si>
  <si>
    <t xml:space="preserve">  Specialty Site Manager</t>
  </si>
  <si>
    <t># Shared Spaces Needed</t>
  </si>
  <si>
    <t>Benchmark USF</t>
  </si>
  <si>
    <t>Total SF</t>
  </si>
  <si>
    <t>LPHA &amp; RN</t>
  </si>
  <si>
    <t>SA Counselor</t>
  </si>
  <si>
    <t>Secretarial/Clerical</t>
  </si>
  <si>
    <t>Shared Space Estimate by Category</t>
  </si>
  <si>
    <t>3 cubicle spaces needed for 10.5 FTEs. Coverage allows 5 DC on at a time.</t>
  </si>
  <si>
    <t>1 cubicle spaces needed for SA counselors</t>
  </si>
  <si>
    <t>1 cubicle space needed.</t>
  </si>
  <si>
    <t>Source of Usable Square Foot (USF) Benchmarks:</t>
  </si>
  <si>
    <t xml:space="preserve">Workspace Utilization and Allocation Benchmark, U.S. General Services Administration Office of Government wide Policy Office of Real Property Management Performance Measurement Division, July 1, 2012 (Still Referenced by GSA as of 6/19/2016): http://www.gsa.gov/graphics/ogp/Workspace_Utilization_Banchmark_July_2012.pdf. </t>
  </si>
  <si>
    <t>Office Space Allocation Benchmarks</t>
  </si>
  <si>
    <r>
      <rPr>
        <i/>
        <u/>
        <sz val="10"/>
        <color theme="1"/>
        <rFont val="Arial"/>
        <family val="2"/>
      </rPr>
      <t>Note</t>
    </r>
    <r>
      <rPr>
        <i/>
        <sz val="10"/>
        <color theme="1"/>
        <rFont val="Arial"/>
        <family val="2"/>
      </rPr>
      <t>:</t>
    </r>
    <r>
      <rPr>
        <sz val="10"/>
        <color theme="1"/>
        <rFont val="Arial"/>
        <family val="2"/>
      </rPr>
      <t xml:space="preserve"> The shared space figures used above and summarized below were used because services are mostly not performed in the office and not all of the staff will be on at the same time. As a result, the shared space model below was applied.</t>
    </r>
  </si>
  <si>
    <t>Avg FY15 DTA Office Space Lease PPSF</t>
  </si>
  <si>
    <t>Staff Mileage/Travel 205 (23E) per FTE.</t>
  </si>
  <si>
    <t>Program Supplies &amp; Materials (33E) per FTE.</t>
  </si>
  <si>
    <r>
      <rPr>
        <i/>
        <u/>
        <sz val="10"/>
        <color theme="1"/>
        <rFont val="Arial"/>
        <family val="2"/>
      </rPr>
      <t>Note</t>
    </r>
    <r>
      <rPr>
        <i/>
        <sz val="10"/>
        <color theme="1"/>
        <rFont val="Arial"/>
        <family val="2"/>
      </rPr>
      <t>: Increments of 40 more hours of coverage for 7-9 and 80 more hours for 10-12 would be applied to the 4-6 model coverage model above.</t>
    </r>
  </si>
  <si>
    <t xml:space="preserve">  Management Supervision</t>
  </si>
  <si>
    <t>Management Supervision</t>
  </si>
  <si>
    <t>Unit Cost/Sqft</t>
  </si>
  <si>
    <t>4-6</t>
  </si>
  <si>
    <t>7-9</t>
  </si>
  <si>
    <t>10-12</t>
  </si>
  <si>
    <t>Includes space for locked records and meds storage.</t>
  </si>
  <si>
    <t xml:space="preserve">    Interpreter Services</t>
  </si>
  <si>
    <t>Applied per provider quote from Mental Health America of LA</t>
  </si>
  <si>
    <t>Weighted Mean (by FTE) w/o Outliers</t>
  </si>
  <si>
    <t>3 cubicle spaces needed for 5 FTEs.</t>
  </si>
  <si>
    <t xml:space="preserve">Housing Coord, Peer&amp;Family Spec., Interpreter </t>
  </si>
  <si>
    <t>LPHA from Outreach + Tax and Fringe</t>
  </si>
  <si>
    <t xml:space="preserve">  Tax and Fringe</t>
  </si>
  <si>
    <t xml:space="preserve">  Transportation</t>
  </si>
  <si>
    <t xml:space="preserve">   LPHA</t>
  </si>
  <si>
    <t xml:space="preserve">  Admin. Allocation</t>
  </si>
  <si>
    <t xml:space="preserve">  CAF</t>
  </si>
  <si>
    <t xml:space="preserve">  Peer &amp; Family Specialist</t>
  </si>
  <si>
    <t xml:space="preserve">  Office Space</t>
  </si>
  <si>
    <t xml:space="preserve">  Staff Training</t>
  </si>
  <si>
    <t xml:space="preserve">  MORS Training</t>
  </si>
  <si>
    <t xml:space="preserve">  Transportation </t>
  </si>
  <si>
    <t xml:space="preserve">    DC Blended III</t>
  </si>
  <si>
    <t xml:space="preserve">    DC Blended (I + II)</t>
  </si>
  <si>
    <t>Specialty</t>
  </si>
  <si>
    <t>FY15 UFR, Weighted Average</t>
  </si>
  <si>
    <t>FY15 UFR, Weighted Average, average RN Non-Masters, Psychologist, Clinician, LICSW, LCSW, Licensed Counselor</t>
  </si>
  <si>
    <t>FY15 UFR, Weighted Average, RN Non-Masters</t>
  </si>
  <si>
    <t>FY15 UFR, Weighted Average, average DC II + III</t>
  </si>
  <si>
    <t>FY15 UFR, Weighted Average, weighted average DC I + II + III</t>
  </si>
  <si>
    <t>FY15 UFR, Weighted Average, average of DC I + II + III</t>
  </si>
  <si>
    <t>FY15 UFR, Weighted Average, Salary Benchmarks Weighted Average (Doctorate)</t>
  </si>
  <si>
    <t xml:space="preserve">  Program Supplies &amp; Materials</t>
  </si>
  <si>
    <t>Substance Abuse Counselor</t>
  </si>
  <si>
    <t>IHS Economics Spring 2017 Forecast</t>
  </si>
  <si>
    <t>FY15</t>
  </si>
  <si>
    <t>FY20</t>
  </si>
  <si>
    <t>FY21</t>
  </si>
  <si>
    <t>Rate-to-rate CAF</t>
  </si>
  <si>
    <t>Assumption for Rate Reviews that are to be promulgated January 1, 2018</t>
  </si>
  <si>
    <t xml:space="preserve">Base period: </t>
  </si>
  <si>
    <t>FY18Q2</t>
  </si>
  <si>
    <t xml:space="preserve">Prospective rate period: </t>
  </si>
  <si>
    <t>1/1/18 - 12/31/19</t>
  </si>
  <si>
    <t>CAF using base year of data</t>
  </si>
  <si>
    <t>07/01/2018 - 06/30/2020</t>
  </si>
  <si>
    <t xml:space="preserve">    Cultural Facilitator</t>
  </si>
  <si>
    <t>Benchmark to 101 CMR 420</t>
  </si>
  <si>
    <t>Benchmark to 114.3 CMR 29.00</t>
  </si>
  <si>
    <t>Benchmark to 114.3 CMR 39.00</t>
  </si>
  <si>
    <t>Benchmark to 101 CMR 414</t>
  </si>
  <si>
    <t>Benchmark 101 CMR 420: allocation for van, 1 van / 2 GLEs</t>
  </si>
  <si>
    <t>Benchmark 101 CMR 420</t>
  </si>
  <si>
    <t>Benchmark 114.3 CMR 39.00:</t>
  </si>
  <si>
    <t>Benchmark: 101 CMR 420: allocation for van, 1 van / 2 GLEs</t>
  </si>
  <si>
    <t>Benchmark 101 CMR 414</t>
  </si>
  <si>
    <t>[Consulting Services]</t>
  </si>
  <si>
    <t>Proposed RATE:</t>
  </si>
  <si>
    <t>CBFS Integrated Team Model (Integrated Team Model and GLE)</t>
  </si>
  <si>
    <t xml:space="preserve">Integrated Team </t>
  </si>
  <si>
    <r>
      <rPr>
        <b/>
        <sz val="6"/>
        <color rgb="FF231F20"/>
        <rFont val="Verdana"/>
        <family val="2"/>
      </rPr>
      <t>DIVISION</t>
    </r>
  </si>
  <si>
    <r>
      <rPr>
        <b/>
        <sz val="6"/>
        <color rgb="FF231F20"/>
        <rFont val="Verdana"/>
        <family val="2"/>
      </rPr>
      <t>MASSACHUSETTS</t>
    </r>
  </si>
  <si>
    <r>
      <rPr>
        <b/>
        <sz val="6"/>
        <color rgb="FF231F20"/>
        <rFont val="Verdana"/>
        <family val="2"/>
      </rPr>
      <t>BOSTON</t>
    </r>
  </si>
  <si>
    <r>
      <rPr>
        <b/>
        <sz val="6"/>
        <color rgb="FF231F20"/>
        <rFont val="Verdana"/>
        <family val="2"/>
      </rPr>
      <t>BROCKTON</t>
    </r>
  </si>
  <si>
    <r>
      <rPr>
        <b/>
        <sz val="6"/>
        <color rgb="FF231F20"/>
        <rFont val="Verdana"/>
        <family val="2"/>
      </rPr>
      <t>BUZZARDS BAY</t>
    </r>
  </si>
  <si>
    <r>
      <rPr>
        <b/>
        <sz val="6"/>
        <color rgb="FF231F20"/>
        <rFont val="Verdana"/>
        <family val="2"/>
      </rPr>
      <t>FALL RIVER</t>
    </r>
  </si>
  <si>
    <r>
      <rPr>
        <b/>
        <sz val="6"/>
        <color rgb="FF231F20"/>
        <rFont val="Verdana"/>
        <family val="2"/>
      </rPr>
      <t>FITCHBURG</t>
    </r>
  </si>
  <si>
    <r>
      <rPr>
        <b/>
        <sz val="6"/>
        <color rgb="FF231F20"/>
        <rFont val="Verdana"/>
        <family val="2"/>
      </rPr>
      <t>FRAMINGHAM</t>
    </r>
  </si>
  <si>
    <r>
      <rPr>
        <b/>
        <sz val="6"/>
        <color rgb="FF231F20"/>
        <rFont val="Verdana"/>
        <family val="2"/>
      </rPr>
      <t>GREENFIELD</t>
    </r>
  </si>
  <si>
    <r>
      <rPr>
        <b/>
        <sz val="6"/>
        <color rgb="FF231F20"/>
        <rFont val="Verdana"/>
        <family val="2"/>
      </rPr>
      <t>MAT.</t>
    </r>
  </si>
  <si>
    <r>
      <rPr>
        <b/>
        <sz val="6"/>
        <color rgb="FF231F20"/>
        <rFont val="Verdana"/>
        <family val="2"/>
      </rPr>
      <t>INST.</t>
    </r>
  </si>
  <si>
    <r>
      <rPr>
        <b/>
        <sz val="6"/>
        <color rgb="FF231F20"/>
        <rFont val="Verdana"/>
        <family val="2"/>
      </rPr>
      <t>TOTAL</t>
    </r>
  </si>
  <si>
    <r>
      <rPr>
        <b/>
        <sz val="6"/>
        <color rgb="FF231F20"/>
        <rFont val="Verdana"/>
        <family val="2"/>
      </rPr>
      <t>MAT.      INST.</t>
    </r>
  </si>
  <si>
    <r>
      <rPr>
        <b/>
        <sz val="6"/>
        <color rgb="FF231F20"/>
        <rFont val="Verdana"/>
        <family val="2"/>
      </rPr>
      <t>CONTRACTOR EQUIPMENT</t>
    </r>
  </si>
  <si>
    <r>
      <rPr>
        <b/>
        <sz val="6"/>
        <color rgb="FF231F20"/>
        <rFont val="Verdana"/>
        <family val="2"/>
      </rPr>
      <t>0241, 31 - 34</t>
    </r>
  </si>
  <si>
    <r>
      <rPr>
        <b/>
        <sz val="6"/>
        <color rgb="FF231F20"/>
        <rFont val="Verdana"/>
        <family val="2"/>
      </rPr>
      <t>SITE &amp; INFRASTRUCTURE, DEMOLITION</t>
    </r>
  </si>
  <si>
    <r>
      <rPr>
        <sz val="6"/>
        <color rgb="FF231F20"/>
        <rFont val="Calibri"/>
        <family val="2"/>
      </rPr>
      <t>Concrete Forming &amp; Accessories</t>
    </r>
  </si>
  <si>
    <r>
      <rPr>
        <sz val="6"/>
        <color rgb="FF231F20"/>
        <rFont val="Calibri"/>
        <family val="2"/>
      </rPr>
      <t>Concrete Reinforcing</t>
    </r>
  </si>
  <si>
    <r>
      <rPr>
        <sz val="6"/>
        <color rgb="FF231F20"/>
        <rFont val="Calibri"/>
        <family val="2"/>
      </rPr>
      <t>Cast-in-Place Concrete</t>
    </r>
  </si>
  <si>
    <r>
      <rPr>
        <b/>
        <sz val="6"/>
        <color rgb="FF231F20"/>
        <rFont val="Verdana"/>
        <family val="2"/>
      </rPr>
      <t>CONCRETE</t>
    </r>
  </si>
  <si>
    <r>
      <rPr>
        <b/>
        <sz val="6"/>
        <color rgb="FF231F20"/>
        <rFont val="Verdana"/>
        <family val="2"/>
      </rPr>
      <t>MASONRY</t>
    </r>
  </si>
  <si>
    <r>
      <rPr>
        <b/>
        <sz val="6"/>
        <color rgb="FF231F20"/>
        <rFont val="Verdana"/>
        <family val="2"/>
      </rPr>
      <t>METALS</t>
    </r>
  </si>
  <si>
    <r>
      <rPr>
        <b/>
        <sz val="6"/>
        <color rgb="FF231F20"/>
        <rFont val="Verdana"/>
        <family val="2"/>
      </rPr>
      <t>WOOD, PLASTICS &amp; COMPOSITES</t>
    </r>
  </si>
  <si>
    <r>
      <rPr>
        <b/>
        <sz val="6"/>
        <color rgb="FF231F20"/>
        <rFont val="Verdana"/>
        <family val="2"/>
      </rPr>
      <t>THERMAL &amp; MOISTURE PROTECTION</t>
    </r>
  </si>
  <si>
    <r>
      <rPr>
        <b/>
        <sz val="6"/>
        <color rgb="FF231F20"/>
        <rFont val="Verdana"/>
        <family val="2"/>
      </rPr>
      <t>OPENINGS</t>
    </r>
  </si>
  <si>
    <r>
      <rPr>
        <sz val="6"/>
        <color rgb="FF231F20"/>
        <rFont val="Calibri"/>
        <family val="2"/>
      </rPr>
      <t>Plaster &amp; Gypsum Board</t>
    </r>
  </si>
  <si>
    <r>
      <rPr>
        <sz val="6"/>
        <color rgb="FF231F20"/>
        <rFont val="Calibri"/>
        <family val="2"/>
      </rPr>
      <t>0950, 0980</t>
    </r>
  </si>
  <si>
    <r>
      <rPr>
        <sz val="6"/>
        <color rgb="FF231F20"/>
        <rFont val="Calibri"/>
        <family val="2"/>
      </rPr>
      <t>Ceilings &amp; Acoustic Treatment</t>
    </r>
  </si>
  <si>
    <r>
      <rPr>
        <sz val="6"/>
        <color rgb="FF231F20"/>
        <rFont val="Calibri"/>
        <family val="2"/>
      </rPr>
      <t>Flooring</t>
    </r>
  </si>
  <si>
    <r>
      <rPr>
        <sz val="6"/>
        <color rgb="FF231F20"/>
        <rFont val="Calibri"/>
        <family val="2"/>
      </rPr>
      <t>0970, 0990</t>
    </r>
  </si>
  <si>
    <r>
      <rPr>
        <sz val="6"/>
        <color rgb="FF231F20"/>
        <rFont val="Calibri"/>
        <family val="2"/>
      </rPr>
      <t>Wall Finishes &amp; Painting/Coating</t>
    </r>
  </si>
  <si>
    <r>
      <rPr>
        <b/>
        <sz val="6"/>
        <color rgb="FF231F20"/>
        <rFont val="Verdana"/>
        <family val="2"/>
      </rPr>
      <t>FINISHES</t>
    </r>
  </si>
  <si>
    <r>
      <rPr>
        <b/>
        <sz val="6"/>
        <color rgb="FF231F20"/>
        <rFont val="Verdana"/>
        <family val="2"/>
      </rPr>
      <t>COVERS</t>
    </r>
  </si>
  <si>
    <r>
      <rPr>
        <b/>
        <sz val="6"/>
        <color rgb="FF231F20"/>
        <rFont val="Verdana"/>
        <family val="2"/>
      </rPr>
      <t>DIVS. 10 - 14, 25, 28, 41, 43, 44, 46</t>
    </r>
  </si>
  <si>
    <r>
      <rPr>
        <b/>
        <sz val="6"/>
        <color rgb="FF231F20"/>
        <rFont val="Verdana"/>
        <family val="2"/>
      </rPr>
      <t>21, 22, 23</t>
    </r>
  </si>
  <si>
    <r>
      <rPr>
        <b/>
        <sz val="6"/>
        <color rgb="FF231F20"/>
        <rFont val="Verdana"/>
        <family val="2"/>
      </rPr>
      <t>FIRE SUPPRESSION, PLUMBING &amp; HVAC</t>
    </r>
  </si>
  <si>
    <r>
      <rPr>
        <b/>
        <sz val="6"/>
        <color rgb="FF231F20"/>
        <rFont val="Verdana"/>
        <family val="2"/>
      </rPr>
      <t>26, 27, 3370</t>
    </r>
  </si>
  <si>
    <r>
      <rPr>
        <b/>
        <sz val="6"/>
        <color rgb="FF231F20"/>
        <rFont val="Verdana"/>
        <family val="2"/>
      </rPr>
      <t>ELECTRICAL, COMMUNICATIONS &amp; UTIL.</t>
    </r>
  </si>
  <si>
    <r>
      <rPr>
        <b/>
        <sz val="6"/>
        <color rgb="FF231F20"/>
        <rFont val="Verdana"/>
        <family val="2"/>
      </rPr>
      <t>MF2014</t>
    </r>
  </si>
  <si>
    <r>
      <rPr>
        <b/>
        <sz val="6"/>
        <color rgb="FF231F20"/>
        <rFont val="Verdana"/>
        <family val="2"/>
      </rPr>
      <t>WEIGHTED AVERAGE</t>
    </r>
  </si>
  <si>
    <r>
      <rPr>
        <b/>
        <sz val="6"/>
        <color rgb="FF231F20"/>
        <rFont val="Verdana"/>
        <family val="2"/>
      </rPr>
      <t>HYANNIS</t>
    </r>
  </si>
  <si>
    <r>
      <rPr>
        <b/>
        <sz val="6"/>
        <color rgb="FF231F20"/>
        <rFont val="Verdana"/>
        <family val="2"/>
      </rPr>
      <t>LAWRENCE</t>
    </r>
  </si>
  <si>
    <r>
      <rPr>
        <b/>
        <sz val="6"/>
        <color rgb="FF231F20"/>
        <rFont val="Verdana"/>
        <family val="2"/>
      </rPr>
      <t>LOWELL</t>
    </r>
  </si>
  <si>
    <r>
      <rPr>
        <b/>
        <sz val="6"/>
        <color rgb="FF231F20"/>
        <rFont val="Verdana"/>
        <family val="2"/>
      </rPr>
      <t>NEW BEDFORD</t>
    </r>
  </si>
  <si>
    <r>
      <rPr>
        <b/>
        <sz val="6"/>
        <color rgb="FF231F20"/>
        <rFont val="Verdana"/>
        <family val="2"/>
      </rPr>
      <t>PITTSFIELD</t>
    </r>
  </si>
  <si>
    <r>
      <rPr>
        <b/>
        <sz val="6"/>
        <color rgb="FF231F20"/>
        <rFont val="Verdana"/>
        <family val="2"/>
      </rPr>
      <t>SPRINGFIELD</t>
    </r>
  </si>
  <si>
    <r>
      <rPr>
        <b/>
        <sz val="6"/>
        <color rgb="FF231F20"/>
        <rFont val="Verdana"/>
        <family val="2"/>
      </rPr>
      <t>WORCESTER</t>
    </r>
  </si>
  <si>
    <t>2017 RS Masterformat City Cost Indexes</t>
  </si>
  <si>
    <t>Modifier</t>
  </si>
  <si>
    <t>Boston</t>
  </si>
  <si>
    <t>Buzzards Bay</t>
  </si>
  <si>
    <t>Fall River</t>
  </si>
  <si>
    <t>Fitchburg</t>
  </si>
  <si>
    <t>Framingham</t>
  </si>
  <si>
    <t>Greenfield</t>
  </si>
  <si>
    <t>Hyannis</t>
  </si>
  <si>
    <t>Lawrence</t>
  </si>
  <si>
    <t>Lowell</t>
  </si>
  <si>
    <t>New Bedford</t>
  </si>
  <si>
    <t>Pittsfield</t>
  </si>
  <si>
    <t>Springfield</t>
  </si>
  <si>
    <t>Worcester</t>
  </si>
  <si>
    <t>Statewide Average</t>
  </si>
  <si>
    <t>Integrated Team</t>
  </si>
  <si>
    <t>MASTER LOOKUP DATA</t>
  </si>
  <si>
    <t>Integrated Team Model</t>
  </si>
  <si>
    <t>RS Means Region</t>
  </si>
  <si>
    <t>RS Means Index</t>
  </si>
  <si>
    <t>Integrated Team Benchmark FTEs</t>
  </si>
  <si>
    <t>FTEs Per 100 Enrollees</t>
  </si>
  <si>
    <t>FY15 UFR, Weighted average DC I + II + III based on 3.00:7.50 DC III to DC I +II Ratio</t>
  </si>
  <si>
    <t>Avg of the FY15 data.</t>
  </si>
  <si>
    <t>GLE MODELS</t>
  </si>
  <si>
    <t>Integrated Team with GLE/SIE Benchmark FTEs</t>
  </si>
  <si>
    <t>Integrated Team with GLE / SIE</t>
  </si>
  <si>
    <t>GLE Models</t>
  </si>
  <si>
    <t xml:space="preserve"> GLE (Capacity 4 to 6)</t>
  </si>
  <si>
    <t>GLE (Capacity 7 to 9)</t>
  </si>
  <si>
    <t xml:space="preserve"> GLE (Capacity 10 to 12)</t>
  </si>
  <si>
    <t>Supported Independent Environments (SIEs)</t>
  </si>
  <si>
    <t xml:space="preserve"> SIE Model A (Capacity 13 to 16) </t>
  </si>
  <si>
    <t xml:space="preserve">SIE Model B (Capacity 17 to 24) </t>
  </si>
  <si>
    <t xml:space="preserve">SIE Model C (Capacity 25 to 35) </t>
  </si>
  <si>
    <t>SIE Model Benchmarks</t>
  </si>
  <si>
    <t xml:space="preserve"> GLEModel Benchmarks</t>
  </si>
  <si>
    <t>GLE (4-6 Model) Direct Care Coverage Summary (Hours Per Shift)</t>
  </si>
  <si>
    <t>SIE Direct Care Coverage Summary (Hours Per Shift)</t>
  </si>
  <si>
    <t>Medically Intensive Group Living Environment (Capacity 4-6)</t>
  </si>
  <si>
    <t>Medically Intensive Group Living Environment (Capacity 7-9)</t>
  </si>
  <si>
    <t>Medically Intensive Group Living Environment (Capacity 10-12)</t>
  </si>
  <si>
    <t>Intensive Behavioral Group Living Environment (Capacity 4-6)</t>
  </si>
  <si>
    <t>Intensive Behavioral Group Living Environment (Capacity 7-9)</t>
  </si>
  <si>
    <t>Intensive Behavioral Group Living Environment (Capacity 10-12)</t>
  </si>
  <si>
    <t>Intensive Behavioral Assessment Group Living Environment (Capacity 4-6)</t>
  </si>
  <si>
    <t>Intensive Behavioral Assessment Group Living Environment (Capacity 10-12)</t>
  </si>
  <si>
    <t>Intensive Fire Safety GLE (Capacity 4-6)</t>
  </si>
  <si>
    <t>CLINICALLY INTENSIVE GLE MODELS</t>
  </si>
  <si>
    <t>Clinically Intensive Group Living Environment (Capacity 4-6)</t>
  </si>
  <si>
    <t>Clinically Intensive Group Living Environment (Capacity 7-9)</t>
  </si>
  <si>
    <t>Clinically Intensive Group Living Environment (Capacity 10-12)</t>
  </si>
  <si>
    <t>Intensive DBTGLE (Capacity 4-6)</t>
  </si>
  <si>
    <t>Intensive DBT GLE (Capacity 7-9)</t>
  </si>
  <si>
    <t>Integrated Team with GLE/SIE</t>
  </si>
  <si>
    <t>GLE/SIE</t>
  </si>
  <si>
    <t>SIEs</t>
  </si>
  <si>
    <t>Medically Intensive GLE</t>
  </si>
  <si>
    <t>Intensive Beh. GLE</t>
  </si>
  <si>
    <t>Intensive Beh. Assess. GLE</t>
  </si>
  <si>
    <t>Intensive Fire Sfty GLE</t>
  </si>
  <si>
    <t>Intensive Dialectical Beh Therapy GLE</t>
  </si>
  <si>
    <t>Clinically Intensive GLE</t>
  </si>
  <si>
    <t xml:space="preserve"> entered incorrectly on UFR</t>
  </si>
  <si>
    <t>(https://malegislature.gov/Laws/SessionLaws/Acts/2014/Chapter144)</t>
  </si>
  <si>
    <t>Categorical outliers removed if below $11.00 ($22,880) minimum wage or</t>
  </si>
  <si>
    <t>Outliers removed if +/-  two standard deviations from the mean.</t>
  </si>
  <si>
    <t>*** Please note the the Meals / food expense was inadvertantly removed from the model budget, but will be included, benchmarked to 101 CMR 420 during the post public hearing prcoess and the GLE rates will be adjusted accordingly</t>
  </si>
  <si>
    <t>*** Please note the the Meals / food expense was inadvertantly removed from the model budget, but will be included, benchmarked to 101 CMR 420 during the post public hearing process and the GLE rates will be adjusted accordingly</t>
  </si>
  <si>
    <t>Post PH addition to rate benchmark: 101 CMR 420: ALTR</t>
  </si>
  <si>
    <t>RATE: Post PH</t>
  </si>
  <si>
    <t>Meals / Food***</t>
  </si>
  <si>
    <t>Post PH Updates</t>
  </si>
  <si>
    <r>
      <t>FY15 UFR, Weighted Average /</t>
    </r>
    <r>
      <rPr>
        <sz val="10"/>
        <color rgb="FFFF0000"/>
        <rFont val="Arial"/>
        <family val="2"/>
      </rPr>
      <t xml:space="preserve"> Previous Proposed Benchmark</t>
    </r>
  </si>
  <si>
    <r>
      <t xml:space="preserve">FY15 UFR, Weighted Average, Assistant Director (LICSW Level) </t>
    </r>
    <r>
      <rPr>
        <sz val="10"/>
        <color rgb="FFFF0000"/>
        <rFont val="Arial"/>
        <family val="2"/>
      </rPr>
      <t>/</t>
    </r>
    <r>
      <rPr>
        <b/>
        <sz val="10"/>
        <color rgb="FFFF0000"/>
        <rFont val="Arial"/>
        <family val="2"/>
      </rPr>
      <t xml:space="preserve"> Previous Proposed Benchmark</t>
    </r>
  </si>
  <si>
    <r>
      <t xml:space="preserve">FY15 UFR, Weighted Average, Assistant Director (LICSW Level) </t>
    </r>
    <r>
      <rPr>
        <b/>
        <sz val="10"/>
        <color rgb="FFFF0000"/>
        <rFont val="Arial"/>
        <family val="2"/>
      </rPr>
      <t>/ Previous Proposed Benchmark</t>
    </r>
  </si>
  <si>
    <t>Current CBFS Contracts</t>
  </si>
  <si>
    <t>Area</t>
  </si>
  <si>
    <t>Site</t>
  </si>
  <si>
    <t>Current Vendor</t>
  </si>
  <si>
    <t>Current 
Capacity</t>
  </si>
  <si>
    <t>Contract Amt</t>
  </si>
  <si>
    <t xml:space="preserve">Contract # </t>
  </si>
  <si>
    <t>Total Capacity</t>
  </si>
  <si>
    <t>Integrated Team Only Capacity</t>
  </si>
  <si>
    <t>Total GLE/SIE Beds</t>
  </si>
  <si>
    <t>Total Intensive GLE Beds</t>
  </si>
  <si>
    <t>Total Post Hearing</t>
  </si>
  <si>
    <t>* Estimated Annualized Spending Amount (Without Occupancy and Contigency Funds)</t>
  </si>
  <si>
    <t>Total Occupancy Amount</t>
  </si>
  <si>
    <t>Contingency Fund Amount</t>
  </si>
  <si>
    <t>NEA</t>
  </si>
  <si>
    <t>Acton</t>
  </si>
  <si>
    <t>Advocates, Inc.</t>
  </si>
  <si>
    <t>Northeast</t>
  </si>
  <si>
    <t>NE1</t>
  </si>
  <si>
    <t>Eliot Community Human Services</t>
  </si>
  <si>
    <t>The Edinburg Center</t>
  </si>
  <si>
    <t>Lawrence (Essex North)</t>
  </si>
  <si>
    <t>Vinfen</t>
  </si>
  <si>
    <t>NE2</t>
  </si>
  <si>
    <t xml:space="preserve">NEA </t>
  </si>
  <si>
    <t>Mental Health Assoc. of Greater Lowell</t>
  </si>
  <si>
    <t>NE3</t>
  </si>
  <si>
    <t>Lynn</t>
  </si>
  <si>
    <t>NE4</t>
  </si>
  <si>
    <t>MIGLE 4-6</t>
  </si>
  <si>
    <t>Wakefield (Metro North)</t>
  </si>
  <si>
    <t>NE5</t>
  </si>
  <si>
    <t>MIGLE 7-9</t>
  </si>
  <si>
    <t>Riverside Community Care</t>
  </si>
  <si>
    <t>MIGLE 10-12</t>
  </si>
  <si>
    <t>Salem (N. Shore)</t>
  </si>
  <si>
    <t>NE6</t>
  </si>
  <si>
    <t>IBGLE 4-6</t>
  </si>
  <si>
    <t>WMA</t>
  </si>
  <si>
    <t>Pittsfield (Berkshire)</t>
  </si>
  <si>
    <t>The Brien Center</t>
  </si>
  <si>
    <t>Western</t>
  </si>
  <si>
    <t>WM1</t>
  </si>
  <si>
    <t>IBGLE 7-9</t>
  </si>
  <si>
    <t>IBGLE 10-12</t>
  </si>
  <si>
    <t>Northampton (Hampshire)</t>
  </si>
  <si>
    <t>ServiceNet</t>
  </si>
  <si>
    <t>WM2</t>
  </si>
  <si>
    <t>IBAGLE 4-6</t>
  </si>
  <si>
    <t>Northampton (TAY Program) **</t>
  </si>
  <si>
    <t>IBAGLE 10-12</t>
  </si>
  <si>
    <t>Holyoke/Chicopee</t>
  </si>
  <si>
    <t>Behavioral Health Network</t>
  </si>
  <si>
    <t>WM3</t>
  </si>
  <si>
    <t>Fire 4-6</t>
  </si>
  <si>
    <t>Center For Human Development</t>
  </si>
  <si>
    <t>CIGLE 4-6</t>
  </si>
  <si>
    <t>WM4</t>
  </si>
  <si>
    <t>CIGLE 7-9</t>
  </si>
  <si>
    <t>Greenfield (Franklin/North Quabbin)</t>
  </si>
  <si>
    <t>WM5</t>
  </si>
  <si>
    <t>CIGLE 10-12</t>
  </si>
  <si>
    <t>Westfield</t>
  </si>
  <si>
    <t>WM6</t>
  </si>
  <si>
    <t>DBTGLE 4-6</t>
  </si>
  <si>
    <t>CMA</t>
  </si>
  <si>
    <t>Canton</t>
  </si>
  <si>
    <t>Central</t>
  </si>
  <si>
    <t>CM1</t>
  </si>
  <si>
    <t>DBTGLE 7-9</t>
  </si>
  <si>
    <t>CM2</t>
  </si>
  <si>
    <t>Fitchburg/Gardner (North County)</t>
  </si>
  <si>
    <t>Alternatives Unlimited</t>
  </si>
  <si>
    <t>CM3</t>
  </si>
  <si>
    <t>Grafton/Millbury (South County)</t>
  </si>
  <si>
    <t>CM4</t>
  </si>
  <si>
    <t>The Bridge of Central MA</t>
  </si>
  <si>
    <t>CM5</t>
  </si>
  <si>
    <t>Westborough</t>
  </si>
  <si>
    <t>CM6</t>
  </si>
  <si>
    <t>CM7</t>
  </si>
  <si>
    <t>Community Healthlink</t>
  </si>
  <si>
    <t>CM8</t>
  </si>
  <si>
    <t>SEA</t>
  </si>
  <si>
    <t>Quincy</t>
  </si>
  <si>
    <t>South Shore Mental Health</t>
  </si>
  <si>
    <t>Southeast</t>
  </si>
  <si>
    <t>SE1</t>
  </si>
  <si>
    <t>SE2</t>
  </si>
  <si>
    <t>Plymouth</t>
  </si>
  <si>
    <t>SE3</t>
  </si>
  <si>
    <t>Brockton Area Multi-Services</t>
  </si>
  <si>
    <t>SE4</t>
  </si>
  <si>
    <t>Taunton/Attleboro</t>
  </si>
  <si>
    <t>Community Counseling of Bristol County</t>
  </si>
  <si>
    <t>SE5</t>
  </si>
  <si>
    <t>Fellowship Health Resources</t>
  </si>
  <si>
    <t>SE6</t>
  </si>
  <si>
    <t>SE7</t>
  </si>
  <si>
    <t>Cape Cod and Islands</t>
  </si>
  <si>
    <t>SE8</t>
  </si>
  <si>
    <t>MBA</t>
  </si>
  <si>
    <t>Cambridge/Somerville (Lindemann)</t>
  </si>
  <si>
    <t>North Suffolk Mental Health</t>
  </si>
  <si>
    <t>MB1</t>
  </si>
  <si>
    <t>Boston (Fuller/Bay Cove)</t>
  </si>
  <si>
    <t>Bay Cove Human Services</t>
  </si>
  <si>
    <t>MB2</t>
  </si>
  <si>
    <t>Boston (Mass Mental)</t>
  </si>
  <si>
    <t>MB3</t>
  </si>
  <si>
    <t>MB4</t>
  </si>
  <si>
    <t>* Does not include Occupancy and Contigency Funds</t>
  </si>
  <si>
    <t>** Capacity of TAY contract re-allocated to Northampton and Greenfield Sites</t>
  </si>
  <si>
    <t>Grand Total:</t>
  </si>
  <si>
    <t>models &amp; Occ</t>
  </si>
  <si>
    <t>with contig funds</t>
  </si>
  <si>
    <t>Proposed ACCS Contracts</t>
  </si>
  <si>
    <t>Proposed ACCS Contracts- using Post Hearing rates (food increase and Salary increases only)</t>
  </si>
  <si>
    <t>I-Team add-on</t>
  </si>
  <si>
    <t>Intensive Bed cost post PH</t>
  </si>
  <si>
    <r>
      <t xml:space="preserve">This is </t>
    </r>
    <r>
      <rPr>
        <sz val="11"/>
        <color rgb="FFFF0000"/>
        <rFont val="Calibri"/>
        <family val="2"/>
        <scheme val="minor"/>
      </rPr>
      <t>PRE</t>
    </r>
    <r>
      <rPr>
        <sz val="11"/>
        <color theme="1"/>
        <rFont val="Calibri"/>
        <family val="2"/>
        <scheme val="minor"/>
      </rPr>
      <t xml:space="preserve"> Public Hearing Fiscal impact</t>
    </r>
  </si>
  <si>
    <r>
      <t xml:space="preserve">This is </t>
    </r>
    <r>
      <rPr>
        <b/>
        <sz val="11"/>
        <color rgb="FFFF0000"/>
        <rFont val="Calibri"/>
        <family val="2"/>
        <scheme val="minor"/>
      </rPr>
      <t>POST</t>
    </r>
    <r>
      <rPr>
        <sz val="11"/>
        <rFont val="Calibri"/>
        <family val="2"/>
        <scheme val="minor"/>
      </rPr>
      <t xml:space="preserve"> Public Hearing Fiscal impact</t>
    </r>
  </si>
  <si>
    <t>Additional Cost</t>
  </si>
  <si>
    <t>Discreet Meal Expenses held back at DMH</t>
  </si>
  <si>
    <t>Implementation of the proposed rates for New Model services represents an increase of approximately $81,974,281 to $361,974,281, or 29.3%. CBFS currently serves 11,200 enrollees with a total program cost of approximately $280,000,000. The grid below displays the estimated costs by service:</t>
  </si>
  <si>
    <t>Service Component</t>
  </si>
  <si>
    <t># Consumers Served</t>
  </si>
  <si>
    <t>Estimated Costs</t>
  </si>
  <si>
    <t>Percent of Total Costs</t>
  </si>
  <si>
    <t>Standard GLE</t>
  </si>
  <si>
    <t>Occupancy Costs</t>
  </si>
  <si>
    <t>Excluded Costs to Reimburse Providers*</t>
  </si>
  <si>
    <t>*Costs excluded from the rate calculations that will be reimbursed to providers include the following UFR line items: Direct Care Consultant (201), Temporary Help (202), Clients and Caregivers Reim./Stipend (203), Meals (207), Incidental Medical/Medicine/Pharmacy (209), Client Personal Allowances (211), and Provision Material Goods/Svs/Benefits (212)</t>
  </si>
  <si>
    <t>Basis for Secretary Memo and ANF Ask</t>
  </si>
  <si>
    <r>
      <t>FY15 UFR, Weighted Average /</t>
    </r>
    <r>
      <rPr>
        <sz val="10"/>
        <color rgb="FFFF0000"/>
        <rFont val="Arial"/>
        <family val="2"/>
      </rPr>
      <t xml:space="preserve"> FY16 Weighted Average</t>
    </r>
  </si>
  <si>
    <t>Post PH</t>
  </si>
  <si>
    <t>new FI post PH</t>
  </si>
  <si>
    <t>Variance from Post PH</t>
  </si>
  <si>
    <r>
      <t>•</t>
    </r>
    <r>
      <rPr>
        <sz val="7"/>
        <color rgb="FF1F497D"/>
        <rFont val="Times New Roman"/>
        <family val="1"/>
      </rPr>
      <t xml:space="preserve">         </t>
    </r>
    <r>
      <rPr>
        <sz val="9"/>
        <color rgb="FF1F497D"/>
        <rFont val="Arial"/>
        <family val="2"/>
      </rPr>
      <t>Based on the current FY18 CBFS funding level, the FY19 incremental appropriation necessary to fully fund the New Model is estimated at $83.2M, offset by $46.4M in additional revenue, for a net increase of $36.8M.</t>
    </r>
  </si>
  <si>
    <r>
      <t>o</t>
    </r>
    <r>
      <rPr>
        <sz val="7"/>
        <color rgb="FF1F497D"/>
        <rFont val="Times New Roman"/>
        <family val="1"/>
      </rPr>
      <t xml:space="preserve">   </t>
    </r>
    <r>
      <rPr>
        <b/>
        <sz val="9"/>
        <color rgb="FF1F497D"/>
        <rFont val="Arial"/>
        <family val="2"/>
      </rPr>
      <t xml:space="preserve">$61.7M </t>
    </r>
    <r>
      <rPr>
        <sz val="9"/>
        <color rgb="FF1F497D"/>
        <rFont val="Arial"/>
        <family val="2"/>
      </rPr>
      <t>– to fund the c.257 rate increase: 1) assumes FY18 base should be $24M higher pursuant to requirements of c. 257; and 2) represents the enhanced clinical and staffing requirements under the new model</t>
    </r>
  </si>
  <si>
    <r>
      <t>o</t>
    </r>
    <r>
      <rPr>
        <sz val="7"/>
        <color rgb="FF1F497D"/>
        <rFont val="Times New Roman"/>
        <family val="1"/>
      </rPr>
      <t xml:space="preserve">   </t>
    </r>
    <r>
      <rPr>
        <b/>
        <sz val="9"/>
        <color rgb="FF1F497D"/>
        <rFont val="Arial"/>
        <family val="2"/>
      </rPr>
      <t xml:space="preserve">$16M </t>
    </r>
    <r>
      <rPr>
        <sz val="9"/>
        <color rgb="FF1F497D"/>
        <rFont val="Arial"/>
        <family val="2"/>
      </rPr>
      <t xml:space="preserve">– to support ISA with MassHealth for care coordination provided to DMH clients through BHCP; </t>
    </r>
  </si>
  <si>
    <r>
      <t>o</t>
    </r>
    <r>
      <rPr>
        <sz val="7"/>
        <color rgb="FF1F497D"/>
        <rFont val="Times New Roman"/>
        <family val="1"/>
      </rPr>
      <t xml:space="preserve">   </t>
    </r>
    <r>
      <rPr>
        <b/>
        <sz val="9"/>
        <color rgb="FF1F497D"/>
        <rFont val="Arial"/>
        <family val="2"/>
      </rPr>
      <t xml:space="preserve">$4.5M </t>
    </r>
    <r>
      <rPr>
        <sz val="9"/>
        <color rgb="FF1F497D"/>
        <rFont val="Arial"/>
        <family val="2"/>
      </rPr>
      <t xml:space="preserve">– to fund employment support services not included in the new program model. </t>
    </r>
  </si>
  <si>
    <t>Offsets:</t>
  </si>
  <si>
    <t>FY18 Base</t>
  </si>
  <si>
    <t>New Spend</t>
  </si>
  <si>
    <t>Revenue</t>
  </si>
  <si>
    <t>Spending</t>
  </si>
  <si>
    <t>Net Impact</t>
  </si>
  <si>
    <t>DMH Spend</t>
  </si>
  <si>
    <t>Ch.257 Rate Impact</t>
  </si>
  <si>
    <t>ISA w/MassHealth for BHCP</t>
  </si>
  <si>
    <t>Employment</t>
  </si>
  <si>
    <t>DMH Rental Assistance</t>
  </si>
  <si>
    <t>SUD Waiver</t>
  </si>
  <si>
    <t>Federal Reimbursement</t>
  </si>
  <si>
    <t>FY18 Salary Reserve</t>
  </si>
  <si>
    <t>FY18 CAF Payment</t>
  </si>
  <si>
    <t>Meals Contingency fund</t>
  </si>
  <si>
    <t>ISA differential on 16M</t>
  </si>
  <si>
    <t>Occupancy Differential (planned vs actual)</t>
  </si>
  <si>
    <t>Post Public Hearing</t>
  </si>
  <si>
    <t>variance</t>
  </si>
  <si>
    <t>Variance - occupancy</t>
  </si>
  <si>
    <t>Variance ISA</t>
  </si>
  <si>
    <t>Variance for Secy Memo</t>
  </si>
  <si>
    <t>Variance based off Staff Testimony - only models and occupancy - no offsets or anything else</t>
  </si>
  <si>
    <t>Variance in Contignecy funds</t>
  </si>
  <si>
    <t>Intensive GLE</t>
  </si>
  <si>
    <t>ISA Costs to Add MH</t>
  </si>
  <si>
    <t>ISA Costs to Add MRC</t>
  </si>
  <si>
    <t>ISA Costs to Add DHC</t>
  </si>
  <si>
    <t xml:space="preserve"> Previous Proposed Benchmark</t>
  </si>
  <si>
    <t xml:space="preserve"> FY16 Weighted Average</t>
  </si>
  <si>
    <t>CY2020Q2; Prospective period FY21 &amp; FY22</t>
  </si>
  <si>
    <t>CY2015Q2; Prospective period FY19 &amp; FY20</t>
  </si>
  <si>
    <t>Effective 10/2019</t>
  </si>
  <si>
    <t>current rate</t>
  </si>
  <si>
    <t>% change</t>
  </si>
  <si>
    <t xml:space="preserve"> PFLMA Trust Contribution</t>
  </si>
  <si>
    <t>FY16 UFR, Weighted Average, Program Function Manager</t>
  </si>
  <si>
    <t>Benchmark: 101 CMR 420: ALTR</t>
  </si>
  <si>
    <t>PFLMA Trust Contribution</t>
  </si>
  <si>
    <t>**  meals added Post PH do not include Admin 12% or CAF 7.68%</t>
  </si>
  <si>
    <t xml:space="preserve"> </t>
  </si>
  <si>
    <t>FY15 UFR, Weighted Average, Program Function Manager</t>
  </si>
  <si>
    <t xml:space="preserve">  Meals / Food***</t>
  </si>
  <si>
    <t>NO CAF</t>
  </si>
  <si>
    <t xml:space="preserve">RATE: </t>
  </si>
  <si>
    <t>IHS Markit, Fall 2019 Forecast</t>
  </si>
  <si>
    <t>FY22</t>
  </si>
  <si>
    <t>FY23</t>
  </si>
  <si>
    <t>2022Q1</t>
  </si>
  <si>
    <t>2022Q2</t>
  </si>
  <si>
    <t>2022Q3</t>
  </si>
  <si>
    <t>2022Q4</t>
  </si>
  <si>
    <t>2023Q1</t>
  </si>
  <si>
    <t>2023Q2</t>
  </si>
  <si>
    <t>2023Q3</t>
  </si>
  <si>
    <t>2023Q4</t>
  </si>
  <si>
    <t>2024Q1</t>
  </si>
  <si>
    <t>2024Q2</t>
  </si>
  <si>
    <t>2024Q3</t>
  </si>
  <si>
    <t>2024Q4</t>
  </si>
  <si>
    <t>Assumption for Rate Reviews that are to be promulgated  July 1, 2020</t>
  </si>
  <si>
    <t>FY20Q4</t>
  </si>
  <si>
    <t>FY21 - FY22</t>
  </si>
  <si>
    <t>RATE</t>
  </si>
  <si>
    <t>Assessment</t>
  </si>
  <si>
    <t xml:space="preserve">Assessment </t>
  </si>
  <si>
    <t xml:space="preserve">** To be used for Int Beh Assessment and Int Beh </t>
  </si>
  <si>
    <t>current rate:</t>
  </si>
  <si>
    <t xml:space="preserve">  PFLMA Trust Contribution</t>
  </si>
  <si>
    <t>current  rate</t>
  </si>
  <si>
    <t>Benchmark: 101 CMR 420: ALTR for FY21 &amp; FY22</t>
  </si>
  <si>
    <t>BLS</t>
  </si>
  <si>
    <r>
      <rPr>
        <i/>
        <u/>
        <sz val="10"/>
        <rFont val="Arial"/>
        <family val="2"/>
      </rPr>
      <t>Note</t>
    </r>
    <r>
      <rPr>
        <i/>
        <sz val="10"/>
        <rFont val="Arial"/>
        <family val="2"/>
      </rPr>
      <t>: Increments of 40 more hours of coverage for 7-9 and 80 more hours for 10-12 would be applied to the 4-6 model coverage model above.</t>
    </r>
  </si>
  <si>
    <t>Median</t>
  </si>
  <si>
    <t>BLS MA</t>
  </si>
  <si>
    <t>Position</t>
  </si>
  <si>
    <t>50th percentile</t>
  </si>
  <si>
    <t>Avg</t>
  </si>
  <si>
    <t>Minimum Education and/or certification</t>
  </si>
  <si>
    <t>C.257 Average</t>
  </si>
  <si>
    <t>Hourly Difference b/w Avg &amp; C.257</t>
  </si>
  <si>
    <t>Direct Care I &amp; II Blend (hourly)</t>
  </si>
  <si>
    <t>Direct Care, Direct Care Blend, Non Specialized DC, Peer mentor, Family Specialist</t>
  </si>
  <si>
    <t>High School diploma / GED / State Training</t>
  </si>
  <si>
    <t>Direct Care I &amp; II Blend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</si>
  <si>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</si>
  <si>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</si>
  <si>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</si>
  <si>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</si>
  <si>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</si>
  <si>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</si>
  <si>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</si>
  <si>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</si>
  <si>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</si>
  <si>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</si>
  <si>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</si>
  <si>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Case Manager / Social Worker / Clinical w/o independent License (hourly)</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</si>
  <si>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</si>
  <si>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</si>
  <si>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</si>
  <si>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</si>
  <si>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</si>
  <si>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</si>
  <si>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</si>
  <si>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(hourly)</t>
  </si>
  <si>
    <t>Clinical Manager, Clinical Director, Supervising Professional</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</si>
  <si>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</si>
  <si>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</si>
  <si>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</si>
  <si>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</si>
  <si>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</si>
  <si>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</si>
  <si>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</si>
  <si>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</si>
  <si>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</si>
  <si>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</si>
  <si>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</si>
  <si>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Support and Relief Staff are Benchmarked to Direct Care I &amp; II</t>
  </si>
  <si>
    <t xml:space="preserve">Overnight staff (asleep or awake) bench to $14.25 / hr </t>
  </si>
  <si>
    <t xml:space="preserve">Tax and Fringe  =  </t>
  </si>
  <si>
    <t>CAF =</t>
  </si>
  <si>
    <t>PFMLA =</t>
  </si>
  <si>
    <r>
      <rPr>
        <i/>
        <u/>
        <sz val="10"/>
        <rFont val="Arial"/>
        <family val="2"/>
      </rPr>
      <t>Note</t>
    </r>
    <r>
      <rPr>
        <i/>
        <sz val="10"/>
        <rFont val="Arial"/>
        <family val="2"/>
      </rPr>
      <t>:</t>
    </r>
    <r>
      <rPr>
        <sz val="10"/>
        <rFont val="Arial"/>
        <family val="2"/>
      </rPr>
      <t xml:space="preserve"> The shared space figures used above and summarized below were used because services are mostly not performed in the office and not all of the staff will be on at the same time. As a result, the shared space model below was applied.</t>
    </r>
  </si>
  <si>
    <t>Needed to correct formula b/c didn’t include all DC in relief</t>
  </si>
  <si>
    <t xml:space="preserve">  Direct Care I &amp; II</t>
  </si>
  <si>
    <t xml:space="preserve">  Direct Care III</t>
  </si>
  <si>
    <t>FY21 Add-on hourly rate</t>
  </si>
  <si>
    <t xml:space="preserve">  </t>
  </si>
  <si>
    <t>ALTR 101 CMR 420  Effective 7/1/20- 6/30/22</t>
  </si>
  <si>
    <t>ALTR only</t>
  </si>
  <si>
    <t>Direct Care (Intermediate/Medical)</t>
  </si>
  <si>
    <t>Certified Nursing Assistant</t>
  </si>
  <si>
    <t>Clinician w/Independent Lic</t>
  </si>
  <si>
    <t>Phycologist (MA Lvl)</t>
  </si>
  <si>
    <t>Phycologist (PhD Lvl)</t>
  </si>
  <si>
    <t>Source</t>
  </si>
  <si>
    <t>BLS /OES Massachusetts Median 2018</t>
  </si>
  <si>
    <t>Tax &amp; Fringe</t>
  </si>
  <si>
    <t>Commonwealth FY20 Rate</t>
  </si>
  <si>
    <t>Total Tax &amp; Fringe</t>
  </si>
  <si>
    <t>Subtotal Compensation</t>
  </si>
  <si>
    <t>PFMLA</t>
  </si>
  <si>
    <t>TOTAL COMPENSATION</t>
  </si>
  <si>
    <t>CAF</t>
  </si>
  <si>
    <t>Billable Hours</t>
  </si>
  <si>
    <t>Proposed FY21 Rates</t>
  </si>
  <si>
    <t>Current Rate(s)</t>
  </si>
  <si>
    <t>% of Change(s)</t>
  </si>
  <si>
    <t xml:space="preserve">            can be billed in 15 minute increments</t>
  </si>
  <si>
    <t>Direct Care Productivity Chart</t>
  </si>
  <si>
    <t>Nursing and Other Staff Productivity Chart</t>
  </si>
  <si>
    <t>Paid Time Off (PTO)</t>
  </si>
  <si>
    <t>Training (not OJT)</t>
  </si>
  <si>
    <t>Travel / Admin / Supervision / Training / Misc</t>
  </si>
  <si>
    <t>Also found in:</t>
  </si>
  <si>
    <t>ALTR</t>
  </si>
  <si>
    <t>Shared Living</t>
  </si>
  <si>
    <t>Day Hab Sup</t>
  </si>
  <si>
    <t>FY15 UFR, Weighted Average, Assistant Director (LICSW Level) / Previous Proposed Benchmark</t>
  </si>
  <si>
    <t xml:space="preserve">  DC Evening Supervisor (DC III)</t>
  </si>
  <si>
    <t xml:space="preserve">   Direct Care III</t>
  </si>
  <si>
    <t xml:space="preserve">  Direct Care I + II</t>
  </si>
  <si>
    <t xml:space="preserve">    Direct Care III</t>
  </si>
  <si>
    <t>Program Service Model </t>
  </si>
  <si>
    <t>Per Enrolled Day Rate</t>
  </si>
  <si>
    <t>Supervised Group Living Environment (GLEs):</t>
  </si>
  <si>
    <t xml:space="preserve">            Fewer than 13 Beds (Standard GLEs)</t>
  </si>
  <si>
    <t>Supported Independent Environments (SIEs):</t>
  </si>
  <si>
    <t xml:space="preserve">            13 to 16 Beds (Model A)</t>
  </si>
  <si>
    <t xml:space="preserve">            17 to 25 Beds (Model B)</t>
  </si>
  <si>
    <t xml:space="preserve">            26 to 35 Beds (Model C)</t>
  </si>
  <si>
    <t xml:space="preserve"> Intensive Group Living Environment Services:</t>
  </si>
  <si>
    <t>2018 Rates in Reg</t>
  </si>
  <si>
    <t>Proposed Per Enrolled Day Rate</t>
  </si>
  <si>
    <t>% Change</t>
  </si>
  <si>
    <t xml:space="preserve">            Four to Six Beds</t>
  </si>
  <si>
    <t xml:space="preserve">            Seven to Nine Beds</t>
  </si>
  <si>
    <t xml:space="preserve">            Ten to 12 Beds</t>
  </si>
  <si>
    <r>
      <t xml:space="preserve">          Medically Intensive </t>
    </r>
    <r>
      <rPr>
        <sz val="11"/>
        <color theme="1"/>
        <rFont val="Times New Roman"/>
        <family val="1"/>
      </rPr>
      <t>Group Living Environment</t>
    </r>
    <r>
      <rPr>
        <sz val="11"/>
        <color rgb="FF000000"/>
        <rFont val="Times New Roman"/>
        <family val="1"/>
      </rPr>
      <t>:  Four to Six Beds</t>
    </r>
  </si>
  <si>
    <r>
      <t xml:space="preserve">          Medically Intensive </t>
    </r>
    <r>
      <rPr>
        <sz val="11"/>
        <color theme="1"/>
        <rFont val="Times New Roman"/>
        <family val="1"/>
      </rPr>
      <t>Group Living Environment</t>
    </r>
    <r>
      <rPr>
        <sz val="11"/>
        <color rgb="FF000000"/>
        <rFont val="Times New Roman"/>
        <family val="1"/>
      </rPr>
      <t>:  Seven to Nine Beds</t>
    </r>
  </si>
  <si>
    <r>
      <t xml:space="preserve">          Medically Intensive </t>
    </r>
    <r>
      <rPr>
        <sz val="11"/>
        <color theme="1"/>
        <rFont val="Times New Roman"/>
        <family val="1"/>
      </rPr>
      <t>Group Living Environment</t>
    </r>
    <r>
      <rPr>
        <sz val="11"/>
        <color rgb="FF000000"/>
        <rFont val="Times New Roman"/>
        <family val="1"/>
      </rPr>
      <t>:  Ten to 12 Beds</t>
    </r>
  </si>
  <si>
    <r>
      <t xml:space="preserve">          Intensive Behavioral </t>
    </r>
    <r>
      <rPr>
        <sz val="11"/>
        <color theme="1"/>
        <rFont val="Times New Roman"/>
        <family val="1"/>
      </rPr>
      <t>Group Living Environment</t>
    </r>
    <r>
      <rPr>
        <sz val="11"/>
        <color rgb="FF000000"/>
        <rFont val="Times New Roman"/>
        <family val="1"/>
      </rPr>
      <t>:  Four to Six Beds</t>
    </r>
  </si>
  <si>
    <r>
      <t xml:space="preserve">          Intensive Behavioral </t>
    </r>
    <r>
      <rPr>
        <sz val="11"/>
        <color theme="1"/>
        <rFont val="Times New Roman"/>
        <family val="1"/>
      </rPr>
      <t>Group Living Environment</t>
    </r>
    <r>
      <rPr>
        <sz val="11"/>
        <color rgb="FF000000"/>
        <rFont val="Times New Roman"/>
        <family val="1"/>
      </rPr>
      <t>:  Seven to Nine Beds</t>
    </r>
  </si>
  <si>
    <r>
      <t xml:space="preserve">          Intensive Behavioral </t>
    </r>
    <r>
      <rPr>
        <sz val="11"/>
        <color theme="1"/>
        <rFont val="Times New Roman"/>
        <family val="1"/>
      </rPr>
      <t>Group Living Environment</t>
    </r>
    <r>
      <rPr>
        <sz val="11"/>
        <color rgb="FF000000"/>
        <rFont val="Times New Roman"/>
        <family val="1"/>
      </rPr>
      <t>:  Ten to 12 Beds</t>
    </r>
  </si>
  <si>
    <r>
      <t xml:space="preserve">          Intensive Behavioral Assessment </t>
    </r>
    <r>
      <rPr>
        <sz val="11"/>
        <color theme="1"/>
        <rFont val="Times New Roman"/>
        <family val="1"/>
      </rPr>
      <t>Group Living Environment</t>
    </r>
    <r>
      <rPr>
        <sz val="11"/>
        <color rgb="FF000000"/>
        <rFont val="Times New Roman"/>
        <family val="1"/>
      </rPr>
      <t>:  Four to Six Beds</t>
    </r>
  </si>
  <si>
    <r>
      <t xml:space="preserve">          Intensive Behavioral Assessment </t>
    </r>
    <r>
      <rPr>
        <sz val="11"/>
        <color theme="1"/>
        <rFont val="Times New Roman"/>
        <family val="1"/>
      </rPr>
      <t>Group Living Environment</t>
    </r>
    <r>
      <rPr>
        <sz val="11"/>
        <color rgb="FF000000"/>
        <rFont val="Times New Roman"/>
        <family val="1"/>
      </rPr>
      <t>:  Ten to 12 Beds</t>
    </r>
  </si>
  <si>
    <r>
      <t xml:space="preserve">          Intensive Fire Safety </t>
    </r>
    <r>
      <rPr>
        <sz val="11"/>
        <color theme="1"/>
        <rFont val="Times New Roman"/>
        <family val="1"/>
      </rPr>
      <t>Group Living Environment</t>
    </r>
    <r>
      <rPr>
        <sz val="11"/>
        <color rgb="FF000000"/>
        <rFont val="Times New Roman"/>
        <family val="1"/>
      </rPr>
      <t>:  Four to Six Beds</t>
    </r>
  </si>
  <si>
    <r>
      <t xml:space="preserve">          Clinically Intensive </t>
    </r>
    <r>
      <rPr>
        <sz val="11"/>
        <color theme="1"/>
        <rFont val="Times New Roman"/>
        <family val="1"/>
      </rPr>
      <t>Group Living Environment</t>
    </r>
    <r>
      <rPr>
        <sz val="11"/>
        <color rgb="FF000000"/>
        <rFont val="Times New Roman"/>
        <family val="1"/>
      </rPr>
      <t>:  Four to Six Beds</t>
    </r>
  </si>
  <si>
    <r>
      <t xml:space="preserve">          Clinically Intensive </t>
    </r>
    <r>
      <rPr>
        <sz val="11"/>
        <color theme="1"/>
        <rFont val="Times New Roman"/>
        <family val="1"/>
      </rPr>
      <t>Group Living Environment</t>
    </r>
    <r>
      <rPr>
        <sz val="11"/>
        <color rgb="FF000000"/>
        <rFont val="Times New Roman"/>
        <family val="1"/>
      </rPr>
      <t>:  Seven to Nine Beds</t>
    </r>
  </si>
  <si>
    <r>
      <t xml:space="preserve">          Clinically Intensive </t>
    </r>
    <r>
      <rPr>
        <sz val="11"/>
        <color theme="1"/>
        <rFont val="Times New Roman"/>
        <family val="1"/>
      </rPr>
      <t>Group Living Environment</t>
    </r>
    <r>
      <rPr>
        <sz val="11"/>
        <color rgb="FF000000"/>
        <rFont val="Times New Roman"/>
        <family val="1"/>
      </rPr>
      <t>: Ten to 12 Beds</t>
    </r>
  </si>
  <si>
    <r>
      <t xml:space="preserve">          Intensive Dialectical Behavioral Therapy </t>
    </r>
    <r>
      <rPr>
        <sz val="11"/>
        <color theme="1"/>
        <rFont val="Times New Roman"/>
        <family val="1"/>
      </rPr>
      <t>Group Living Environment</t>
    </r>
    <r>
      <rPr>
        <sz val="11"/>
        <color rgb="FF000000"/>
        <rFont val="Times New Roman"/>
        <family val="1"/>
      </rPr>
      <t>:  Four to Six Beds</t>
    </r>
  </si>
  <si>
    <r>
      <t xml:space="preserve">          Intensive Dialectical Behavioral Therapy </t>
    </r>
    <r>
      <rPr>
        <sz val="11"/>
        <color theme="1"/>
        <rFont val="Times New Roman"/>
        <family val="1"/>
      </rPr>
      <t>Group Living Environment</t>
    </r>
    <r>
      <rPr>
        <sz val="11"/>
        <color rgb="FF000000"/>
        <rFont val="Times New Roman"/>
        <family val="1"/>
      </rPr>
      <t>:  Seven to Nine Beds</t>
    </r>
  </si>
  <si>
    <t>$ Change</t>
  </si>
  <si>
    <t>LDAC1,  LMSW, LCSW, CADAC</t>
  </si>
  <si>
    <t xml:space="preserve">  Cultural Facilitator</t>
  </si>
  <si>
    <t xml:space="preserve">    Housing Coordinator/DC III</t>
  </si>
  <si>
    <t>NOTES:</t>
  </si>
  <si>
    <t xml:space="preserve">Peer &amp; Family Specialist </t>
  </si>
  <si>
    <t xml:space="preserve"> per Brooke : Benchmark uses stipulation of higher Education</t>
  </si>
  <si>
    <t>built in contract standard requirements are built in the title</t>
  </si>
  <si>
    <t>min of 3/certification /lived experience</t>
  </si>
  <si>
    <t>Cultural Facilitator</t>
  </si>
  <si>
    <t>intended to be someone w/ language specialized skill</t>
  </si>
  <si>
    <t>ASL/Cultural language/</t>
  </si>
  <si>
    <t>should be fixed dollar  amount</t>
  </si>
  <si>
    <t>BTL cost</t>
  </si>
  <si>
    <t>not clinical they broker lease  w/ gov't private entities</t>
  </si>
  <si>
    <t>Housing Coordinator = DCIII</t>
  </si>
  <si>
    <t>has R/E license</t>
  </si>
  <si>
    <t>Program /Secretarial-</t>
  </si>
  <si>
    <t>more of an admin function</t>
  </si>
  <si>
    <t>add FTE to match current $  (move 1.0 to 1.5)</t>
  </si>
  <si>
    <t xml:space="preserve">Substance Abuse Counselor </t>
  </si>
  <si>
    <t>licensed addiction xounselor by MA</t>
  </si>
  <si>
    <t>or CADAC</t>
  </si>
  <si>
    <t xml:space="preserve">Clients: </t>
  </si>
  <si>
    <t>Total program staff</t>
  </si>
  <si>
    <t>Tax &amp; fringe</t>
  </si>
  <si>
    <t>Occupancy - 150 ft2 / FTE</t>
  </si>
  <si>
    <t>Subtotal program costs</t>
  </si>
  <si>
    <t>Total with CAF</t>
  </si>
  <si>
    <t>RATE per client / month</t>
  </si>
  <si>
    <t xml:space="preserve">    Direct Care</t>
  </si>
  <si>
    <t xml:space="preserve">  Direct Care</t>
  </si>
  <si>
    <t xml:space="preserve">    Direct Care </t>
  </si>
  <si>
    <t>Add- On</t>
  </si>
  <si>
    <t xml:space="preserve">Lease Management </t>
  </si>
  <si>
    <t>Psychological Consults</t>
  </si>
  <si>
    <t>C.257 Benchmark FY21 &amp; FY22</t>
  </si>
  <si>
    <t xml:space="preserve">Effective 10/2019  </t>
  </si>
  <si>
    <t xml:space="preserve">FY19 </t>
  </si>
  <si>
    <t>Units</t>
  </si>
  <si>
    <t>Spend</t>
  </si>
  <si>
    <t xml:space="preserve"> BLS /OES Massachusetts Median 2018</t>
  </si>
  <si>
    <t>BLS /OES Massachusetts Median 2019</t>
  </si>
  <si>
    <t>BLS /OES Massachusetts Median 2020</t>
  </si>
  <si>
    <t>BLS /OES Massachusetts Median 2021</t>
  </si>
  <si>
    <t>Variance</t>
  </si>
  <si>
    <t xml:space="preserve">    Substance Abuse Counselor/ LSW</t>
  </si>
  <si>
    <t>Occupancy</t>
  </si>
  <si>
    <t>Provider Name</t>
  </si>
  <si>
    <t>Contract ID#</t>
  </si>
  <si>
    <t>TTL</t>
  </si>
  <si>
    <t xml:space="preserve">THE BRIEN CENTER </t>
  </si>
  <si>
    <t>SCDMH13100191378WM1B</t>
  </si>
  <si>
    <t>SERVICENET INC</t>
  </si>
  <si>
    <t>SCDMH13200191380WM2B</t>
  </si>
  <si>
    <t>CENTER FOR HUMAN</t>
  </si>
  <si>
    <t>SCDMH13300191382WM3B</t>
  </si>
  <si>
    <t>SCDMH13400191387WM4B</t>
  </si>
  <si>
    <t>BEHAVIORAL HEALTH NETWORK INC</t>
  </si>
  <si>
    <t>SCDMH13500191389WM6B</t>
  </si>
  <si>
    <t>SCDMH13600191391WM5B</t>
  </si>
  <si>
    <t>THE BRIDGE OF CENTRAL MASS INC</t>
  </si>
  <si>
    <t>SCDMH23100192506CM3B</t>
  </si>
  <si>
    <t>RIVERSIDE COMMUNITY CARE INC</t>
  </si>
  <si>
    <t>SCDMH23200192508CM4B</t>
  </si>
  <si>
    <t>SCDMH23200192510CM5B</t>
  </si>
  <si>
    <t>SCDMH23300192512CM7B</t>
  </si>
  <si>
    <t>COMMUNITY HEALTHLINK INC</t>
  </si>
  <si>
    <t>SCDMH23300192514CM8B</t>
  </si>
  <si>
    <t>ADVOCATES INC</t>
  </si>
  <si>
    <t>SCDMH23400192516CM6B</t>
  </si>
  <si>
    <t>SCDMH23500192518CM1B</t>
  </si>
  <si>
    <t>SCDMH23500192523CM2B</t>
  </si>
  <si>
    <t>VINFEN CORPORATION</t>
  </si>
  <si>
    <t>SCDMH33100193802NE3B</t>
  </si>
  <si>
    <t>SCDMH33200193804NE2B</t>
  </si>
  <si>
    <t>ELIOT COMMUNITY HUMAN SRVCS</t>
  </si>
  <si>
    <t>SCDMH33400193806NE6B</t>
  </si>
  <si>
    <t>SCDMH33500193808NE4B</t>
  </si>
  <si>
    <t>SCDMH33600193810NE5B</t>
  </si>
  <si>
    <t>THE EDINBURG CENTER INC</t>
  </si>
  <si>
    <t>SCDMH33700193812NE7B</t>
  </si>
  <si>
    <t>SCDMH33700193814NE8B</t>
  </si>
  <si>
    <t>FELLOWSHIP HEALTH RESOURCES</t>
  </si>
  <si>
    <t>SCDMH53100195573SE7B</t>
  </si>
  <si>
    <t>COMM COUNSELING OF B C INC</t>
  </si>
  <si>
    <t>SCDMH53200195569SE5B</t>
  </si>
  <si>
    <t>SCDMH53300195571SE6B</t>
  </si>
  <si>
    <t>SCDMH53400195560SE3B</t>
  </si>
  <si>
    <t>SCDMH53500195575SE8B</t>
  </si>
  <si>
    <t>BROCKTON AREA MULTI-SERVS INC</t>
  </si>
  <si>
    <t>SCDMH53600195562SE4B</t>
  </si>
  <si>
    <t>SOUTH SHORE MENTAL HEALTH CENTER INC</t>
  </si>
  <si>
    <t>SCDMH53800195556SE1B</t>
  </si>
  <si>
    <t>SCDMH53800195558SE2B</t>
  </si>
  <si>
    <t>BAY COVE HUMAN SERVICES INC</t>
  </si>
  <si>
    <t>SCDMH63100196437MB2B</t>
  </si>
  <si>
    <t>NORTH SUFFOLK MENTAL</t>
  </si>
  <si>
    <t>SCDMH63200196435MB1B</t>
  </si>
  <si>
    <t>SCDMH63200196449MB4B</t>
  </si>
  <si>
    <t>SCDMH63300196447MB3B</t>
  </si>
  <si>
    <t>Staff Training</t>
  </si>
  <si>
    <t>Other  Program Expenses per FTE</t>
  </si>
  <si>
    <t xml:space="preserve">          Medically Intensive Group Living Environment:  Four to Six Beds</t>
  </si>
  <si>
    <t xml:space="preserve">          Medically Intensive Group Living Environment:  Seven to Nine Beds</t>
  </si>
  <si>
    <t xml:space="preserve">          Medically Intensive Group Living Environment:  Ten to 12 Beds</t>
  </si>
  <si>
    <t xml:space="preserve">          Intensive Behavioral Group Living Environment:  Four to Six Beds</t>
  </si>
  <si>
    <t xml:space="preserve">          Intensive Behavioral Group Living Environment:  Seven to Nine Beds</t>
  </si>
  <si>
    <t xml:space="preserve">          Intensive Behavioral Group Living Environment:  Ten to 12 Beds</t>
  </si>
  <si>
    <t xml:space="preserve">          Intensive Behavioral Assessment Group Living Environment:  Four to Six Beds</t>
  </si>
  <si>
    <t xml:space="preserve">          Intensive Behavioral Assessment Group Living Environment:  Ten to 12 Beds</t>
  </si>
  <si>
    <t xml:space="preserve">          Intensive Fire Safety Group Living Environment:  Four to Six Beds</t>
  </si>
  <si>
    <t xml:space="preserve">          Clinically Intensive Group Living Environment:  Four to Six Beds</t>
  </si>
  <si>
    <t xml:space="preserve">          Clinically Intensive Group Living Environment:  Seven to Nine Beds</t>
  </si>
  <si>
    <t xml:space="preserve">          Clinically Intensive Group Living Environment: Ten to 12 Beds</t>
  </si>
  <si>
    <t xml:space="preserve">          Intensive Dialectical Behavioral Therapy Group Living Environment:  Four to Six Beds</t>
  </si>
  <si>
    <t xml:space="preserve">          Intensive Dialectical Behavioral Therapy Group Living Environment:  Seven to Nine Beds</t>
  </si>
  <si>
    <t>WENT TO PH 5/8/20 with :</t>
  </si>
  <si>
    <t>Went to PH with :</t>
  </si>
  <si>
    <t>Changes Post PH include:</t>
  </si>
  <si>
    <t>1. T &amp;F increased to 22.40% from 22.31%</t>
  </si>
  <si>
    <t>WENT TO PH WITH:</t>
  </si>
  <si>
    <t>Change</t>
  </si>
  <si>
    <t>Post Hearing changes</t>
  </si>
  <si>
    <t>POST PUBLIC HEARING CHANGES</t>
  </si>
  <si>
    <t>2. increase Sq Ft to Office Space  by 75 sq ft</t>
  </si>
  <si>
    <t xml:space="preserve">3. Increase training per FTE from $277.78 to $360 </t>
  </si>
  <si>
    <t>Inrease in T&amp;F</t>
  </si>
  <si>
    <t>increase sq ft</t>
  </si>
  <si>
    <t>Training $$$  increase</t>
  </si>
  <si>
    <t>EHS</t>
  </si>
  <si>
    <t>DMH</t>
  </si>
  <si>
    <t>DMH to absorb post PH costs</t>
  </si>
  <si>
    <t>IHS Markit, Spring 2021 Forecast</t>
  </si>
  <si>
    <t>FY24</t>
  </si>
  <si>
    <t>2025Q1</t>
  </si>
  <si>
    <t>2025Q2</t>
  </si>
  <si>
    <t>2025Q3</t>
  </si>
  <si>
    <t>2025Q4</t>
  </si>
  <si>
    <t>Assumption for Rate Reviews that are to be promulgated  January 1, 2022</t>
  </si>
  <si>
    <t>FY22Q2</t>
  </si>
  <si>
    <t>1/1/22 - 12/31/23</t>
  </si>
  <si>
    <t>Source:</t>
  </si>
  <si>
    <t>2017/2018</t>
  </si>
  <si>
    <t>BLS / OES</t>
  </si>
  <si>
    <t>Common model titles (not all inclusive)</t>
  </si>
  <si>
    <t>Minimum Education and/or certification/Training/Experience</t>
  </si>
  <si>
    <t>Direct Care (hourly)</t>
  </si>
  <si>
    <t>Direct Care  (annual)</t>
  </si>
  <si>
    <t>LDAC1</t>
  </si>
  <si>
    <t>LDAC2,  LMSW, LCSW</t>
  </si>
  <si>
    <t>Program Management (hourly)</t>
  </si>
  <si>
    <t>BA Level w/ 3+ years related work experience</t>
  </si>
  <si>
    <t>Program Management (annual)</t>
  </si>
  <si>
    <t>Clerical, Support &amp; Direct Care Relief Staff are benched to Direct Care</t>
  </si>
  <si>
    <t>CY21 min. wage = $13.50 and CY22 min. wage = $14.25 and CY23 = $15.00</t>
  </si>
  <si>
    <t>Admin Allocation</t>
  </si>
  <si>
    <t>C.257 Benchmark</t>
  </si>
  <si>
    <t xml:space="preserve"> BLS /OES Massachusetts Median 2020 *.82 FTE</t>
  </si>
  <si>
    <t>CY2018Q2; Prospective period FY19 &amp; FY20</t>
  </si>
  <si>
    <t>CY2022Q2; Prospective period FY23 &amp; FY24</t>
  </si>
  <si>
    <t>Meals / Food</t>
  </si>
  <si>
    <t>Benchmark: USDA FY22</t>
  </si>
  <si>
    <t>FY20 UFR data</t>
  </si>
  <si>
    <t>FY20 UFR Staff Mileage/Travel 205 (23E) per FTE.</t>
  </si>
  <si>
    <t>FY20 UFR Program Supplies &amp; Materials (33E) per FTE.</t>
  </si>
  <si>
    <t xml:space="preserve">  Meals / Food</t>
  </si>
  <si>
    <t>FY25</t>
  </si>
  <si>
    <t>Assumption for Rate Reviews that are to be promulgated July 1, 2022</t>
  </si>
  <si>
    <t>FY22Q4</t>
  </si>
  <si>
    <t>July 1, 2022 - June 30, 2024</t>
  </si>
  <si>
    <t>a/o 5/12/21</t>
  </si>
  <si>
    <r>
      <t>Median</t>
    </r>
    <r>
      <rPr>
        <b/>
        <sz val="16"/>
        <color indexed="10"/>
        <rFont val="Calibri"/>
        <family val="2"/>
      </rPr>
      <t xml:space="preserve"> </t>
    </r>
  </si>
  <si>
    <t>BLS Occupational Code(s)</t>
  </si>
  <si>
    <t>Direct Care, Direct Care Blend, Non Specialized DC, Peer mentor, Family Specialist/ Partner</t>
  </si>
  <si>
    <t>21-1093, 31-1120, 31-2022, 31-9099, 39-9032</t>
  </si>
  <si>
    <t>21-1094, 21-1015, 21-1018, 21-1023, 39-1098</t>
  </si>
  <si>
    <t xml:space="preserve">Developmental Specialist, </t>
  </si>
  <si>
    <t>31-1131</t>
  </si>
  <si>
    <t>21-1021, 21-1099</t>
  </si>
  <si>
    <t>21-1021, 21-1019, 21-1022</t>
  </si>
  <si>
    <t>29-2061</t>
  </si>
  <si>
    <t>19-3031, 21-1021, 21-1022</t>
  </si>
  <si>
    <t>Dietician / Nutritionist (hourly)</t>
  </si>
  <si>
    <t xml:space="preserve">Bachelors Level </t>
  </si>
  <si>
    <t>29-1031</t>
  </si>
  <si>
    <t>Dietician / Nutritionist (annual)</t>
  </si>
  <si>
    <t xml:space="preserve">Program manager, Program management, </t>
  </si>
  <si>
    <t>11-9151</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</si>
  <si>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</si>
  <si>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</si>
  <si>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</si>
  <si>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</si>
  <si>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</si>
  <si>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</si>
  <si>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</si>
  <si>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</si>
  <si>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</si>
  <si>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</si>
  <si>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</si>
  <si>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19-3031</t>
  </si>
  <si>
    <t>Clinical Manager /  Psychologists  (annual)</t>
  </si>
  <si>
    <t>Speech Language Pathologists (hourly)</t>
  </si>
  <si>
    <t>29-1129, 29-1127</t>
  </si>
  <si>
    <t>Speech Language Pathologists (annual)</t>
  </si>
  <si>
    <t>29-1141</t>
  </si>
  <si>
    <t>29-1171</t>
  </si>
  <si>
    <t>Overnight staff (asleep or awake) benchmarked to $14.25</t>
  </si>
  <si>
    <t xml:space="preserve">Benchmarked to FY21 (proposed) Commonwealth (office of the Comptroller) T&amp;F rate, less </t>
  </si>
  <si>
    <t>Terminal leave, retirement and Paid Family Medical Leave tax (actual FY21 approved was 22.28% )
FY22 Proposed is 21.87% with same parameters as above</t>
  </si>
  <si>
    <t>Medical Director</t>
  </si>
  <si>
    <t>M2020 BLS  Occ Code 29-1228</t>
  </si>
  <si>
    <t>these are not FOIA</t>
  </si>
  <si>
    <t>Psychologist (PhD</t>
  </si>
  <si>
    <t>101 CMR 413 : CT IRTP</t>
  </si>
  <si>
    <t>Current salaries</t>
  </si>
  <si>
    <t>Changes to FY23</t>
  </si>
  <si>
    <t>Adjust all Salaries to BLS/OES 2020</t>
  </si>
  <si>
    <t>Adjust all BTL costs by prior 1.78% CAF or use FY20 UFR when available</t>
  </si>
  <si>
    <t>Remove PFMLA of .37% it will now be included in the T&amp; F %</t>
  </si>
  <si>
    <t>Adjust T&amp;F  for FY23 to 22.22%</t>
  </si>
  <si>
    <t>Add 2% for Retirement /Benefit to Tax &amp; Fringe amount</t>
  </si>
  <si>
    <t>Current Salary</t>
  </si>
  <si>
    <t>Remove PFMLA line of .37% it will now be included in the T&amp; F %</t>
  </si>
  <si>
    <t>Adjust T&amp;F  for FY23 to 22.22% (includes PFLMA 0.37%)</t>
  </si>
  <si>
    <t>2021 Rates in Reg</t>
  </si>
  <si>
    <t>FY21 ACCS: EIM Source - A Contract</t>
  </si>
  <si>
    <t>3055 - ADULT COMMUNITY CLINICAL SERVICES (ACCS)</t>
  </si>
  <si>
    <t xml:space="preserve">FY21 Unit Rate </t>
  </si>
  <si>
    <t>Program Type</t>
  </si>
  <si>
    <t>Rate</t>
  </si>
  <si>
    <t>Total Billed Units</t>
  </si>
  <si>
    <t>Total Billed $ Amount</t>
  </si>
  <si>
    <t>Total Paid Units</t>
  </si>
  <si>
    <t>Total Paid $ Amount</t>
  </si>
  <si>
    <t>QC Calc</t>
  </si>
  <si>
    <t>3055199 - ACCS INTEGRATED TEAM</t>
  </si>
  <si>
    <t>3055212 - ACCS GLE 10-12 BED</t>
  </si>
  <si>
    <t>305526 - ACCS GLE 4-6 BED</t>
  </si>
  <si>
    <t>305529 - ACCS GLE 7-9 BED</t>
  </si>
  <si>
    <t>3055312 - ACCS INTENSIVE GL IB 10-12 BED</t>
  </si>
  <si>
    <t>305536 - ACCS INTENSIVE GL IB 4-6 BED</t>
  </si>
  <si>
    <t>305539 - ACCS INTENSIVE GL IB 7-9 BED</t>
  </si>
  <si>
    <t>3055412 - ACCS INTENSIVE GL IBA 10 -12 BED</t>
  </si>
  <si>
    <t>3055512 - ACCS INTENSIVE GL IC 10-12 BED</t>
  </si>
  <si>
    <t>305556 - ACCS INTENSIVE GL IC 4-6 BED</t>
  </si>
  <si>
    <t>305559 - ACCS INTENSIVE GL IC 7-9 BED</t>
  </si>
  <si>
    <t>3055612 - ACCS INTENSIVE GL IM 10-12 BED</t>
  </si>
  <si>
    <t>305566 - ACCS INTENSIVE GL IM 4-6 BED</t>
  </si>
  <si>
    <t>305569 - ACCS INTENSIVE GL IM 7-9 BED</t>
  </si>
  <si>
    <t>3055716 - ACCS SIE 13-16 BED</t>
  </si>
  <si>
    <t>3055725 - ACCS SIE 17-25 BED</t>
  </si>
  <si>
    <t>3055735 - ACCS SIE 26-35 BED</t>
  </si>
  <si>
    <t>Grand Total</t>
  </si>
  <si>
    <t>Activity Code</t>
  </si>
  <si>
    <t>(All)</t>
  </si>
  <si>
    <t>Contract Type</t>
  </si>
  <si>
    <t>Data</t>
  </si>
  <si>
    <t>Contingency</t>
  </si>
  <si>
    <t>Occupancy Mixed Unit*</t>
  </si>
  <si>
    <t>Total Max Ob</t>
  </si>
  <si>
    <t>Total Paid Amount</t>
  </si>
  <si>
    <t>% Paid</t>
  </si>
  <si>
    <t>Contract Number</t>
  </si>
  <si>
    <t>Max Ob</t>
  </si>
  <si>
    <t>Paid Amount</t>
  </si>
  <si>
    <t>Contin</t>
  </si>
  <si>
    <t>Occup</t>
  </si>
  <si>
    <t>WM</t>
  </si>
  <si>
    <t>Brien Center - MHSAS</t>
  </si>
  <si>
    <t>Center for Human Development</t>
  </si>
  <si>
    <t>ServiceNet Inc</t>
  </si>
  <si>
    <t>WM Total</t>
  </si>
  <si>
    <t>CM</t>
  </si>
  <si>
    <t>Advocates Inc</t>
  </si>
  <si>
    <t>Bridge of Central Mass Inc</t>
  </si>
  <si>
    <t>Community Healthlink Inc</t>
  </si>
  <si>
    <t>CM Total</t>
  </si>
  <si>
    <t>NE</t>
  </si>
  <si>
    <t>Eliot Community Human Services Inc</t>
  </si>
  <si>
    <t>The Edinburg Center Inc</t>
  </si>
  <si>
    <t>Vinfen Corp</t>
  </si>
  <si>
    <t>NE Total</t>
  </si>
  <si>
    <t>SE</t>
  </si>
  <si>
    <t>Brockton Area Multi-Services Inc</t>
  </si>
  <si>
    <t>Comm Couns of Bristol County</t>
  </si>
  <si>
    <t>South Shore Mental Health Center</t>
  </si>
  <si>
    <t>SE Total</t>
  </si>
  <si>
    <t>MB</t>
  </si>
  <si>
    <t>North Suffolk Mental Health Assoc Inc</t>
  </si>
  <si>
    <t>MB Total</t>
  </si>
  <si>
    <t>Includes occupancy &amp; lease management</t>
  </si>
  <si>
    <t>Beth MHIS</t>
  </si>
  <si>
    <t>Paid_Amount</t>
  </si>
  <si>
    <t>ACCSIT</t>
  </si>
  <si>
    <t>ACCSGLE12</t>
  </si>
  <si>
    <t>ACCSGLE6</t>
  </si>
  <si>
    <t>ACCSGLE9</t>
  </si>
  <si>
    <t>ACCSIB12</t>
  </si>
  <si>
    <t>ACCSIB6</t>
  </si>
  <si>
    <t>ACCSIB9</t>
  </si>
  <si>
    <t>ACCSIBA12</t>
  </si>
  <si>
    <t>ACCSIC12</t>
  </si>
  <si>
    <t>ACCSIC6</t>
  </si>
  <si>
    <t>ACCSIC9</t>
  </si>
  <si>
    <t>ACCSIM12</t>
  </si>
  <si>
    <t>ACCSIM6</t>
  </si>
  <si>
    <t>ACCSIM9</t>
  </si>
  <si>
    <t>ACCSIE16</t>
  </si>
  <si>
    <t>ACCSIE25</t>
  </si>
  <si>
    <t>ACCSIE35</t>
  </si>
  <si>
    <t xml:space="preserve">    Peer &amp; Family Specialist-DCIII</t>
  </si>
  <si>
    <t>Benchmark to 101 CMR 413: Yits</t>
  </si>
  <si>
    <t xml:space="preserve">    Substance Abuse Counselor/ LCSW</t>
  </si>
  <si>
    <t xml:space="preserve">  Site Supervisor </t>
  </si>
  <si>
    <t>IHS Markit, Fall 2021 Forecast Update (12/2021)</t>
  </si>
  <si>
    <t>CAF FALL 2021 2.31% (came out 12.14.21)</t>
  </si>
  <si>
    <t>M2020 BLS  Occ Code 29-1223</t>
  </si>
  <si>
    <t>Avg FY15 DTA Office Space Lease PPSF + compounding CAFs</t>
  </si>
  <si>
    <t>Provider recommendation set to $360 for Int Team only in 2020 + CAF</t>
  </si>
  <si>
    <t>`</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</si>
  <si>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</si>
  <si>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</si>
  <si>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</si>
  <si>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</si>
  <si>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</si>
  <si>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</si>
  <si>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</si>
  <si>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OrganizationName</t>
  </si>
  <si>
    <t>Sum of FTE</t>
  </si>
  <si>
    <t>Sum of Actual</t>
  </si>
  <si>
    <t>Almadan, Inc.</t>
  </si>
  <si>
    <t>Aspire Living &amp; Learning</t>
  </si>
  <si>
    <t>Bay Cove Human Services, Inc.</t>
  </si>
  <si>
    <t>BEHAVIORAL HEALTH NETWORK</t>
  </si>
  <si>
    <t>Community Connections, Inc.</t>
  </si>
  <si>
    <t>Community Counseling of Bristol County, Inc.</t>
  </si>
  <si>
    <t>Community Healthlink, Inc.</t>
  </si>
  <si>
    <t>Community Resources for Justice, Inc.</t>
  </si>
  <si>
    <t>Cross Cultural Communication Systems, Inc.</t>
  </si>
  <si>
    <t>Eliot Community Human Services, Inc.</t>
  </si>
  <si>
    <t>Fellowship Health Resources, Inc.</t>
  </si>
  <si>
    <t>JSI Research &amp; Training Institute, Inc.</t>
  </si>
  <si>
    <t>Massachusetts Mentor, Inc.</t>
  </si>
  <si>
    <t>Minute Man Arc for Human Services, Inc.</t>
  </si>
  <si>
    <t>NONOTUCK RESOURCE ASSOCIATES, INC.</t>
  </si>
  <si>
    <t>North Suffolk Mental Health Assoc. Inc.</t>
  </si>
  <si>
    <t>Oakdale Foundation</t>
  </si>
  <si>
    <t>Pike School</t>
  </si>
  <si>
    <t>Riverside Community Care Inc.</t>
  </si>
  <si>
    <t>ServiceNet, Inc.</t>
  </si>
  <si>
    <t>South Shore Mental Health Center, Inc.</t>
  </si>
  <si>
    <t>The Brien Center for Mental Health and S</t>
  </si>
  <si>
    <t>The Edinburg Center, Inc.</t>
  </si>
  <si>
    <t>Toward Independent Living and Learning, Inc.</t>
  </si>
  <si>
    <t>Vinfen Corporation</t>
  </si>
  <si>
    <t>Waltham Committee, Inc. dba WCI</t>
  </si>
  <si>
    <t>WORK, Inc</t>
  </si>
  <si>
    <t>TRANSPORTATION</t>
  </si>
  <si>
    <t>transportation per bed day not incl int team</t>
  </si>
  <si>
    <t>transportation per bed day inc int team</t>
  </si>
  <si>
    <t>incl all staff mileage</t>
  </si>
  <si>
    <t>inc int team</t>
  </si>
  <si>
    <t>FY20 UFR Transportation</t>
  </si>
  <si>
    <t>FY20 UFR data- Transportation</t>
  </si>
  <si>
    <t xml:space="preserve">CAF </t>
  </si>
  <si>
    <t>DAILY FOOD CALCULATION - ALLOWANCE PER PERSON</t>
  </si>
  <si>
    <r>
      <t xml:space="preserve">GOVERNMENT ESTIMATES OF COST PER </t>
    </r>
    <r>
      <rPr>
        <b/>
        <i/>
        <u/>
        <sz val="11"/>
        <color rgb="FF222222"/>
        <rFont val="Calibri"/>
        <family val="2"/>
        <scheme val="minor"/>
      </rPr>
      <t>WEEK</t>
    </r>
    <r>
      <rPr>
        <b/>
        <sz val="11"/>
        <color rgb="FF222222"/>
        <rFont val="Calibri"/>
        <family val="2"/>
        <scheme val="minor"/>
      </rPr>
      <t xml:space="preserve"> (USDA)</t>
    </r>
  </si>
  <si>
    <t>DAILY COST CALCULATION (WEEKLY DIVIDED BY 7)</t>
  </si>
  <si>
    <t>Food costs for one week - Prices from USDA November 2020 (most recent government figures available)</t>
  </si>
  <si>
    <t>Low-cost plan</t>
  </si>
  <si>
    <t>Moderate cost plan</t>
  </si>
  <si>
    <t>Liberal plan</t>
  </si>
  <si>
    <t>MALE</t>
  </si>
  <si>
    <t>19-50 years</t>
  </si>
  <si>
    <t>51-70 years</t>
  </si>
  <si>
    <t>71+ years</t>
  </si>
  <si>
    <t>FEMALE</t>
  </si>
  <si>
    <t>Straight Average</t>
  </si>
  <si>
    <t>Current Rate</t>
  </si>
  <si>
    <t>Straight Average All Plans</t>
  </si>
  <si>
    <t>Average of Low/Mod</t>
  </si>
  <si>
    <t>Average of Low/Mod/Lib</t>
  </si>
  <si>
    <t>Average of Mod/Lib</t>
  </si>
  <si>
    <t>Lease / Contract oversight</t>
  </si>
  <si>
    <t xml:space="preserve">Program Functional Oversight </t>
  </si>
  <si>
    <t>FY20 UFR Average for Line 101 Prg Functional Mgr</t>
  </si>
  <si>
    <t>Post PH Changes to FY23</t>
  </si>
  <si>
    <t xml:space="preserve"> Staff Training</t>
  </si>
  <si>
    <t>Specialty Site Manager</t>
  </si>
  <si>
    <t xml:space="preserve">  Direct Care </t>
  </si>
  <si>
    <t>Current FTEs</t>
  </si>
  <si>
    <t xml:space="preserve">    Direct Care / Cert Nurse Asst</t>
  </si>
  <si>
    <t xml:space="preserve">Allocate DC and DCII to a 50/50 split to promote flexibility </t>
  </si>
  <si>
    <t>Benchmark Relief to an avaerage of DC and DCIII salary ($40,069)</t>
  </si>
  <si>
    <t>Corrected CNA benchmark from $34,927 to $35,901</t>
  </si>
  <si>
    <t>53 Percentile</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</si>
  <si>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</si>
  <si>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</si>
  <si>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</si>
  <si>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21-1021, 21-1019, 21-1022, 21-1029</t>
  </si>
  <si>
    <t>Assistant Manager</t>
  </si>
  <si>
    <t>19-3033, 21-1021, 21-1022, 19-3034</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</si>
  <si>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</si>
  <si>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</si>
  <si>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</si>
  <si>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Clinical Manager, Clinical Director</t>
  </si>
  <si>
    <t>19-3033, 19-3034</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</si>
  <si>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</si>
  <si>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</si>
  <si>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</si>
  <si>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</si>
  <si>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 xml:space="preserve">Tax and Fringe =  </t>
  </si>
  <si>
    <t xml:space="preserve">Benchmarked to FY24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</si>
  <si>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</si>
  <si>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</si>
  <si>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</si>
  <si>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</si>
  <si>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</si>
  <si>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</si>
  <si>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</si>
  <si>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</si>
  <si>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</si>
  <si>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</si>
  <si>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</si>
  <si>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</si>
  <si>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</si>
  <si>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</si>
  <si>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</si>
  <si>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</si>
  <si>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</si>
  <si>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</si>
  <si>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</si>
  <si>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</si>
  <si>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</si>
  <si>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</si>
  <si>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</si>
  <si>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</si>
  <si>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Fall 2023 Forecast</t>
  </si>
  <si>
    <t>2026Q1</t>
  </si>
  <si>
    <t>2026Q2</t>
  </si>
  <si>
    <t>2026Q3</t>
  </si>
  <si>
    <t>2026Q4</t>
  </si>
  <si>
    <t>2027Q1</t>
  </si>
  <si>
    <t>2027Q2</t>
  </si>
  <si>
    <t>2027Q3</t>
  </si>
  <si>
    <t>2027Q4</t>
  </si>
  <si>
    <t>2028Q1</t>
  </si>
  <si>
    <t>2028Q2</t>
  </si>
  <si>
    <t>2028Q3</t>
  </si>
  <si>
    <t>2028Q4</t>
  </si>
  <si>
    <t>2029Q1</t>
  </si>
  <si>
    <t>2029Q2</t>
  </si>
  <si>
    <t>2029Q3</t>
  </si>
  <si>
    <t>2029Q4</t>
  </si>
  <si>
    <t>Assumption for Rate Reviews that are to be promulgated July 2024</t>
  </si>
  <si>
    <t>FY24Q4</t>
  </si>
  <si>
    <t>July 1, 2024 - June 30, 2025</t>
  </si>
  <si>
    <t xml:space="preserve"> Average of Direct Care and Direct Care III Staff using M2022 BLS benchmarks</t>
  </si>
  <si>
    <t>BLS Benchmark M2022 53rd Percentile</t>
  </si>
  <si>
    <t>Average of DCIII and DCI using BLS/OES 2022 53rd Percentile</t>
  </si>
  <si>
    <t>MA EOHHS C.257 Benchmark</t>
  </si>
  <si>
    <t>Previous RR CAF = 2.31%</t>
  </si>
  <si>
    <t>Previous CAF - 2,31%</t>
  </si>
  <si>
    <t>MA EOHHS c.257 Benchmark</t>
  </si>
  <si>
    <t>Last RR CAF 2.31%</t>
  </si>
  <si>
    <t>https://fns-prod.azureedge.us/sites/default/files/resource-files/CostofFoodSep2023LowModLib.pdf</t>
  </si>
  <si>
    <t>Benchmark: USDA September 2023</t>
  </si>
  <si>
    <t xml:space="preserve">BLS /OES Benchmark M2022 535rd percentile (CW LICSW Level) </t>
  </si>
  <si>
    <t>MA EOHSS C.257 Benchmark</t>
  </si>
  <si>
    <t>Program Service Model Add-on</t>
  </si>
  <si>
    <t xml:space="preserve">          Lease Management Add-on</t>
  </si>
  <si>
    <t>GLE Add On Units</t>
  </si>
  <si>
    <t>SIE Add On Units</t>
  </si>
  <si>
    <t>TOTAL UNITS</t>
  </si>
  <si>
    <t>FY23 Spend</t>
  </si>
  <si>
    <t>Proposed Rate</t>
  </si>
  <si>
    <t>% Variance</t>
  </si>
  <si>
    <t>Proposed FY25 Spend</t>
  </si>
  <si>
    <t xml:space="preserve"> Enhanced Medical Models</t>
  </si>
  <si>
    <t xml:space="preserve"> Enhanced Medical Model (Capacity 4 to 6)</t>
  </si>
  <si>
    <t xml:space="preserve"> Enhanced Medical Model (Capacity 7 to 9)</t>
  </si>
  <si>
    <t xml:space="preserve"> Enhanced Medical Model (Capacity 10 to 12)</t>
  </si>
  <si>
    <t xml:space="preserve">Management </t>
  </si>
  <si>
    <t>Programmatic Expenses</t>
  </si>
  <si>
    <t>Unit Rate</t>
  </si>
  <si>
    <t>Consultation Services APRN/Psych</t>
  </si>
  <si>
    <t>Consultation Services (PT)</t>
  </si>
  <si>
    <t>Prog Supplies &amp; Materials</t>
  </si>
  <si>
    <t>Total Reimburseable Expenses</t>
  </si>
  <si>
    <t>Cost Adjustment Factor (CAF)</t>
  </si>
  <si>
    <t>Daily Unit Rate:</t>
  </si>
  <si>
    <t>Relief Assumptions</t>
  </si>
  <si>
    <t xml:space="preserve">Staffing Grid </t>
  </si>
  <si>
    <t>Registered Nurse</t>
  </si>
  <si>
    <t>Licensed Practical Nurse</t>
  </si>
  <si>
    <t>OT</t>
  </si>
  <si>
    <t>Consulting Services (annual hours)</t>
  </si>
  <si>
    <t>APRN / Psychiatrist</t>
  </si>
  <si>
    <t>Physical Therapy</t>
  </si>
  <si>
    <t>For Comparison Purposes FY23 Medically Intensive Spec. Rates</t>
  </si>
  <si>
    <t>(specialty Site manager w/LICSW)</t>
  </si>
  <si>
    <t xml:space="preserve">          Enhanced Medical Group Living Environment: Four to Six Beds </t>
  </si>
  <si>
    <t xml:space="preserve">          Enhanced Medical Group Living Environment: Seven to Nine Beds</t>
  </si>
  <si>
    <t xml:space="preserve">          Enhanced Medical Group Living Environment: Ten to 12 Beds</t>
  </si>
  <si>
    <t>X</t>
  </si>
  <si>
    <t>(8-12)</t>
  </si>
  <si>
    <t xml:space="preserve"> SIE Model X (Capacity 8 to 12) </t>
  </si>
  <si>
    <t xml:space="preserve">new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</si>
</sst>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0.000"/>
    <numFmt numFmtId="167" formatCode="0.0"/>
    <numFmt numFmtId="168" formatCode="_(&quot;$&quot;* #,##0_);_(&quot;$&quot;* \(#,##0\);_(&quot;$&quot;* &quot;-&quot;??_);_(@_)"/>
    <numFmt numFmtId="169" formatCode="\$#,##0.00"/>
    <numFmt numFmtId="170" formatCode="_(&quot;$&quot;* #,##0.00_);_(&quot;$&quot;* \(#,##0.00\);_(&quot;$&quot;* &quot;-&quot;_);_(@_)"/>
    <numFmt numFmtId="171" formatCode="_(* #,##0_);_(* \(#,##0\);_(* &quot;-&quot;??_);_(@_)"/>
    <numFmt numFmtId="172" formatCode="#,##0.000"/>
    <numFmt numFmtId="173" formatCode="0.0000%"/>
    <numFmt numFmtId="174" formatCode="000000"/>
    <numFmt numFmtId="175" formatCode="0000"/>
    <numFmt numFmtId="176" formatCode="00"/>
    <numFmt numFmtId="177" formatCode="&quot;$&quot;#,##0.00"/>
    <numFmt numFmtId="178" formatCode="&quot;$&quot;#,##0"/>
    <numFmt numFmtId="179" formatCode="0.0000000000000%"/>
    <numFmt numFmtId="180" formatCode="_(&quot;$&quot;* #,##0.000_);_(&quot;$&quot;* \(#,##0.000\);_(&quot;$&quot;* &quot;-&quot;??_);_(@_)"/>
    <numFmt numFmtId="181" formatCode="[$-409]mmmm\ d\,\ yyyy;@"/>
    <numFmt numFmtId="182" formatCode="&quot;$&quot;#,##0.000"/>
    <numFmt numFmtId="183" formatCode="_(* #,##0.00000_);_(* \(#,##0.00000\);_(* &quot;-&quot;??_);_(@_)"/>
    <numFmt numFmtId="184" formatCode="&quot;$&quot;#,##0.00000"/>
    <numFmt numFmtId="185" formatCode="[$-409]mmm\-yy;@"/>
    <numFmt numFmtId="186" formatCode="_(&quot;$&quot;* #,##0.0_);_(&quot;$&quot;* \(#,##0.0\);_(&quot;$&quot;* &quot;-&quot;??_);_(@_)"/>
    <numFmt numFmtId="187" formatCode="_(&quot;$&quot;* #,##0.0_);_(&quot;$&quot;* \(#,##0.0\);_(&quot;$&quot;* &quot;-&quot;_);_(@_)"/>
  </numFmts>
  <fonts count="168">
    <font>
      <sz val="11"/>
      <color theme="1"/>
      <name val="Calibri"/>
      <family val="2"/>
      <scheme val="minor"/>
    </font>
    <font>
      <sz val="11"/>
      <color indexed="8"/>
      <name val="Calibri"/>
      <family val="2"/>
    </font>
    <font>
      <sz val="11"/>
      <color indexed="8"/>
      <name val="Calibri"/>
      <family val="2"/>
    </font>
    <font>
      <b/>
      <sz val="10"/>
      <name val="Arial"/>
      <family val="2"/>
    </font>
    <font>
      <sz val="10"/>
      <name val="Arial"/>
      <family val="2"/>
    </font>
    <font>
      <sz val="11"/>
      <name val="Arial"/>
      <family val="2"/>
    </font>
    <font>
      <b/>
      <sz val="10"/>
      <color indexed="8"/>
      <name val="Arial"/>
      <family val="2"/>
    </font>
    <font>
      <sz val="10"/>
      <color indexed="8"/>
      <name val="Arial"/>
      <family val="2"/>
    </font>
    <font>
      <sz val="10"/>
      <color indexed="17"/>
      <name val="Arial"/>
      <family val="2"/>
    </font>
    <font>
      <sz val="10"/>
      <color indexed="30"/>
      <name val="Arial"/>
      <family val="2"/>
    </font>
    <font>
      <i/>
      <sz val="10"/>
      <name val="Arial"/>
      <family val="2"/>
    </font>
    <font>
      <b/>
      <u/>
      <sz val="10"/>
      <color indexed="8"/>
      <name val="Arial"/>
      <family val="2"/>
    </font>
    <font>
      <b/>
      <u/>
      <sz val="10"/>
      <name val="Arial"/>
      <family val="2"/>
    </font>
    <font>
      <sz val="10"/>
      <color indexed="10"/>
      <name val="Arial"/>
      <family val="2"/>
    </font>
    <font>
      <b/>
      <sz val="14"/>
      <name val="Arial"/>
      <family val="2"/>
    </font>
    <font>
      <b/>
      <sz val="12"/>
      <name val="Arial"/>
      <family val="2"/>
    </font>
    <font>
      <sz val="10"/>
      <name val="MS Sans Serif"/>
      <family val="2"/>
    </font>
    <font>
      <sz val="11"/>
      <color theme="1"/>
      <name val="Calibri"/>
      <family val="2"/>
      <scheme val="minor"/>
    </font>
    <font>
      <sz val="11"/>
      <color theme="1"/>
      <name val="Calibri"/>
      <family val="2"/>
    </font>
    <font>
      <sz val="11"/>
      <color theme="1"/>
      <name val="Calibri"/>
      <family val="2"/>
      <charset val="129"/>
      <scheme val="minor"/>
    </font>
    <font>
      <b/>
      <sz val="10"/>
      <color theme="1"/>
      <name val="Arial"/>
      <family val="2"/>
    </font>
    <font>
      <sz val="10"/>
      <color theme="1"/>
      <name val="Arial"/>
      <family val="2"/>
    </font>
    <font>
      <b/>
      <u/>
      <sz val="12"/>
      <color theme="1"/>
      <name val="Arial"/>
      <family val="2"/>
    </font>
    <font>
      <sz val="10"/>
      <color theme="3" tint="0.39997558519241921"/>
      <name val="Arial"/>
      <family val="2"/>
    </font>
    <font>
      <sz val="10"/>
      <color theme="5"/>
      <name val="Arial"/>
      <family val="2"/>
    </font>
    <font>
      <sz val="10"/>
      <color rgb="FF008000"/>
      <name val="Arial"/>
      <family val="2"/>
    </font>
    <font>
      <sz val="10"/>
      <color rgb="FF538ED5"/>
      <name val="Arial"/>
      <family val="2"/>
    </font>
    <font>
      <b/>
      <sz val="10"/>
      <color rgb="FFFF0000"/>
      <name val="Arial"/>
      <family val="2"/>
    </font>
    <font>
      <b/>
      <u/>
      <sz val="11"/>
      <color theme="1"/>
      <name val="Calibri"/>
      <family val="2"/>
      <scheme val="minor"/>
    </font>
    <font>
      <b/>
      <sz val="10"/>
      <color theme="0"/>
      <name val="Arial"/>
      <family val="2"/>
    </font>
    <font>
      <b/>
      <u/>
      <sz val="10"/>
      <color theme="1"/>
      <name val="Arial"/>
      <family val="2"/>
    </font>
    <font>
      <b/>
      <sz val="11"/>
      <color theme="1"/>
      <name val="Calibri"/>
      <family val="2"/>
      <scheme val="minor"/>
    </font>
    <font>
      <sz val="10"/>
      <name val="Arial"/>
      <family val="2"/>
    </font>
    <font>
      <b/>
      <sz val="11"/>
      <name val="Arial"/>
      <family val="2"/>
    </font>
    <font>
      <sz val="10"/>
      <color theme="0"/>
      <name val="Arial"/>
      <family val="2"/>
    </font>
    <font>
      <b/>
      <i/>
      <sz val="10"/>
      <name val="Arial"/>
      <family val="2"/>
    </font>
    <font>
      <b/>
      <i/>
      <sz val="11"/>
      <color theme="1"/>
      <name val="Calibri"/>
      <family val="2"/>
      <scheme val="minor"/>
    </font>
    <font>
      <b/>
      <sz val="10"/>
      <name val="Calibri"/>
      <family val="2"/>
      <scheme val="minor"/>
    </font>
    <font>
      <b/>
      <i/>
      <sz val="10"/>
      <name val="Calibri"/>
      <family val="2"/>
      <scheme val="minor"/>
    </font>
    <font>
      <i/>
      <sz val="10"/>
      <name val="Calibri"/>
      <family val="2"/>
      <scheme val="minor"/>
    </font>
    <font>
      <sz val="10"/>
      <name val="Calibri"/>
      <family val="2"/>
      <scheme val="minor"/>
    </font>
    <font>
      <b/>
      <i/>
      <sz val="10"/>
      <color rgb="FFFF0000"/>
      <name val="Arial"/>
      <family val="2"/>
    </font>
    <font>
      <b/>
      <sz val="11"/>
      <color theme="0"/>
      <name val="Arial"/>
      <family val="2"/>
    </font>
    <font>
      <sz val="10"/>
      <color theme="3"/>
      <name val="Arial"/>
      <family val="2"/>
    </font>
    <font>
      <b/>
      <sz val="10"/>
      <color theme="3"/>
      <name val="Arial"/>
      <family val="2"/>
    </font>
    <font>
      <i/>
      <sz val="10"/>
      <color theme="3"/>
      <name val="Arial"/>
      <family val="2"/>
    </font>
    <font>
      <i/>
      <sz val="10"/>
      <color indexed="17"/>
      <name val="Arial"/>
      <family val="2"/>
    </font>
    <font>
      <sz val="11"/>
      <name val="Calibri"/>
      <family val="2"/>
      <scheme val="minor"/>
    </font>
    <font>
      <i/>
      <sz val="10"/>
      <color theme="1"/>
      <name val="Arial"/>
      <family val="2"/>
    </font>
    <font>
      <i/>
      <u/>
      <sz val="10"/>
      <color theme="1"/>
      <name val="Arial"/>
      <family val="2"/>
    </font>
    <font>
      <u/>
      <sz val="10"/>
      <color theme="1"/>
      <name val="Arial"/>
      <family val="2"/>
    </font>
    <font>
      <sz val="10"/>
      <color rgb="FFFF0000"/>
      <name val="Arial"/>
      <family val="2"/>
    </font>
    <font>
      <b/>
      <sz val="6"/>
      <name val="Verdana"/>
      <family val="2"/>
    </font>
    <font>
      <b/>
      <sz val="6"/>
      <color rgb="FF231F20"/>
      <name val="Verdana"/>
      <family val="2"/>
    </font>
    <font>
      <sz val="6"/>
      <color rgb="FF231F20"/>
      <name val="Calibri"/>
      <family val="2"/>
    </font>
    <font>
      <sz val="6"/>
      <name val="Calibri"/>
      <family val="2"/>
    </font>
    <font>
      <sz val="11"/>
      <color rgb="FFFF0000"/>
      <name val="Calibri"/>
      <family val="2"/>
      <scheme val="minor"/>
    </font>
    <font>
      <b/>
      <sz val="10"/>
      <color indexed="10"/>
      <name val="Arial"/>
      <family val="2"/>
    </font>
    <font>
      <b/>
      <u/>
      <sz val="10"/>
      <color rgb="FFFF0000"/>
      <name val="Arial"/>
      <family val="2"/>
    </font>
    <font>
      <b/>
      <sz val="11"/>
      <color rgb="FF000000"/>
      <name val="Calibri"/>
      <family val="2"/>
    </font>
    <font>
      <b/>
      <sz val="11"/>
      <color rgb="FFFF0000"/>
      <name val="Calibri"/>
      <family val="2"/>
      <scheme val="minor"/>
    </font>
    <font>
      <sz val="11"/>
      <color theme="1"/>
      <name val="Times New Roman"/>
      <family val="1"/>
    </font>
    <font>
      <b/>
      <sz val="11"/>
      <color rgb="FFFFFFFF"/>
      <name val="Times New Roman"/>
      <family val="1"/>
    </font>
    <font>
      <b/>
      <sz val="11"/>
      <color theme="1"/>
      <name val="Times New Roman"/>
      <family val="1"/>
    </font>
    <font>
      <sz val="9"/>
      <color theme="1"/>
      <name val="Times New Roman"/>
      <family val="1"/>
    </font>
    <font>
      <b/>
      <sz val="11"/>
      <color rgb="FFFF0000"/>
      <name val="Times New Roman"/>
      <family val="1"/>
    </font>
    <font>
      <i/>
      <sz val="10"/>
      <color rgb="FFFF0000"/>
      <name val="Arial"/>
      <family val="2"/>
    </font>
    <font>
      <sz val="9"/>
      <color indexed="81"/>
      <name val="Tahoma"/>
      <family val="2"/>
    </font>
    <font>
      <b/>
      <sz val="9"/>
      <color indexed="81"/>
      <name val="Tahoma"/>
      <family val="2"/>
    </font>
    <font>
      <sz val="9"/>
      <color rgb="FF1F497D"/>
      <name val="Arial"/>
      <family val="2"/>
    </font>
    <font>
      <sz val="7"/>
      <color rgb="FF1F497D"/>
      <name val="Times New Roman"/>
      <family val="1"/>
    </font>
    <font>
      <sz val="9"/>
      <color rgb="FF1F497D"/>
      <name val="Courier New"/>
      <family val="3"/>
    </font>
    <font>
      <b/>
      <sz val="9"/>
      <color rgb="FF1F497D"/>
      <name val="Arial"/>
      <family val="2"/>
    </font>
    <font>
      <sz val="14"/>
      <color rgb="FF1F497D"/>
      <name val="Arial"/>
      <family val="2"/>
    </font>
    <font>
      <sz val="10"/>
      <color theme="1"/>
      <name val="Times New Roman"/>
      <family val="1"/>
    </font>
    <font>
      <sz val="11"/>
      <color rgb="FF000000"/>
      <name val="Times New Roman"/>
      <family val="1"/>
    </font>
    <font>
      <sz val="11"/>
      <color rgb="FF000000"/>
      <name val="Calibri"/>
      <family val="2"/>
    </font>
    <font>
      <sz val="11"/>
      <color indexed="81"/>
      <name val="Tahoma"/>
      <family val="2"/>
    </font>
    <font>
      <b/>
      <sz val="10"/>
      <color theme="4"/>
      <name val="Arial"/>
      <family val="2"/>
    </font>
    <font>
      <u/>
      <sz val="10"/>
      <name val="Arial"/>
      <family val="2"/>
    </font>
    <font>
      <i/>
      <u/>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i/>
      <sz val="11"/>
      <color rgb="FF7F7F7F"/>
      <name val="Calibri"/>
      <family val="2"/>
      <scheme val="minor"/>
    </font>
    <font>
      <sz val="12"/>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Gill Sans MT"/>
      <family val="2"/>
    </font>
    <font>
      <b/>
      <sz val="14"/>
      <color rgb="FF7030A0"/>
      <name val="Calibri"/>
      <family val="2"/>
    </font>
    <font>
      <b/>
      <sz val="11"/>
      <color rgb="FF7030A0"/>
      <name val="Calibri"/>
      <family val="2"/>
    </font>
    <font>
      <i/>
      <sz val="9"/>
      <name val="Calibri"/>
      <family val="2"/>
    </font>
    <font>
      <b/>
      <sz val="11"/>
      <name val="Calibri"/>
      <family val="2"/>
      <scheme val="minor"/>
    </font>
    <font>
      <b/>
      <sz val="11"/>
      <color theme="5"/>
      <name val="Calibri"/>
      <family val="2"/>
      <scheme val="minor"/>
    </font>
    <font>
      <b/>
      <sz val="9"/>
      <name val="Calibri"/>
      <family val="2"/>
      <scheme val="minor"/>
    </font>
    <font>
      <sz val="9"/>
      <name val="Calibri"/>
      <family val="2"/>
      <scheme val="minor"/>
    </font>
    <font>
      <sz val="9"/>
      <color theme="3" tint="0.39997558519241921"/>
      <name val="Calibri"/>
      <family val="2"/>
      <scheme val="minor"/>
    </font>
    <font>
      <sz val="9"/>
      <color theme="1"/>
      <name val="Calibri"/>
      <family val="2"/>
      <scheme val="minor"/>
    </font>
    <font>
      <sz val="8"/>
      <name val="Calibri"/>
      <family val="2"/>
      <scheme val="minor"/>
    </font>
    <font>
      <sz val="11"/>
      <color rgb="FF9C0006"/>
      <name val="Calibri"/>
      <family val="2"/>
    </font>
    <font>
      <sz val="9"/>
      <color indexed="8"/>
      <name val="Calibri"/>
      <family val="2"/>
    </font>
    <font>
      <b/>
      <sz val="9"/>
      <color indexed="8"/>
      <name val="Calibri"/>
      <family val="2"/>
    </font>
    <font>
      <u/>
      <sz val="11"/>
      <color indexed="12"/>
      <name val="Calibri"/>
      <family val="2"/>
      <charset val="1"/>
    </font>
    <font>
      <sz val="10"/>
      <color theme="1"/>
      <name val="Tahoma"/>
      <family val="2"/>
    </font>
    <font>
      <b/>
      <sz val="12"/>
      <color indexed="30"/>
      <name val="Calibri"/>
      <family val="2"/>
    </font>
    <font>
      <sz val="12"/>
      <name val="Arial"/>
      <family val="2"/>
    </font>
    <font>
      <b/>
      <sz val="12"/>
      <color theme="1"/>
      <name val="Calibri"/>
      <family val="2"/>
      <scheme val="minor"/>
    </font>
    <font>
      <sz val="12"/>
      <color rgb="FFFF0000"/>
      <name val="Calibri"/>
      <family val="2"/>
      <scheme val="minor"/>
    </font>
    <font>
      <sz val="10"/>
      <name val="Calibri"/>
      <family val="2"/>
    </font>
    <font>
      <sz val="9"/>
      <name val="Arial"/>
      <family val="2"/>
    </font>
    <font>
      <b/>
      <i/>
      <sz val="9"/>
      <name val="Arial"/>
      <family val="2"/>
    </font>
    <font>
      <b/>
      <sz val="10"/>
      <color indexed="12"/>
      <name val="Arial"/>
      <family val="2"/>
    </font>
    <font>
      <sz val="16"/>
      <color theme="1"/>
      <name val="Calibri"/>
      <family val="2"/>
      <scheme val="minor"/>
    </font>
    <font>
      <b/>
      <sz val="16"/>
      <color theme="1"/>
      <name val="Calibri"/>
      <family val="2"/>
      <scheme val="minor"/>
    </font>
    <font>
      <b/>
      <sz val="26"/>
      <color theme="1"/>
      <name val="Calibri"/>
      <family val="2"/>
      <scheme val="minor"/>
    </font>
    <font>
      <b/>
      <sz val="16"/>
      <name val="Calibri"/>
      <family val="2"/>
      <scheme val="minor"/>
    </font>
    <font>
      <b/>
      <sz val="16"/>
      <color rgb="FFFF0000"/>
      <name val="Calibri"/>
      <family val="2"/>
      <scheme val="minor"/>
    </font>
    <font>
      <sz val="14"/>
      <color theme="1"/>
      <name val="Calibri"/>
      <family val="2"/>
      <scheme val="minor"/>
    </font>
    <font>
      <sz val="10"/>
      <name val="Arial"/>
      <family val="2"/>
    </font>
    <font>
      <b/>
      <sz val="16"/>
      <color indexed="10"/>
      <name val="Calibri"/>
      <family val="2"/>
    </font>
    <font>
      <sz val="16"/>
      <color theme="1"/>
      <name val="Calibri"/>
      <family val="2"/>
    </font>
    <font>
      <sz val="12"/>
      <name val="Calibri"/>
      <family val="2"/>
      <scheme val="minor"/>
    </font>
    <font>
      <b/>
      <sz val="10"/>
      <name val="Calibri"/>
      <family val="2"/>
    </font>
    <font>
      <sz val="8"/>
      <color theme="1"/>
      <name val="Calibri"/>
      <family val="2"/>
      <scheme val="minor"/>
    </font>
    <font>
      <b/>
      <sz val="10"/>
      <color theme="1"/>
      <name val="Calibri"/>
      <family val="2"/>
      <scheme val="minor"/>
    </font>
    <font>
      <i/>
      <sz val="11"/>
      <color rgb="FFFF0000"/>
      <name val="Calibri"/>
      <family val="2"/>
      <scheme val="minor"/>
    </font>
    <font>
      <b/>
      <sz val="12"/>
      <name val="Calibri"/>
      <family val="2"/>
      <scheme val="minor"/>
    </font>
    <font>
      <u/>
      <sz val="11"/>
      <color theme="10"/>
      <name val="Calibri"/>
      <family val="2"/>
    </font>
    <font>
      <b/>
      <sz val="11"/>
      <color rgb="FF222222"/>
      <name val="Calibri"/>
      <family val="2"/>
      <scheme val="minor"/>
    </font>
    <font>
      <b/>
      <i/>
      <u/>
      <sz val="11"/>
      <color rgb="FF222222"/>
      <name val="Calibri"/>
      <family val="2"/>
      <scheme val="minor"/>
    </font>
    <font>
      <b/>
      <sz val="14"/>
      <color rgb="FF222222"/>
      <name val="Calibri"/>
      <family val="2"/>
      <scheme val="minor"/>
    </font>
    <font>
      <sz val="11"/>
      <color rgb="FF222222"/>
      <name val="Calibri"/>
      <family val="2"/>
      <scheme val="minor"/>
    </font>
    <font>
      <sz val="14"/>
      <color theme="1"/>
      <name val="Calibri"/>
      <family val="2"/>
    </font>
    <font>
      <sz val="14"/>
      <name val="Calibri"/>
      <family val="2"/>
      <scheme val="minor"/>
    </font>
    <font>
      <sz val="14"/>
      <name val="Arial"/>
      <family val="2"/>
    </font>
    <font>
      <b/>
      <sz val="14"/>
      <color rgb="FFFF0000"/>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b/>
      <u/>
      <sz val="11"/>
      <color rgb="FF000000"/>
      <name val="Calibri"/>
      <family val="2"/>
      <scheme val="minor"/>
    </font>
    <font>
      <sz val="11"/>
      <color rgb="FF000000"/>
      <name val="Calibri"/>
      <family val="2"/>
      <scheme val="minor"/>
    </font>
    <font>
      <b/>
      <sz val="11"/>
      <color rgb="FF000000"/>
      <name val="Times New Roman"/>
      <family val="1"/>
    </font>
    <font>
      <sz val="14"/>
      <color rgb="FFFF0000"/>
      <name val="Calibri"/>
      <family val="2"/>
    </font>
    <font>
      <b/>
      <u/>
      <sz val="11"/>
      <color rgb="FFFF0000"/>
      <name val="Calibri"/>
      <family val="2"/>
      <scheme val="minor"/>
    </font>
    <font>
      <sz val="14"/>
      <color rgb="FFFF0000"/>
      <name val="Calibri"/>
      <family val="2"/>
      <scheme val="minor"/>
    </font>
    <font>
      <sz val="14"/>
      <color rgb="FFFF0000"/>
      <name val="Arial"/>
      <family val="2"/>
    </font>
  </fonts>
  <fills count="71">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
      <patternFill patternType="solid">
        <fgColor rgb="FF00B0F0"/>
        <bgColor indexed="64"/>
      </patternFill>
    </fill>
    <fill>
      <patternFill patternType="solid">
        <fgColor theme="7" tint="0.39997558519241921"/>
        <bgColor indexed="64"/>
      </patternFill>
    </fill>
    <fill>
      <patternFill patternType="solid">
        <fgColor rgb="FF92D050"/>
        <bgColor indexed="64"/>
      </patternFill>
    </fill>
    <fill>
      <patternFill patternType="solid">
        <fgColor rgb="FFAEECE5"/>
        <bgColor indexed="64"/>
      </patternFill>
    </fill>
    <fill>
      <patternFill patternType="solid">
        <fgColor rgb="FFFFB7DB"/>
        <bgColor indexed="64"/>
      </patternFill>
    </fill>
    <fill>
      <patternFill patternType="solid">
        <fgColor rgb="FFEEE800"/>
        <bgColor indexed="64"/>
      </patternFill>
    </fill>
    <fill>
      <patternFill patternType="solid">
        <fgColor theme="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5"/>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FFFF66"/>
        <bgColor indexed="64"/>
      </patternFill>
    </fill>
    <fill>
      <patternFill patternType="solid">
        <fgColor theme="0" tint="-0.14999847407452621"/>
        <bgColor indexed="64"/>
      </patternFill>
    </fill>
    <fill>
      <patternFill patternType="solid">
        <fgColor rgb="FF44546A"/>
        <bgColor indexed="64"/>
      </patternFill>
    </fill>
    <fill>
      <patternFill patternType="solid">
        <fgColor rgb="FFF2F2F2"/>
        <bgColor indexed="64"/>
      </patternFill>
    </fill>
    <fill>
      <patternFill patternType="solid">
        <fgColor rgb="FF0C2D83"/>
        <bgColor indexed="64"/>
      </patternFill>
    </fill>
    <fill>
      <patternFill patternType="solid">
        <fgColor rgb="FFBFBFBF"/>
        <bgColor indexed="64"/>
      </patternFill>
    </fill>
    <fill>
      <patternFill patternType="solid">
        <fgColor theme="3" tint="0.79998168889431442"/>
        <bgColor indexed="64"/>
      </patternFill>
    </fill>
    <fill>
      <patternFill patternType="solid">
        <fgColor theme="2"/>
        <bgColor indexed="64"/>
      </patternFill>
    </fill>
    <fill>
      <patternFill patternType="solid">
        <fgColor theme="1" tint="0.34998626667073579"/>
        <bgColor indexed="64"/>
      </patternFill>
    </fill>
    <fill>
      <patternFill patternType="solid">
        <fgColor rgb="FFFFC7CE"/>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rgb="FF0070C0"/>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7999511703848384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1"/>
        <bgColor indexed="64"/>
      </patternFill>
    </fill>
  </fills>
  <borders count="165">
    <border>
      <left/>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rgb="FF231F20"/>
      </left>
      <right/>
      <top style="thin">
        <color rgb="FF231F20"/>
      </top>
      <bottom/>
      <diagonal/>
    </border>
    <border>
      <left/>
      <right/>
      <top style="thin">
        <color rgb="FF231F20"/>
      </top>
      <bottom/>
      <diagonal/>
    </border>
    <border>
      <left/>
      <right style="thin">
        <color rgb="FF231F20"/>
      </right>
      <top style="thin">
        <color rgb="FF231F20"/>
      </top>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top/>
      <bottom/>
      <diagonal/>
    </border>
    <border>
      <left/>
      <right style="thin">
        <color rgb="FF231F20"/>
      </right>
      <top/>
      <bottom/>
      <diagonal/>
    </border>
    <border>
      <left style="thin">
        <color rgb="FF231F20"/>
      </left>
      <right/>
      <top/>
      <bottom style="thin">
        <color rgb="FF231F20"/>
      </bottom>
      <diagonal/>
    </border>
    <border>
      <left/>
      <right/>
      <top/>
      <bottom style="thin">
        <color rgb="FF231F20"/>
      </bottom>
      <diagonal/>
    </border>
    <border>
      <left/>
      <right style="thin">
        <color rgb="FF231F20"/>
      </right>
      <top/>
      <bottom style="thin">
        <color rgb="FF231F2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rgb="FFFFFFFF"/>
      </left>
      <right style="medium">
        <color rgb="FFFFFFFF"/>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style="medium">
        <color rgb="FFFFFFFF"/>
      </top>
      <bottom style="thick">
        <color rgb="FFFFFFFF"/>
      </bottom>
      <diagonal/>
    </border>
    <border>
      <left/>
      <right/>
      <top/>
      <bottom style="medium">
        <color rgb="FFFFFFFF"/>
      </bottom>
      <diagonal/>
    </border>
    <border>
      <left style="thin">
        <color rgb="FFFF0000"/>
      </left>
      <right/>
      <top style="thin">
        <color rgb="FFFF0000"/>
      </top>
      <bottom style="thin">
        <color rgb="FFFF0000"/>
      </bottom>
      <diagonal/>
    </border>
    <border>
      <left style="thin">
        <color rgb="FFFF0000"/>
      </left>
      <right/>
      <top style="medium">
        <color indexed="64"/>
      </top>
      <bottom style="medium">
        <color indexed="64"/>
      </bottom>
      <diagonal/>
    </border>
    <border>
      <left style="thin">
        <color rgb="FFFF0000"/>
      </left>
      <right/>
      <top/>
      <bottom/>
      <diagonal/>
    </border>
    <border>
      <left/>
      <right style="medium">
        <color indexed="64"/>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ashed">
        <color rgb="FFBFBFBF"/>
      </bottom>
      <diagonal/>
    </border>
    <border>
      <left/>
      <right/>
      <top style="medium">
        <color rgb="FF0096D7"/>
      </top>
      <bottom/>
      <diagonal/>
    </border>
    <border>
      <left/>
      <right/>
      <top/>
      <bottom style="thick">
        <color rgb="FF0096D7"/>
      </bottom>
      <diagonal/>
    </border>
    <border>
      <left/>
      <right/>
      <top/>
      <bottom style="thin">
        <color rgb="FFBFBFBF"/>
      </bottom>
      <diagonal/>
    </border>
    <border>
      <left style="thick">
        <color indexed="64"/>
      </left>
      <right style="thick">
        <color indexed="64"/>
      </right>
      <top style="thick">
        <color indexed="64"/>
      </top>
      <bottom style="thick">
        <color indexed="64"/>
      </bottom>
      <diagonal/>
    </border>
    <border>
      <left style="thick">
        <color indexed="64"/>
      </left>
      <right/>
      <top/>
      <bottom style="thin">
        <color indexed="64"/>
      </bottom>
      <diagonal/>
    </border>
    <border>
      <left/>
      <right/>
      <top/>
      <bottom style="thin">
        <color theme="0" tint="-0.14999847407452621"/>
      </bottom>
      <diagonal/>
    </border>
    <border>
      <left style="thin">
        <color rgb="FF00B050"/>
      </left>
      <right/>
      <top style="thin">
        <color rgb="FF00B050"/>
      </top>
      <bottom style="thin">
        <color rgb="FF00B050"/>
      </bottom>
      <diagonal/>
    </border>
    <border>
      <left style="thin">
        <color theme="5" tint="-0.249977111117893"/>
      </left>
      <right/>
      <top style="thin">
        <color theme="5" tint="-0.249977111117893"/>
      </top>
      <bottom style="thin">
        <color theme="5" tint="-0.249977111117893"/>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diagonal/>
    </border>
    <border>
      <left style="thin">
        <color indexed="65"/>
      </left>
      <right/>
      <top style="thin">
        <color indexed="65"/>
      </top>
      <bottom/>
      <diagonal/>
    </border>
    <border>
      <left/>
      <right/>
      <top style="thin">
        <color rgb="FF999999"/>
      </top>
      <bottom/>
      <diagonal/>
    </border>
    <border>
      <left style="thin">
        <color rgb="FF999999"/>
      </left>
      <right/>
      <top style="medium">
        <color indexed="64"/>
      </top>
      <bottom style="medium">
        <color indexed="64"/>
      </bottom>
      <diagonal/>
    </border>
    <border>
      <left style="thin">
        <color rgb="FF999999"/>
      </left>
      <right/>
      <top/>
      <bottom/>
      <diagonal/>
    </border>
    <border>
      <left style="medium">
        <color indexed="64"/>
      </left>
      <right/>
      <top style="thin">
        <color rgb="FF999999"/>
      </top>
      <bottom/>
      <diagonal/>
    </border>
    <border>
      <left style="thin">
        <color indexed="65"/>
      </left>
      <right/>
      <top style="thin">
        <color rgb="FF999999"/>
      </top>
      <bottom/>
      <diagonal/>
    </border>
    <border>
      <left style="medium">
        <color indexed="64"/>
      </left>
      <right/>
      <top style="thin">
        <color rgb="FF999999"/>
      </top>
      <bottom style="medium">
        <color indexed="64"/>
      </bottom>
      <diagonal/>
    </border>
    <border>
      <left style="thin">
        <color rgb="FF999999"/>
      </left>
      <right/>
      <top style="thin">
        <color rgb="FF999999"/>
      </top>
      <bottom style="medium">
        <color indexed="64"/>
      </bottom>
      <diagonal/>
    </border>
    <border>
      <left/>
      <right/>
      <top style="thin">
        <color rgb="FF999999"/>
      </top>
      <bottom style="medium">
        <color indexed="64"/>
      </bottom>
      <diagonal/>
    </border>
    <border>
      <left style="thin">
        <color rgb="FF999999"/>
      </left>
      <right/>
      <top/>
      <bottom style="thin">
        <color rgb="FF999999"/>
      </bottom>
      <diagonal/>
    </border>
    <border>
      <left style="thin">
        <color indexed="65"/>
      </left>
      <right/>
      <top/>
      <bottom style="thin">
        <color rgb="FF999999"/>
      </bottom>
      <diagonal/>
    </border>
    <border>
      <left/>
      <right/>
      <top/>
      <bottom style="thin">
        <color rgb="FF999999"/>
      </bottom>
      <diagonal/>
    </border>
    <border>
      <left style="thin">
        <color indexed="65"/>
      </left>
      <right style="thin">
        <color rgb="FF999999"/>
      </right>
      <top style="thin">
        <color rgb="FF999999"/>
      </top>
      <bottom/>
      <diagonal/>
    </border>
    <border>
      <left style="thin">
        <color rgb="FF999999"/>
      </left>
      <right/>
      <top style="thin">
        <color indexed="9"/>
      </top>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9"/>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style="thin">
        <color indexed="9"/>
      </left>
      <right/>
      <top style="thin">
        <color rgb="FF999999"/>
      </top>
      <bottom style="thin">
        <color rgb="FF999999"/>
      </bottom>
      <diagonal/>
    </border>
    <border>
      <left/>
      <right/>
      <top style="thin">
        <color rgb="FF999999"/>
      </top>
      <bottom style="thin">
        <color rgb="FF999999"/>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indexed="8"/>
      </left>
      <right/>
      <top style="thin">
        <color indexed="65"/>
      </top>
      <bottom/>
      <diagonal/>
    </border>
    <border>
      <left style="medium">
        <color indexed="64"/>
      </left>
      <right style="medium">
        <color rgb="FFC3CCB7"/>
      </right>
      <top/>
      <bottom/>
      <diagonal/>
    </border>
    <border>
      <left style="medium">
        <color rgb="FFC3CCB7"/>
      </left>
      <right style="medium">
        <color rgb="FFC3CCB7"/>
      </right>
      <top style="medium">
        <color rgb="FFC3CCB7"/>
      </top>
      <bottom style="medium">
        <color rgb="FFC3CCB7"/>
      </bottom>
      <diagonal/>
    </border>
    <border>
      <left style="medium">
        <color rgb="FFC3CCB7"/>
      </left>
      <right/>
      <top style="medium">
        <color rgb="FFC3CCB7"/>
      </top>
      <bottom style="medium">
        <color rgb="FFC3CCB7"/>
      </bottom>
      <diagonal/>
    </border>
    <border>
      <left style="medium">
        <color indexed="64"/>
      </left>
      <right style="medium">
        <color rgb="FFC3CCB7"/>
      </right>
      <top style="medium">
        <color rgb="FFC3CCB7"/>
      </top>
      <bottom style="medium">
        <color rgb="FFC3CCB7"/>
      </bottom>
      <diagonal/>
    </border>
    <border>
      <left style="medium">
        <color rgb="FFC3CCB7"/>
      </left>
      <right style="medium">
        <color rgb="FFC3CCB7"/>
      </right>
      <top style="medium">
        <color rgb="FFC3CCB7"/>
      </top>
      <bottom/>
      <diagonal/>
    </border>
    <border>
      <left style="medium">
        <color rgb="FFC3CCB7"/>
      </left>
      <right style="medium">
        <color indexed="64"/>
      </right>
      <top style="medium">
        <color rgb="FFC3CCB7"/>
      </top>
      <bottom style="medium">
        <color rgb="FFC3CCB7"/>
      </bottom>
      <diagonal/>
    </border>
    <border>
      <left style="medium">
        <color indexed="64"/>
      </left>
      <right/>
      <top style="medium">
        <color rgb="FFC3CCB7"/>
      </top>
      <bottom style="medium">
        <color rgb="FFC3CCB7"/>
      </bottom>
      <diagonal/>
    </border>
    <border>
      <left style="medium">
        <color indexed="64"/>
      </left>
      <right style="medium">
        <color rgb="FFC3CCB7"/>
      </right>
      <top style="medium">
        <color indexed="64"/>
      </top>
      <bottom style="medium">
        <color rgb="FFC3CCB7"/>
      </bottom>
      <diagonal/>
    </border>
    <border>
      <left style="medium">
        <color rgb="FFC3CCB7"/>
      </left>
      <right style="medium">
        <color indexed="64"/>
      </right>
      <top style="medium">
        <color indexed="64"/>
      </top>
      <bottom style="medium">
        <color rgb="FFC3CCB7"/>
      </bottom>
      <diagonal/>
    </border>
    <border>
      <left/>
      <right style="medium">
        <color indexed="64"/>
      </right>
      <top style="medium">
        <color rgb="FFC3CCB7"/>
      </top>
      <bottom style="medium">
        <color rgb="FFC3CCB7"/>
      </bottom>
      <diagonal/>
    </border>
    <border>
      <left style="medium">
        <color indexed="64"/>
      </left>
      <right style="medium">
        <color rgb="FFC3CCB7"/>
      </right>
      <top style="medium">
        <color rgb="FFC3CCB7"/>
      </top>
      <bottom style="medium">
        <color indexed="64"/>
      </bottom>
      <diagonal/>
    </border>
    <border>
      <left style="medium">
        <color rgb="FFC3CCB7"/>
      </left>
      <right style="medium">
        <color rgb="FFC3CCB7"/>
      </right>
      <top style="medium">
        <color rgb="FFC3CCB7"/>
      </top>
      <bottom style="medium">
        <color indexed="64"/>
      </bottom>
      <diagonal/>
    </border>
    <border>
      <left style="medium">
        <color rgb="FFC3CCB7"/>
      </left>
      <right/>
      <top style="medium">
        <color rgb="FFC3CCB7"/>
      </top>
      <bottom style="medium">
        <color indexed="64"/>
      </bottom>
      <diagonal/>
    </border>
    <border>
      <left style="medium">
        <color indexed="64"/>
      </left>
      <right/>
      <top style="medium">
        <color rgb="FFC3CCB7"/>
      </top>
      <bottom style="medium">
        <color indexed="64"/>
      </bottom>
      <diagonal/>
    </border>
    <border>
      <left style="medium">
        <color rgb="FFC3CCB7"/>
      </left>
      <right style="medium">
        <color indexed="64"/>
      </right>
      <top style="medium">
        <color rgb="FFC3CCB7"/>
      </top>
      <bottom style="medium">
        <color indexed="64"/>
      </bottom>
      <diagonal/>
    </border>
    <border>
      <left/>
      <right style="medium">
        <color indexed="64"/>
      </right>
      <top style="medium">
        <color rgb="FFC3CCB7"/>
      </top>
      <bottom style="medium">
        <color indexed="64"/>
      </bottom>
      <diagonal/>
    </border>
    <border>
      <left/>
      <right/>
      <top style="medium">
        <color indexed="64"/>
      </top>
      <bottom style="double">
        <color indexed="64"/>
      </bottom>
      <diagonal/>
    </border>
  </borders>
  <cellStyleXfs count="318">
    <xf numFmtId="0" fontId="0" fillId="0" borderId="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4" fontId="17"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4"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0" fontId="18" fillId="0" borderId="0"/>
    <xf numFmtId="0" fontId="4" fillId="0" borderId="0"/>
    <xf numFmtId="0" fontId="17" fillId="0" borderId="0"/>
    <xf numFmtId="0" fontId="17" fillId="0" borderId="0"/>
    <xf numFmtId="0" fontId="17" fillId="0" borderId="0"/>
    <xf numFmtId="0" fontId="4" fillId="0" borderId="0"/>
    <xf numFmtId="0" fontId="4" fillId="0" borderId="0"/>
    <xf numFmtId="0" fontId="16" fillId="0" borderId="0"/>
    <xf numFmtId="9" fontId="17"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43" fontId="17" fillId="0" borderId="0" applyFont="0" applyFill="0" applyBorder="0" applyAlignment="0" applyProtection="0"/>
    <xf numFmtId="0" fontId="32" fillId="0" borderId="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88" fillId="48" borderId="0" applyNumberFormat="0" applyBorder="0" applyAlignment="0" applyProtection="0"/>
    <xf numFmtId="0" fontId="88" fillId="45" borderId="0" applyNumberFormat="0" applyBorder="0" applyAlignment="0" applyProtection="0"/>
    <xf numFmtId="0" fontId="88" fillId="46" borderId="0" applyNumberFormat="0" applyBorder="0" applyAlignment="0" applyProtection="0"/>
    <xf numFmtId="0" fontId="88" fillId="49" borderId="0" applyNumberFormat="0" applyBorder="0" applyAlignment="0" applyProtection="0"/>
    <xf numFmtId="0" fontId="88" fillId="50" borderId="0" applyNumberFormat="0" applyBorder="0" applyAlignment="0" applyProtection="0"/>
    <xf numFmtId="0" fontId="88" fillId="51" borderId="0" applyNumberFormat="0" applyBorder="0" applyAlignment="0" applyProtection="0"/>
    <xf numFmtId="0" fontId="88" fillId="52" borderId="0" applyNumberFormat="0" applyBorder="0" applyAlignment="0" applyProtection="0"/>
    <xf numFmtId="0" fontId="88" fillId="53" borderId="0" applyNumberFormat="0" applyBorder="0" applyAlignment="0" applyProtection="0"/>
    <xf numFmtId="0" fontId="88" fillId="54" borderId="0" applyNumberFormat="0" applyBorder="0" applyAlignment="0" applyProtection="0"/>
    <xf numFmtId="0" fontId="88" fillId="49" borderId="0" applyNumberFormat="0" applyBorder="0" applyAlignment="0" applyProtection="0"/>
    <xf numFmtId="0" fontId="88" fillId="50" borderId="0" applyNumberFormat="0" applyBorder="0" applyAlignment="0" applyProtection="0"/>
    <xf numFmtId="0" fontId="88" fillId="55" borderId="0" applyNumberFormat="0" applyBorder="0" applyAlignment="0" applyProtection="0"/>
    <xf numFmtId="0" fontId="89" fillId="39" borderId="0" applyNumberFormat="0" applyBorder="0" applyAlignment="0" applyProtection="0"/>
    <xf numFmtId="0" fontId="90" fillId="56" borderId="102" applyNumberFormat="0" applyAlignment="0" applyProtection="0"/>
    <xf numFmtId="0" fontId="91" fillId="57" borderId="103" applyNumberFormat="0" applyAlignment="0" applyProtection="0"/>
    <xf numFmtId="44" fontId="4" fillId="0" borderId="0" applyFont="0" applyFill="0" applyBorder="0" applyAlignment="0" applyProtection="0"/>
    <xf numFmtId="44" fontId="17" fillId="0" borderId="0" applyFont="0" applyFill="0" applyBorder="0" applyAlignment="0" applyProtection="0"/>
    <xf numFmtId="0" fontId="92" fillId="0" borderId="0" applyNumberFormat="0" applyFill="0" applyBorder="0" applyAlignment="0" applyProtection="0"/>
    <xf numFmtId="0" fontId="93" fillId="40" borderId="0" applyNumberFormat="0" applyBorder="0" applyAlignment="0" applyProtection="0"/>
    <xf numFmtId="0" fontId="94" fillId="0" borderId="104" applyNumberFormat="0" applyFill="0" applyAlignment="0" applyProtection="0"/>
    <xf numFmtId="0" fontId="95" fillId="0" borderId="105" applyNumberFormat="0" applyFill="0" applyAlignment="0" applyProtection="0"/>
    <xf numFmtId="0" fontId="96" fillId="0" borderId="106" applyNumberFormat="0" applyFill="0" applyAlignment="0" applyProtection="0"/>
    <xf numFmtId="0" fontId="96" fillId="0" borderId="0" applyNumberFormat="0" applyFill="0" applyBorder="0" applyAlignment="0" applyProtection="0"/>
    <xf numFmtId="0" fontId="97" fillId="43" borderId="102" applyNumberFormat="0" applyAlignment="0" applyProtection="0"/>
    <xf numFmtId="0" fontId="98" fillId="0" borderId="107" applyNumberFormat="0" applyFill="0" applyAlignment="0" applyProtection="0"/>
    <xf numFmtId="0" fontId="99" fillId="58" borderId="0" applyNumberFormat="0" applyBorder="0" applyAlignment="0" applyProtection="0"/>
    <xf numFmtId="0" fontId="4" fillId="0" borderId="0"/>
    <xf numFmtId="0" fontId="5" fillId="0" borderId="0"/>
    <xf numFmtId="0" fontId="4" fillId="0" borderId="0"/>
    <xf numFmtId="0" fontId="100" fillId="0" borderId="0"/>
    <xf numFmtId="0" fontId="4" fillId="0" borderId="0"/>
    <xf numFmtId="0" fontId="4" fillId="0" borderId="0"/>
    <xf numFmtId="0" fontId="17" fillId="0" borderId="0"/>
    <xf numFmtId="0" fontId="4" fillId="0" borderId="0"/>
    <xf numFmtId="0" fontId="4" fillId="0" borderId="0"/>
    <xf numFmtId="0" fontId="17" fillId="0" borderId="0"/>
    <xf numFmtId="0" fontId="17" fillId="0" borderId="0"/>
    <xf numFmtId="0" fontId="17" fillId="0" borderId="0"/>
    <xf numFmtId="0" fontId="17" fillId="37" borderId="100" applyNumberFormat="0" applyFont="0" applyAlignment="0" applyProtection="0"/>
    <xf numFmtId="0" fontId="4" fillId="59" borderId="108" applyNumberFormat="0" applyFont="0" applyAlignment="0" applyProtection="0"/>
    <xf numFmtId="0" fontId="101" fillId="56" borderId="109" applyNumberFormat="0" applyAlignment="0" applyProtection="0"/>
    <xf numFmtId="9" fontId="4" fillId="0" borderId="0" applyFont="0" applyFill="0" applyBorder="0" applyAlignment="0" applyProtection="0"/>
    <xf numFmtId="0" fontId="81" fillId="0" borderId="0" applyNumberFormat="0" applyFill="0" applyBorder="0" applyAlignment="0" applyProtection="0"/>
    <xf numFmtId="0" fontId="102" fillId="0" borderId="0" applyNumberFormat="0" applyFill="0" applyBorder="0" applyAlignment="0" applyProtection="0"/>
    <xf numFmtId="0" fontId="103" fillId="0" borderId="110" applyNumberFormat="0" applyFill="0" applyAlignment="0" applyProtection="0"/>
    <xf numFmtId="0" fontId="104" fillId="0" borderId="0" applyNumberFormat="0" applyFill="0" applyBorder="0" applyAlignment="0" applyProtection="0"/>
    <xf numFmtId="0" fontId="17" fillId="0" borderId="0"/>
    <xf numFmtId="0" fontId="116" fillId="36" borderId="0" applyNumberFormat="0" applyBorder="0" applyAlignment="0" applyProtection="0"/>
    <xf numFmtId="0" fontId="117" fillId="0" borderId="112" applyNumberFormat="0" applyFont="0" applyProtection="0">
      <alignment wrapText="1"/>
    </xf>
    <xf numFmtId="0" fontId="90" fillId="56" borderId="102" applyNumberFormat="0" applyAlignment="0" applyProtection="0"/>
    <xf numFmtId="0" fontId="90" fillId="56" borderId="102" applyNumberFormat="0" applyAlignment="0" applyProtection="0"/>
    <xf numFmtId="41" fontId="4"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2" fontId="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0" fontId="86" fillId="0" borderId="0" applyNumberFormat="0" applyFill="0" applyBorder="0" applyAlignment="0" applyProtection="0"/>
    <xf numFmtId="0" fontId="92" fillId="0" borderId="0" applyNumberFormat="0" applyFill="0" applyBorder="0" applyAlignment="0" applyProtection="0"/>
    <xf numFmtId="0" fontId="117" fillId="0" borderId="0" applyNumberFormat="0" applyFill="0" applyBorder="0" applyAlignment="0" applyProtection="0"/>
    <xf numFmtId="0" fontId="117" fillId="0" borderId="113" applyNumberFormat="0" applyProtection="0">
      <alignment wrapText="1"/>
    </xf>
    <xf numFmtId="0" fontId="118" fillId="0" borderId="114" applyNumberFormat="0" applyProtection="0">
      <alignment wrapText="1"/>
    </xf>
    <xf numFmtId="0" fontId="82" fillId="0" borderId="96" applyNumberFormat="0" applyFill="0" applyAlignment="0" applyProtection="0"/>
    <xf numFmtId="0" fontId="94" fillId="0" borderId="104" applyNumberFormat="0" applyFill="0" applyAlignment="0" applyProtection="0"/>
    <xf numFmtId="0" fontId="83" fillId="0" borderId="97" applyNumberFormat="0" applyFill="0" applyAlignment="0" applyProtection="0"/>
    <xf numFmtId="0" fontId="95" fillId="0" borderId="105" applyNumberFormat="0" applyFill="0" applyAlignment="0" applyProtection="0"/>
    <xf numFmtId="0" fontId="84" fillId="0" borderId="98" applyNumberFormat="0" applyFill="0" applyAlignment="0" applyProtection="0"/>
    <xf numFmtId="0" fontId="96" fillId="0" borderId="106" applyNumberFormat="0" applyFill="0" applyAlignment="0" applyProtection="0"/>
    <xf numFmtId="0" fontId="84" fillId="0" borderId="0" applyNumberFormat="0" applyFill="0" applyBorder="0" applyAlignment="0" applyProtection="0"/>
    <xf numFmtId="0" fontId="96" fillId="0" borderId="0" applyNumberFormat="0" applyFill="0" applyBorder="0" applyAlignment="0" applyProtection="0"/>
    <xf numFmtId="0" fontId="119" fillId="0" borderId="0" applyNumberFormat="0" applyFill="0" applyBorder="0" applyAlignment="0" applyProtection="0"/>
    <xf numFmtId="0" fontId="97" fillId="43" borderId="102" applyNumberFormat="0" applyAlignment="0" applyProtection="0"/>
    <xf numFmtId="0" fontId="97" fillId="43" borderId="102" applyNumberFormat="0" applyAlignment="0" applyProtection="0"/>
    <xf numFmtId="0" fontId="85" fillId="0" borderId="99" applyNumberFormat="0" applyFill="0" applyAlignment="0" applyProtection="0"/>
    <xf numFmtId="0" fontId="98" fillId="0" borderId="107" applyNumberFormat="0" applyFill="0" applyAlignment="0" applyProtection="0"/>
    <xf numFmtId="0" fontId="4" fillId="0" borderId="0"/>
    <xf numFmtId="0" fontId="17" fillId="0" borderId="0"/>
    <xf numFmtId="0" fontId="17" fillId="0" borderId="0"/>
    <xf numFmtId="0" fontId="17" fillId="0" borderId="0"/>
    <xf numFmtId="0" fontId="7" fillId="0" borderId="0"/>
    <xf numFmtId="0" fontId="17" fillId="0" borderId="0"/>
    <xf numFmtId="0" fontId="17" fillId="0" borderId="0"/>
    <xf numFmtId="0" fontId="4" fillId="0" borderId="0"/>
    <xf numFmtId="0" fontId="4" fillId="0" borderId="0"/>
    <xf numFmtId="0" fontId="17" fillId="0" borderId="0"/>
    <xf numFmtId="0" fontId="4" fillId="0" borderId="0"/>
    <xf numFmtId="0" fontId="17" fillId="0" borderId="0"/>
    <xf numFmtId="0" fontId="17" fillId="0" borderId="0"/>
    <xf numFmtId="0" fontId="5" fillId="0" borderId="0"/>
    <xf numFmtId="0" fontId="17" fillId="0" borderId="0"/>
    <xf numFmtId="0" fontId="17" fillId="0" borderId="0"/>
    <xf numFmtId="0" fontId="18" fillId="0" borderId="0"/>
    <xf numFmtId="0" fontId="1" fillId="0" borderId="0"/>
    <xf numFmtId="0" fontId="4" fillId="0" borderId="0"/>
    <xf numFmtId="0" fontId="18" fillId="0" borderId="0"/>
    <xf numFmtId="0" fontId="1" fillId="0" borderId="0"/>
    <xf numFmtId="0" fontId="1" fillId="0" borderId="0"/>
    <xf numFmtId="0" fontId="17" fillId="0" borderId="0"/>
    <xf numFmtId="0" fontId="17" fillId="0" borderId="0"/>
    <xf numFmtId="0" fontId="120" fillId="0" borderId="0"/>
    <xf numFmtId="0" fontId="120" fillId="0" borderId="0"/>
    <xf numFmtId="0" fontId="17" fillId="0" borderId="0"/>
    <xf numFmtId="0" fontId="17" fillId="0" borderId="0"/>
    <xf numFmtId="0" fontId="4" fillId="0" borderId="0"/>
    <xf numFmtId="0" fontId="7" fillId="0" borderId="0">
      <alignment vertical="top"/>
    </xf>
    <xf numFmtId="0" fontId="120" fillId="0" borderId="0"/>
    <xf numFmtId="0" fontId="18" fillId="0" borderId="0"/>
    <xf numFmtId="0" fontId="18" fillId="0" borderId="0"/>
    <xf numFmtId="0" fontId="17" fillId="0" borderId="0"/>
    <xf numFmtId="0" fontId="4" fillId="0" borderId="0"/>
    <xf numFmtId="0" fontId="18" fillId="0" borderId="0"/>
    <xf numFmtId="0" fontId="17"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7" fillId="0" borderId="0"/>
    <xf numFmtId="0" fontId="17" fillId="0" borderId="0"/>
    <xf numFmtId="0" fontId="17" fillId="0" borderId="0"/>
    <xf numFmtId="0" fontId="17" fillId="0" borderId="0"/>
    <xf numFmtId="0" fontId="4" fillId="0" borderId="0"/>
    <xf numFmtId="0" fontId="4" fillId="59" borderId="108" applyNumberFormat="0" applyFont="0" applyAlignment="0" applyProtection="0"/>
    <xf numFmtId="0" fontId="101" fillId="56" borderId="109" applyNumberFormat="0" applyAlignment="0" applyProtection="0"/>
    <xf numFmtId="0" fontId="101" fillId="56" borderId="109" applyNumberFormat="0" applyAlignment="0" applyProtection="0"/>
    <xf numFmtId="0" fontId="118" fillId="0" borderId="115" applyNumberFormat="0" applyProtection="0">
      <alignment wrapText="1"/>
    </xf>
    <xf numFmtId="9" fontId="1"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21" fillId="0" borderId="0" applyNumberFormat="0" applyProtection="0">
      <alignment horizontal="left"/>
    </xf>
    <xf numFmtId="0" fontId="102" fillId="0" borderId="0" applyNumberFormat="0" applyFill="0" applyBorder="0" applyAlignment="0" applyProtection="0"/>
    <xf numFmtId="0" fontId="31" fillId="0" borderId="101" applyNumberFormat="0" applyFill="0" applyAlignment="0" applyProtection="0"/>
    <xf numFmtId="0" fontId="103" fillId="0" borderId="110" applyNumberFormat="0" applyFill="0" applyAlignment="0" applyProtection="0"/>
    <xf numFmtId="0" fontId="56" fillId="0" borderId="0" applyNumberFormat="0" applyFill="0" applyBorder="0" applyAlignment="0" applyProtection="0"/>
    <xf numFmtId="0" fontId="104" fillId="0" borderId="0" applyNumberFormat="0" applyFill="0" applyBorder="0" applyAlignment="0" applyProtection="0"/>
    <xf numFmtId="0" fontId="17" fillId="0" borderId="0"/>
    <xf numFmtId="9" fontId="16"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8" fillId="0" borderId="0"/>
    <xf numFmtId="0" fontId="18" fillId="0" borderId="0"/>
    <xf numFmtId="0" fontId="135" fillId="0" borderId="0"/>
    <xf numFmtId="0" fontId="144" fillId="0" borderId="0" applyNumberFormat="0" applyFill="0" applyBorder="0" applyAlignment="0" applyProtection="0"/>
    <xf numFmtId="0" fontId="17" fillId="0" borderId="0"/>
    <xf numFmtId="0" fontId="21" fillId="0" borderId="0">
      <alignment horizontal="left" vertical="center" wrapText="1"/>
    </xf>
  </cellStyleXfs>
  <cellXfs count="2684">
    <xf numFmtId="0" fontId="0" fillId="0" borderId="0" xfId="0"/>
    <xf numFmtId="0" fontId="0" fillId="0" borderId="0" xfId="0" applyAlignment="1">
      <alignment horizontal="center"/>
    </xf>
    <xf numFmtId="0" fontId="17" fillId="0" borderId="0" xfId="20"/>
    <xf numFmtId="0" fontId="6" fillId="4" borderId="13" xfId="20" applyFont="1" applyFill="1" applyBorder="1"/>
    <xf numFmtId="0" fontId="6" fillId="4" borderId="0" xfId="20" applyFont="1" applyFill="1"/>
    <xf numFmtId="0" fontId="6" fillId="4" borderId="11" xfId="20" applyFont="1" applyFill="1" applyBorder="1"/>
    <xf numFmtId="0" fontId="4" fillId="0" borderId="0" xfId="19"/>
    <xf numFmtId="0" fontId="3" fillId="0" borderId="0" xfId="19" applyFont="1"/>
    <xf numFmtId="0" fontId="21" fillId="0" borderId="0" xfId="20" applyFont="1"/>
    <xf numFmtId="168" fontId="0" fillId="0" borderId="27" xfId="8" applyNumberFormat="1" applyFont="1" applyBorder="1"/>
    <xf numFmtId="0" fontId="31" fillId="0" borderId="0" xfId="0" applyFont="1"/>
    <xf numFmtId="44" fontId="0" fillId="0" borderId="0" xfId="8" applyFont="1"/>
    <xf numFmtId="168" fontId="0" fillId="0" borderId="0" xfId="8" applyNumberFormat="1" applyFont="1"/>
    <xf numFmtId="0" fontId="31" fillId="13" borderId="27" xfId="0" applyFont="1" applyFill="1" applyBorder="1" applyAlignment="1">
      <alignment horizontal="center" vertical="center" wrapText="1"/>
    </xf>
    <xf numFmtId="168" fontId="31" fillId="13" borderId="27" xfId="8" applyNumberFormat="1" applyFont="1" applyFill="1" applyBorder="1" applyAlignment="1">
      <alignment horizontal="center" vertical="center" wrapText="1"/>
    </xf>
    <xf numFmtId="0" fontId="0" fillId="0" borderId="27" xfId="0" applyBorder="1" applyAlignment="1">
      <alignment horizontal="center"/>
    </xf>
    <xf numFmtId="166" fontId="4" fillId="0" borderId="0" xfId="19" applyNumberFormat="1"/>
    <xf numFmtId="44" fontId="0" fillId="0" borderId="0" xfId="8" applyFont="1" applyFill="1"/>
    <xf numFmtId="0" fontId="0" fillId="0" borderId="0" xfId="0" applyAlignment="1">
      <alignment horizontal="right"/>
    </xf>
    <xf numFmtId="0" fontId="0" fillId="0" borderId="27" xfId="0" applyBorder="1"/>
    <xf numFmtId="43" fontId="31" fillId="13" borderId="27" xfId="34" applyFont="1" applyFill="1" applyBorder="1" applyAlignment="1">
      <alignment horizontal="center" vertical="center" wrapText="1"/>
    </xf>
    <xf numFmtId="43" fontId="0" fillId="0" borderId="27" xfId="34" applyFont="1" applyBorder="1"/>
    <xf numFmtId="43" fontId="0" fillId="0" borderId="0" xfId="34" applyFont="1"/>
    <xf numFmtId="0" fontId="0" fillId="4" borderId="0" xfId="0" applyFill="1" applyAlignment="1">
      <alignment horizontal="center"/>
    </xf>
    <xf numFmtId="0" fontId="37" fillId="5" borderId="44" xfId="0" applyFont="1" applyFill="1" applyBorder="1" applyAlignment="1">
      <alignment horizontal="center" vertical="center" wrapText="1"/>
    </xf>
    <xf numFmtId="0" fontId="38" fillId="14" borderId="45" xfId="0" applyFont="1" applyFill="1" applyBorder="1"/>
    <xf numFmtId="0" fontId="39" fillId="14" borderId="45" xfId="0" applyFont="1" applyFill="1" applyBorder="1" applyAlignment="1">
      <alignment horizontal="center"/>
    </xf>
    <xf numFmtId="0" fontId="40" fillId="0" borderId="45" xfId="0" applyFont="1" applyBorder="1"/>
    <xf numFmtId="43" fontId="40" fillId="0" borderId="45" xfId="34" applyFont="1" applyBorder="1" applyAlignment="1">
      <alignment horizontal="center"/>
    </xf>
    <xf numFmtId="43" fontId="39" fillId="14" borderId="45" xfId="34" applyFont="1" applyFill="1" applyBorder="1" applyAlignment="1">
      <alignment horizontal="center"/>
    </xf>
    <xf numFmtId="0" fontId="40" fillId="0" borderId="46" xfId="0" applyFont="1" applyBorder="1"/>
    <xf numFmtId="0" fontId="40" fillId="0" borderId="44" xfId="0" applyFont="1" applyBorder="1"/>
    <xf numFmtId="43" fontId="40" fillId="0" borderId="44" xfId="34" applyFont="1" applyBorder="1" applyAlignment="1">
      <alignment horizontal="center"/>
    </xf>
    <xf numFmtId="0" fontId="37" fillId="0" borderId="47" xfId="0" applyFont="1" applyBorder="1" applyAlignment="1">
      <alignment horizontal="right"/>
    </xf>
    <xf numFmtId="43" fontId="37" fillId="0" borderId="47" xfId="34" applyFont="1" applyBorder="1" applyAlignment="1">
      <alignment horizontal="center"/>
    </xf>
    <xf numFmtId="164" fontId="3" fillId="4" borderId="0" xfId="0" applyNumberFormat="1" applyFont="1" applyFill="1" applyAlignment="1">
      <alignment horizontal="center"/>
    </xf>
    <xf numFmtId="0" fontId="17" fillId="4" borderId="0" xfId="20" applyFill="1"/>
    <xf numFmtId="0" fontId="22" fillId="4" borderId="0" xfId="20" applyFont="1" applyFill="1"/>
    <xf numFmtId="164" fontId="3" fillId="4" borderId="0" xfId="20" applyNumberFormat="1" applyFont="1" applyFill="1" applyAlignment="1">
      <alignment horizontal="center"/>
    </xf>
    <xf numFmtId="0" fontId="4" fillId="4" borderId="0" xfId="20" applyFont="1" applyFill="1" applyAlignment="1">
      <alignment horizontal="center"/>
    </xf>
    <xf numFmtId="165" fontId="4" fillId="4" borderId="0" xfId="28" applyNumberFormat="1" applyFont="1" applyFill="1" applyBorder="1" applyAlignment="1">
      <alignment horizontal="center"/>
    </xf>
    <xf numFmtId="0" fontId="17" fillId="16" borderId="0" xfId="20" applyFill="1"/>
    <xf numFmtId="0" fontId="7" fillId="4" borderId="7" xfId="0" applyFont="1" applyFill="1" applyBorder="1"/>
    <xf numFmtId="0" fontId="11" fillId="4" borderId="8" xfId="0" applyFont="1" applyFill="1" applyBorder="1" applyAlignment="1">
      <alignment horizontal="center"/>
    </xf>
    <xf numFmtId="0" fontId="3" fillId="4" borderId="3" xfId="0" applyFont="1" applyFill="1" applyBorder="1"/>
    <xf numFmtId="0" fontId="7" fillId="4" borderId="0" xfId="0" applyFont="1" applyFill="1"/>
    <xf numFmtId="42" fontId="8" fillId="4" borderId="0" xfId="0" applyNumberFormat="1" applyFont="1" applyFill="1"/>
    <xf numFmtId="0" fontId="13" fillId="4" borderId="4" xfId="0" applyFont="1" applyFill="1" applyBorder="1" applyAlignment="1">
      <alignment wrapText="1"/>
    </xf>
    <xf numFmtId="0" fontId="4" fillId="4" borderId="3" xfId="0" applyFont="1" applyFill="1" applyBorder="1"/>
    <xf numFmtId="0" fontId="4" fillId="4" borderId="4" xfId="0" applyFont="1" applyFill="1" applyBorder="1" applyAlignment="1">
      <alignment wrapText="1"/>
    </xf>
    <xf numFmtId="0" fontId="13" fillId="4" borderId="0" xfId="0" applyFont="1" applyFill="1"/>
    <xf numFmtId="0" fontId="7" fillId="4" borderId="0" xfId="0" applyFont="1" applyFill="1" applyAlignment="1">
      <alignment horizontal="center"/>
    </xf>
    <xf numFmtId="4" fontId="9" fillId="4" borderId="0" xfId="0" applyNumberFormat="1" applyFont="1" applyFill="1"/>
    <xf numFmtId="0" fontId="6" fillId="4" borderId="11" xfId="20" applyFont="1" applyFill="1" applyBorder="1" applyAlignment="1">
      <alignment wrapText="1"/>
    </xf>
    <xf numFmtId="0" fontId="6" fillId="4" borderId="11" xfId="20" applyFont="1" applyFill="1" applyBorder="1" applyAlignment="1">
      <alignment horizontal="center"/>
    </xf>
    <xf numFmtId="0" fontId="6" fillId="4" borderId="0" xfId="20" applyFont="1" applyFill="1" applyAlignment="1">
      <alignment wrapText="1"/>
    </xf>
    <xf numFmtId="0" fontId="6" fillId="4" borderId="0" xfId="20" applyFont="1" applyFill="1" applyAlignment="1">
      <alignment horizontal="center"/>
    </xf>
    <xf numFmtId="166" fontId="7" fillId="4" borderId="0" xfId="20" applyNumberFormat="1" applyFont="1" applyFill="1"/>
    <xf numFmtId="42" fontId="8" fillId="4" borderId="0" xfId="20" applyNumberFormat="1" applyFont="1" applyFill="1"/>
    <xf numFmtId="4" fontId="9" fillId="4" borderId="0" xfId="20" applyNumberFormat="1" applyFont="1" applyFill="1"/>
    <xf numFmtId="166" fontId="7" fillId="4" borderId="11" xfId="20" applyNumberFormat="1" applyFont="1" applyFill="1" applyBorder="1"/>
    <xf numFmtId="42" fontId="8" fillId="4" borderId="11" xfId="20" applyNumberFormat="1" applyFont="1" applyFill="1" applyBorder="1"/>
    <xf numFmtId="4" fontId="9" fillId="4" borderId="11" xfId="20" applyNumberFormat="1" applyFont="1" applyFill="1" applyBorder="1"/>
    <xf numFmtId="44" fontId="6" fillId="4" borderId="13" xfId="20" applyNumberFormat="1" applyFont="1" applyFill="1" applyBorder="1"/>
    <xf numFmtId="4" fontId="6" fillId="4" borderId="13" xfId="20" applyNumberFormat="1" applyFont="1" applyFill="1" applyBorder="1"/>
    <xf numFmtId="10" fontId="8" fillId="4" borderId="0" xfId="18" applyNumberFormat="1" applyFont="1" applyFill="1"/>
    <xf numFmtId="44" fontId="6" fillId="4" borderId="0" xfId="20" applyNumberFormat="1" applyFont="1" applyFill="1"/>
    <xf numFmtId="44" fontId="6" fillId="4" borderId="11" xfId="20" applyNumberFormat="1" applyFont="1" applyFill="1" applyBorder="1" applyAlignment="1">
      <alignment horizontal="center"/>
    </xf>
    <xf numFmtId="44" fontId="25" fillId="4" borderId="0" xfId="20" applyNumberFormat="1" applyFont="1" applyFill="1" applyAlignment="1">
      <alignment horizontal="right"/>
    </xf>
    <xf numFmtId="2" fontId="26" fillId="4" borderId="0" xfId="20" applyNumberFormat="1" applyFont="1" applyFill="1" applyAlignment="1">
      <alignment horizontal="right"/>
    </xf>
    <xf numFmtId="0" fontId="7" fillId="4" borderId="13" xfId="20" applyFont="1" applyFill="1" applyBorder="1"/>
    <xf numFmtId="44" fontId="6" fillId="4" borderId="13" xfId="20" applyNumberFormat="1" applyFont="1" applyFill="1" applyBorder="1" applyAlignment="1">
      <alignment horizontal="right"/>
    </xf>
    <xf numFmtId="0" fontId="7" fillId="4" borderId="0" xfId="20" applyFont="1" applyFill="1"/>
    <xf numFmtId="44" fontId="7" fillId="4" borderId="0" xfId="14" applyFont="1" applyFill="1" applyBorder="1"/>
    <xf numFmtId="0" fontId="7" fillId="4" borderId="14" xfId="20" applyFont="1" applyFill="1" applyBorder="1"/>
    <xf numFmtId="9" fontId="4" fillId="4" borderId="0" xfId="20" applyNumberFormat="1" applyFont="1" applyFill="1"/>
    <xf numFmtId="164" fontId="4" fillId="4" borderId="0" xfId="20" applyNumberFormat="1" applyFont="1" applyFill="1"/>
    <xf numFmtId="44" fontId="4" fillId="4" borderId="0" xfId="14" applyFont="1" applyFill="1" applyBorder="1" applyAlignment="1"/>
    <xf numFmtId="0" fontId="4" fillId="4" borderId="3" xfId="0" applyFont="1" applyFill="1" applyBorder="1" applyAlignment="1">
      <alignment wrapText="1"/>
    </xf>
    <xf numFmtId="0" fontId="4" fillId="4" borderId="3" xfId="0" applyFont="1" applyFill="1" applyBorder="1" applyAlignment="1">
      <alignment horizontal="left"/>
    </xf>
    <xf numFmtId="0" fontId="10" fillId="4" borderId="3" xfId="0" applyFont="1" applyFill="1" applyBorder="1"/>
    <xf numFmtId="0" fontId="7" fillId="4" borderId="3" xfId="0" applyFont="1" applyFill="1" applyBorder="1"/>
    <xf numFmtId="0" fontId="11" fillId="4" borderId="0" xfId="0" applyFont="1" applyFill="1" applyAlignment="1">
      <alignment horizontal="center"/>
    </xf>
    <xf numFmtId="0" fontId="7" fillId="4" borderId="4" xfId="0" applyFont="1" applyFill="1" applyBorder="1" applyAlignment="1">
      <alignment wrapText="1"/>
    </xf>
    <xf numFmtId="4" fontId="9" fillId="4" borderId="4" xfId="0" applyNumberFormat="1" applyFont="1" applyFill="1" applyBorder="1" applyAlignment="1">
      <alignment wrapText="1"/>
    </xf>
    <xf numFmtId="4" fontId="9" fillId="4" borderId="0" xfId="0" applyNumberFormat="1" applyFont="1" applyFill="1" applyAlignment="1">
      <alignment horizontal="center"/>
    </xf>
    <xf numFmtId="4" fontId="4" fillId="4" borderId="4" xfId="0" applyNumberFormat="1" applyFont="1" applyFill="1" applyBorder="1" applyAlignment="1">
      <alignment wrapText="1"/>
    </xf>
    <xf numFmtId="10" fontId="7" fillId="4" borderId="0" xfId="26" applyNumberFormat="1" applyFont="1" applyFill="1" applyBorder="1"/>
    <xf numFmtId="10" fontId="8" fillId="4" borderId="0" xfId="26" applyNumberFormat="1" applyFont="1" applyFill="1" applyBorder="1"/>
    <xf numFmtId="44" fontId="4" fillId="4" borderId="0" xfId="8" applyFont="1" applyFill="1" applyBorder="1"/>
    <xf numFmtId="168" fontId="7" fillId="4" borderId="0" xfId="0" applyNumberFormat="1" applyFont="1" applyFill="1"/>
    <xf numFmtId="44" fontId="7" fillId="4" borderId="0" xfId="8" applyFont="1" applyFill="1" applyBorder="1"/>
    <xf numFmtId="0" fontId="6" fillId="4" borderId="18" xfId="0" applyFont="1" applyFill="1" applyBorder="1"/>
    <xf numFmtId="44" fontId="6" fillId="4" borderId="16" xfId="0" applyNumberFormat="1" applyFont="1" applyFill="1" applyBorder="1"/>
    <xf numFmtId="0" fontId="7" fillId="4" borderId="5" xfId="0" applyFont="1" applyFill="1" applyBorder="1"/>
    <xf numFmtId="0" fontId="7" fillId="4" borderId="12" xfId="0" applyFont="1" applyFill="1" applyBorder="1"/>
    <xf numFmtId="10" fontId="9" fillId="4" borderId="12" xfId="26" applyNumberFormat="1" applyFont="1" applyFill="1" applyBorder="1"/>
    <xf numFmtId="0" fontId="7" fillId="4" borderId="6" xfId="0" applyFont="1" applyFill="1" applyBorder="1" applyAlignment="1">
      <alignment wrapText="1"/>
    </xf>
    <xf numFmtId="0" fontId="21" fillId="4" borderId="0" xfId="20" applyFont="1" applyFill="1" applyAlignment="1">
      <alignment wrapText="1"/>
    </xf>
    <xf numFmtId="44" fontId="27" fillId="4" borderId="0" xfId="8" applyFont="1" applyFill="1" applyBorder="1"/>
    <xf numFmtId="0" fontId="6" fillId="4" borderId="3" xfId="20" applyFont="1" applyFill="1" applyBorder="1"/>
    <xf numFmtId="0" fontId="3" fillId="4" borderId="0" xfId="20" applyFont="1" applyFill="1" applyAlignment="1">
      <alignment horizontal="center"/>
    </xf>
    <xf numFmtId="0" fontId="6" fillId="4" borderId="0" xfId="20" applyFont="1" applyFill="1" applyAlignment="1">
      <alignment horizontal="right"/>
    </xf>
    <xf numFmtId="3" fontId="6" fillId="4" borderId="4" xfId="20" applyNumberFormat="1" applyFont="1" applyFill="1" applyBorder="1"/>
    <xf numFmtId="0" fontId="7" fillId="4" borderId="3" xfId="20" applyFont="1" applyFill="1" applyBorder="1"/>
    <xf numFmtId="0" fontId="7" fillId="4" borderId="4" xfId="20" applyFont="1" applyFill="1" applyBorder="1"/>
    <xf numFmtId="0" fontId="6" fillId="4" borderId="10" xfId="20" applyFont="1" applyFill="1" applyBorder="1"/>
    <xf numFmtId="0" fontId="6" fillId="4" borderId="17" xfId="20" applyFont="1" applyFill="1" applyBorder="1" applyAlignment="1">
      <alignment horizontal="center"/>
    </xf>
    <xf numFmtId="0" fontId="6" fillId="4" borderId="4" xfId="20" applyFont="1" applyFill="1" applyBorder="1" applyAlignment="1">
      <alignment horizontal="center"/>
    </xf>
    <xf numFmtId="0" fontId="4" fillId="4" borderId="3" xfId="20" applyFont="1" applyFill="1" applyBorder="1"/>
    <xf numFmtId="42" fontId="7" fillId="4" borderId="4" xfId="20" applyNumberFormat="1" applyFont="1" applyFill="1" applyBorder="1"/>
    <xf numFmtId="0" fontId="3" fillId="4" borderId="3" xfId="20" applyFont="1" applyFill="1" applyBorder="1"/>
    <xf numFmtId="0" fontId="4" fillId="4" borderId="3" xfId="20" applyFont="1" applyFill="1" applyBorder="1" applyAlignment="1">
      <alignment horizontal="left"/>
    </xf>
    <xf numFmtId="42" fontId="7" fillId="4" borderId="17" xfId="20" applyNumberFormat="1" applyFont="1" applyFill="1" applyBorder="1"/>
    <xf numFmtId="0" fontId="6" fillId="4" borderId="20" xfId="20" applyFont="1" applyFill="1" applyBorder="1"/>
    <xf numFmtId="42" fontId="6" fillId="4" borderId="19" xfId="20" applyNumberFormat="1" applyFont="1" applyFill="1" applyBorder="1"/>
    <xf numFmtId="0" fontId="24" fillId="4" borderId="4" xfId="20" applyFont="1" applyFill="1" applyBorder="1"/>
    <xf numFmtId="42" fontId="7" fillId="4" borderId="4" xfId="20" applyNumberFormat="1" applyFont="1" applyFill="1" applyBorder="1" applyAlignment="1">
      <alignment horizontal="right"/>
    </xf>
    <xf numFmtId="42" fontId="6" fillId="4" borderId="19" xfId="20" applyNumberFormat="1" applyFont="1" applyFill="1" applyBorder="1" applyAlignment="1">
      <alignment horizontal="right"/>
    </xf>
    <xf numFmtId="42" fontId="6" fillId="4" borderId="4" xfId="20" applyNumberFormat="1" applyFont="1" applyFill="1" applyBorder="1"/>
    <xf numFmtId="42" fontId="6" fillId="4" borderId="17" xfId="20" applyNumberFormat="1" applyFont="1" applyFill="1" applyBorder="1" applyAlignment="1">
      <alignment horizontal="center"/>
    </xf>
    <xf numFmtId="164" fontId="4" fillId="4" borderId="3" xfId="20" applyNumberFormat="1" applyFont="1" applyFill="1" applyBorder="1"/>
    <xf numFmtId="44" fontId="7" fillId="4" borderId="0" xfId="20" applyNumberFormat="1" applyFont="1" applyFill="1" applyAlignment="1">
      <alignment horizontal="right"/>
    </xf>
    <xf numFmtId="168" fontId="7" fillId="4" borderId="4" xfId="12" applyNumberFormat="1" applyFont="1" applyFill="1" applyBorder="1" applyAlignment="1">
      <alignment horizontal="right"/>
    </xf>
    <xf numFmtId="168" fontId="6" fillId="4" borderId="19" xfId="14" applyNumberFormat="1" applyFont="1" applyFill="1" applyBorder="1" applyAlignment="1">
      <alignment horizontal="right"/>
    </xf>
    <xf numFmtId="44" fontId="6" fillId="4" borderId="4" xfId="14" applyFont="1" applyFill="1" applyBorder="1"/>
    <xf numFmtId="168" fontId="6" fillId="4" borderId="19" xfId="14" applyNumberFormat="1" applyFont="1" applyFill="1" applyBorder="1"/>
    <xf numFmtId="44" fontId="7" fillId="4" borderId="4" xfId="14" applyFont="1" applyFill="1" applyBorder="1"/>
    <xf numFmtId="0" fontId="7" fillId="4" borderId="4" xfId="20" applyFont="1" applyFill="1" applyBorder="1" applyAlignment="1">
      <alignment horizontal="right"/>
    </xf>
    <xf numFmtId="0" fontId="6" fillId="4" borderId="21" xfId="20" applyFont="1" applyFill="1" applyBorder="1"/>
    <xf numFmtId="42" fontId="6" fillId="4" borderId="22" xfId="20" applyNumberFormat="1" applyFont="1" applyFill="1" applyBorder="1" applyAlignment="1">
      <alignment horizontal="right"/>
    </xf>
    <xf numFmtId="10" fontId="9" fillId="4" borderId="0" xfId="20" applyNumberFormat="1" applyFont="1" applyFill="1" applyAlignment="1">
      <alignment horizontal="right"/>
    </xf>
    <xf numFmtId="168" fontId="7" fillId="4" borderId="4" xfId="14" applyNumberFormat="1" applyFont="1" applyFill="1" applyBorder="1" applyAlignment="1">
      <alignment horizontal="right"/>
    </xf>
    <xf numFmtId="10" fontId="9" fillId="4" borderId="0" xfId="20" applyNumberFormat="1" applyFont="1" applyFill="1"/>
    <xf numFmtId="168" fontId="7" fillId="4" borderId="0" xfId="14" applyNumberFormat="1" applyFont="1" applyFill="1" applyBorder="1"/>
    <xf numFmtId="168" fontId="7" fillId="4" borderId="4" xfId="14" applyNumberFormat="1" applyFont="1" applyFill="1" applyBorder="1"/>
    <xf numFmtId="0" fontId="11" fillId="4" borderId="4" xfId="20" applyFont="1" applyFill="1" applyBorder="1" applyAlignment="1">
      <alignment horizontal="right"/>
    </xf>
    <xf numFmtId="43" fontId="7" fillId="4" borderId="0" xfId="0" applyNumberFormat="1" applyFont="1" applyFill="1"/>
    <xf numFmtId="0" fontId="3" fillId="14" borderId="7" xfId="20" applyFont="1" applyFill="1" applyBorder="1"/>
    <xf numFmtId="0" fontId="3" fillId="14" borderId="8" xfId="20" applyFont="1" applyFill="1" applyBorder="1" applyAlignment="1">
      <alignment horizontal="center"/>
    </xf>
    <xf numFmtId="0" fontId="4" fillId="14" borderId="3" xfId="20" applyFont="1" applyFill="1" applyBorder="1"/>
    <xf numFmtId="0" fontId="23" fillId="14" borderId="0" xfId="20" applyFont="1" applyFill="1" applyAlignment="1">
      <alignment horizontal="center"/>
    </xf>
    <xf numFmtId="0" fontId="4" fillId="14" borderId="3" xfId="20" applyFont="1" applyFill="1" applyBorder="1" applyAlignment="1">
      <alignment horizontal="left"/>
    </xf>
    <xf numFmtId="0" fontId="4" fillId="14" borderId="0" xfId="20" applyFont="1" applyFill="1" applyAlignment="1">
      <alignment horizontal="right"/>
    </xf>
    <xf numFmtId="0" fontId="4" fillId="14" borderId="5" xfId="20" applyFont="1" applyFill="1" applyBorder="1"/>
    <xf numFmtId="0" fontId="4" fillId="14" borderId="12" xfId="20" applyFont="1" applyFill="1" applyBorder="1" applyAlignment="1">
      <alignment horizontal="right"/>
    </xf>
    <xf numFmtId="0" fontId="6" fillId="4" borderId="7" xfId="20" applyFont="1" applyFill="1" applyBorder="1"/>
    <xf numFmtId="0" fontId="3" fillId="4" borderId="8" xfId="20" applyFont="1" applyFill="1" applyBorder="1" applyAlignment="1">
      <alignment horizontal="center"/>
    </xf>
    <xf numFmtId="0" fontId="6" fillId="4" borderId="8" xfId="20" applyFont="1" applyFill="1" applyBorder="1"/>
    <xf numFmtId="0" fontId="6" fillId="4" borderId="8" xfId="20" applyFont="1" applyFill="1" applyBorder="1" applyAlignment="1">
      <alignment horizontal="right"/>
    </xf>
    <xf numFmtId="3" fontId="6" fillId="4" borderId="9" xfId="20" applyNumberFormat="1" applyFont="1" applyFill="1" applyBorder="1"/>
    <xf numFmtId="42" fontId="6" fillId="4" borderId="4" xfId="20" applyNumberFormat="1" applyFont="1" applyFill="1" applyBorder="1" applyAlignment="1">
      <alignment horizontal="right"/>
    </xf>
    <xf numFmtId="0" fontId="7" fillId="4" borderId="7" xfId="0" applyFont="1" applyFill="1" applyBorder="1" applyAlignment="1">
      <alignment wrapText="1"/>
    </xf>
    <xf numFmtId="0" fontId="11" fillId="4" borderId="8" xfId="0" applyFont="1" applyFill="1" applyBorder="1" applyAlignment="1">
      <alignment horizontal="center" wrapText="1"/>
    </xf>
    <xf numFmtId="0" fontId="11" fillId="4" borderId="8" xfId="0" applyFont="1" applyFill="1" applyBorder="1" applyAlignment="1">
      <alignment horizontal="center" vertical="center" wrapText="1"/>
    </xf>
    <xf numFmtId="4" fontId="43" fillId="4" borderId="0" xfId="0" applyNumberFormat="1" applyFont="1" applyFill="1" applyAlignment="1">
      <alignment horizontal="center"/>
    </xf>
    <xf numFmtId="0" fontId="4" fillId="4" borderId="0" xfId="20" applyFont="1" applyFill="1"/>
    <xf numFmtId="10" fontId="43" fillId="4" borderId="0" xfId="26" applyNumberFormat="1" applyFont="1" applyFill="1" applyBorder="1"/>
    <xf numFmtId="10" fontId="43" fillId="4" borderId="12" xfId="26" applyNumberFormat="1" applyFont="1" applyFill="1" applyBorder="1"/>
    <xf numFmtId="170" fontId="8" fillId="4" borderId="0" xfId="20" applyNumberFormat="1" applyFont="1" applyFill="1"/>
    <xf numFmtId="164" fontId="3" fillId="4" borderId="0" xfId="20" applyNumberFormat="1" applyFont="1" applyFill="1" applyAlignment="1">
      <alignment horizontal="center" wrapText="1"/>
    </xf>
    <xf numFmtId="0" fontId="4" fillId="4" borderId="0" xfId="20" applyFont="1" applyFill="1" applyAlignment="1">
      <alignment horizontal="center" wrapText="1"/>
    </xf>
    <xf numFmtId="165" fontId="4" fillId="4" borderId="0" xfId="26" applyNumberFormat="1" applyFont="1" applyFill="1" applyBorder="1" applyAlignment="1">
      <alignment horizontal="center" wrapText="1"/>
    </xf>
    <xf numFmtId="164" fontId="3" fillId="14" borderId="9" xfId="20" applyNumberFormat="1" applyFont="1" applyFill="1" applyBorder="1" applyAlignment="1">
      <alignment horizontal="center"/>
    </xf>
    <xf numFmtId="0" fontId="4" fillId="14" borderId="4" xfId="20" applyFont="1" applyFill="1" applyBorder="1" applyAlignment="1">
      <alignment horizontal="center"/>
    </xf>
    <xf numFmtId="0" fontId="4" fillId="14" borderId="17" xfId="20" applyFont="1" applyFill="1" applyBorder="1" applyAlignment="1">
      <alignment horizontal="center"/>
    </xf>
    <xf numFmtId="165" fontId="4" fillId="14" borderId="6" xfId="28" applyNumberFormat="1" applyFont="1" applyFill="1" applyBorder="1" applyAlignment="1">
      <alignment horizontal="center"/>
    </xf>
    <xf numFmtId="9" fontId="17" fillId="4" borderId="0" xfId="26" applyFill="1"/>
    <xf numFmtId="168" fontId="8" fillId="4" borderId="11" xfId="8" applyNumberFormat="1" applyFont="1" applyFill="1" applyBorder="1"/>
    <xf numFmtId="4" fontId="6" fillId="4" borderId="11" xfId="20" applyNumberFormat="1" applyFont="1" applyFill="1" applyBorder="1"/>
    <xf numFmtId="44" fontId="7" fillId="4" borderId="11" xfId="20" applyNumberFormat="1" applyFont="1" applyFill="1" applyBorder="1" applyAlignment="1">
      <alignment horizontal="right"/>
    </xf>
    <xf numFmtId="0" fontId="6" fillId="4" borderId="3" xfId="0" applyFont="1" applyFill="1" applyBorder="1"/>
    <xf numFmtId="0" fontId="7" fillId="4" borderId="11" xfId="0" applyFont="1" applyFill="1" applyBorder="1" applyAlignment="1">
      <alignment horizontal="center"/>
    </xf>
    <xf numFmtId="0" fontId="4" fillId="4" borderId="10" xfId="0" applyFont="1" applyFill="1" applyBorder="1"/>
    <xf numFmtId="4" fontId="9" fillId="4" borderId="11" xfId="0" applyNumberFormat="1" applyFont="1" applyFill="1" applyBorder="1" applyAlignment="1">
      <alignment horizontal="center"/>
    </xf>
    <xf numFmtId="0" fontId="8" fillId="4" borderId="0" xfId="0" applyFont="1" applyFill="1"/>
    <xf numFmtId="0" fontId="28" fillId="4" borderId="9" xfId="20" applyFont="1" applyFill="1" applyBorder="1"/>
    <xf numFmtId="0" fontId="11" fillId="4" borderId="4" xfId="0" applyFont="1" applyFill="1" applyBorder="1" applyAlignment="1">
      <alignment horizontal="center"/>
    </xf>
    <xf numFmtId="0" fontId="21" fillId="4" borderId="11" xfId="20" applyFont="1" applyFill="1" applyBorder="1" applyAlignment="1">
      <alignment horizontal="center"/>
    </xf>
    <xf numFmtId="0" fontId="7" fillId="4" borderId="4" xfId="0" applyFont="1" applyFill="1" applyBorder="1" applyAlignment="1">
      <alignment horizontal="center"/>
    </xf>
    <xf numFmtId="4" fontId="9" fillId="4" borderId="4" xfId="0" applyNumberFormat="1" applyFont="1" applyFill="1" applyBorder="1" applyAlignment="1">
      <alignment horizontal="center"/>
    </xf>
    <xf numFmtId="44" fontId="6" fillId="4" borderId="11" xfId="20" applyNumberFormat="1" applyFont="1" applyFill="1" applyBorder="1"/>
    <xf numFmtId="0" fontId="10" fillId="4" borderId="10" xfId="20" applyFont="1" applyFill="1" applyBorder="1"/>
    <xf numFmtId="42" fontId="6" fillId="4" borderId="17" xfId="20" applyNumberFormat="1" applyFont="1" applyFill="1" applyBorder="1"/>
    <xf numFmtId="168" fontId="7" fillId="4" borderId="17" xfId="12" applyNumberFormat="1" applyFont="1" applyFill="1" applyBorder="1" applyAlignment="1">
      <alignment horizontal="right"/>
    </xf>
    <xf numFmtId="44" fontId="6" fillId="4" borderId="0" xfId="20" applyNumberFormat="1" applyFont="1" applyFill="1" applyAlignment="1">
      <alignment horizontal="right"/>
    </xf>
    <xf numFmtId="168" fontId="6" fillId="4" borderId="4" xfId="12" applyNumberFormat="1" applyFont="1" applyFill="1" applyBorder="1" applyAlignment="1">
      <alignment horizontal="right"/>
    </xf>
    <xf numFmtId="10" fontId="8" fillId="4" borderId="0" xfId="31" applyNumberFormat="1" applyFont="1" applyFill="1" applyBorder="1" applyAlignment="1">
      <alignment horizontal="right"/>
    </xf>
    <xf numFmtId="0" fontId="40" fillId="0" borderId="0" xfId="0" applyFont="1"/>
    <xf numFmtId="0" fontId="37" fillId="13" borderId="27" xfId="0" applyFont="1" applyFill="1" applyBorder="1" applyAlignment="1">
      <alignment horizontal="center"/>
    </xf>
    <xf numFmtId="0" fontId="37" fillId="13" borderId="36" xfId="0" applyFont="1" applyFill="1" applyBorder="1" applyAlignment="1">
      <alignment horizontal="center"/>
    </xf>
    <xf numFmtId="43" fontId="40" fillId="0" borderId="27" xfId="34" applyFont="1" applyBorder="1" applyAlignment="1">
      <alignment horizontal="center"/>
    </xf>
    <xf numFmtId="43" fontId="40" fillId="0" borderId="28" xfId="34" applyFont="1" applyBorder="1" applyAlignment="1">
      <alignment horizontal="center"/>
    </xf>
    <xf numFmtId="43" fontId="37" fillId="0" borderId="29" xfId="34" applyFont="1" applyBorder="1" applyAlignment="1">
      <alignment horizontal="center"/>
    </xf>
    <xf numFmtId="43" fontId="37" fillId="0" borderId="30" xfId="34" applyFont="1" applyBorder="1" applyAlignment="1">
      <alignment horizontal="center"/>
    </xf>
    <xf numFmtId="0" fontId="37" fillId="14" borderId="32" xfId="0" applyFont="1" applyFill="1" applyBorder="1"/>
    <xf numFmtId="0" fontId="37" fillId="14" borderId="45" xfId="0" applyFont="1" applyFill="1" applyBorder="1"/>
    <xf numFmtId="0" fontId="37" fillId="15" borderId="23" xfId="0" applyFont="1" applyFill="1" applyBorder="1" applyAlignment="1">
      <alignment horizontal="center"/>
    </xf>
    <xf numFmtId="0" fontId="37" fillId="15" borderId="27" xfId="0" applyFont="1" applyFill="1" applyBorder="1" applyAlignment="1">
      <alignment horizontal="center"/>
    </xf>
    <xf numFmtId="0" fontId="37" fillId="14" borderId="44" xfId="0" applyFont="1" applyFill="1" applyBorder="1"/>
    <xf numFmtId="43" fontId="40" fillId="0" borderId="23" xfId="34" applyFont="1" applyBorder="1" applyAlignment="1">
      <alignment horizontal="center"/>
    </xf>
    <xf numFmtId="43" fontId="37" fillId="0" borderId="31" xfId="34" applyFont="1" applyBorder="1" applyAlignment="1">
      <alignment horizontal="center"/>
    </xf>
    <xf numFmtId="0" fontId="37" fillId="14" borderId="32" xfId="0" applyFont="1" applyFill="1" applyBorder="1" applyAlignment="1">
      <alignment horizontal="center" vertical="center" wrapText="1"/>
    </xf>
    <xf numFmtId="0" fontId="40" fillId="0" borderId="0" xfId="0" applyFont="1" applyAlignment="1">
      <alignment horizontal="center" vertical="center" wrapText="1"/>
    </xf>
    <xf numFmtId="16" fontId="40" fillId="0" borderId="23" xfId="0" quotePrefix="1" applyNumberFormat="1" applyFont="1" applyBorder="1" applyAlignment="1">
      <alignment horizontal="center"/>
    </xf>
    <xf numFmtId="16" fontId="40" fillId="0" borderId="28" xfId="0" quotePrefix="1" applyNumberFormat="1" applyFont="1" applyBorder="1" applyAlignment="1">
      <alignment horizontal="center"/>
    </xf>
    <xf numFmtId="16" fontId="40" fillId="0" borderId="44" xfId="0" quotePrefix="1" applyNumberFormat="1" applyFont="1" applyBorder="1" applyAlignment="1">
      <alignment horizontal="center"/>
    </xf>
    <xf numFmtId="16" fontId="40" fillId="0" borderId="42" xfId="0" quotePrefix="1" applyNumberFormat="1" applyFont="1" applyBorder="1" applyAlignment="1">
      <alignment horizontal="center"/>
    </xf>
    <xf numFmtId="16" fontId="40" fillId="0" borderId="43" xfId="0" quotePrefix="1" applyNumberFormat="1" applyFont="1" applyBorder="1" applyAlignment="1">
      <alignment horizontal="center"/>
    </xf>
    <xf numFmtId="16" fontId="40" fillId="0" borderId="27" xfId="0" quotePrefix="1" applyNumberFormat="1" applyFont="1" applyBorder="1" applyAlignment="1">
      <alignment horizontal="center"/>
    </xf>
    <xf numFmtId="0" fontId="40" fillId="0" borderId="23" xfId="0" applyFont="1" applyBorder="1" applyAlignment="1">
      <alignment horizontal="center"/>
    </xf>
    <xf numFmtId="0" fontId="40" fillId="0" borderId="28" xfId="0" applyFont="1" applyBorder="1" applyAlignment="1">
      <alignment horizontal="center"/>
    </xf>
    <xf numFmtId="0" fontId="40" fillId="0" borderId="45" xfId="0" applyFont="1" applyBorder="1" applyAlignment="1">
      <alignment horizontal="center"/>
    </xf>
    <xf numFmtId="0" fontId="40" fillId="0" borderId="27" xfId="0" applyFont="1" applyBorder="1" applyAlignment="1">
      <alignment horizontal="center"/>
    </xf>
    <xf numFmtId="43" fontId="39" fillId="14" borderId="20" xfId="34" applyFont="1" applyFill="1" applyBorder="1" applyAlignment="1">
      <alignment horizontal="center"/>
    </xf>
    <xf numFmtId="43" fontId="39" fillId="14" borderId="19" xfId="34" applyFont="1" applyFill="1" applyBorder="1" applyAlignment="1">
      <alignment horizontal="center"/>
    </xf>
    <xf numFmtId="43" fontId="39" fillId="14" borderId="13" xfId="34" applyFont="1" applyFill="1" applyBorder="1" applyAlignment="1">
      <alignment horizontal="center"/>
    </xf>
    <xf numFmtId="0" fontId="40" fillId="0" borderId="46" xfId="0" applyFont="1" applyBorder="1" applyAlignment="1">
      <alignment horizontal="left" indent="1"/>
    </xf>
    <xf numFmtId="43" fontId="40" fillId="0" borderId="40" xfId="34" applyFont="1" applyBorder="1"/>
    <xf numFmtId="43" fontId="40" fillId="0" borderId="46" xfId="34" applyFont="1" applyBorder="1"/>
    <xf numFmtId="43" fontId="40" fillId="0" borderId="41" xfId="34" applyFont="1" applyBorder="1"/>
    <xf numFmtId="0" fontId="40" fillId="0" borderId="44" xfId="0" applyFont="1" applyBorder="1" applyAlignment="1">
      <alignment horizontal="left" indent="1"/>
    </xf>
    <xf numFmtId="43" fontId="40" fillId="1" borderId="42" xfId="34" applyFont="1" applyFill="1" applyBorder="1" applyAlignment="1">
      <alignment horizontal="center"/>
    </xf>
    <xf numFmtId="43" fontId="40" fillId="1" borderId="43" xfId="34" applyFont="1" applyFill="1" applyBorder="1" applyAlignment="1">
      <alignment horizontal="center"/>
    </xf>
    <xf numFmtId="43" fontId="40" fillId="0" borderId="45" xfId="34" applyFont="1" applyBorder="1"/>
    <xf numFmtId="43" fontId="40" fillId="1" borderId="23" xfId="34" applyFont="1" applyFill="1" applyBorder="1" applyAlignment="1">
      <alignment horizontal="center"/>
    </xf>
    <xf numFmtId="43" fontId="40" fillId="1" borderId="28" xfId="34" applyFont="1" applyFill="1" applyBorder="1" applyAlignment="1">
      <alignment horizontal="center"/>
    </xf>
    <xf numFmtId="43" fontId="40" fillId="1" borderId="36" xfId="34" applyFont="1" applyFill="1" applyBorder="1" applyAlignment="1">
      <alignment horizontal="center"/>
    </xf>
    <xf numFmtId="0" fontId="40" fillId="0" borderId="45" xfId="0" applyFont="1" applyBorder="1" applyAlignment="1">
      <alignment horizontal="left" indent="1"/>
    </xf>
    <xf numFmtId="43" fontId="40" fillId="1" borderId="45" xfId="34" applyFont="1" applyFill="1" applyBorder="1" applyAlignment="1">
      <alignment horizontal="center"/>
    </xf>
    <xf numFmtId="43" fontId="40" fillId="0" borderId="23" xfId="34" applyFont="1" applyBorder="1"/>
    <xf numFmtId="43" fontId="40" fillId="0" borderId="28" xfId="34" applyFont="1" applyBorder="1"/>
    <xf numFmtId="43" fontId="40" fillId="1" borderId="27" xfId="34" applyFont="1" applyFill="1" applyBorder="1" applyAlignment="1">
      <alignment horizontal="center"/>
    </xf>
    <xf numFmtId="43" fontId="40" fillId="0" borderId="27" xfId="34" applyFont="1" applyBorder="1"/>
    <xf numFmtId="43" fontId="40" fillId="0" borderId="28" xfId="34" applyFont="1" applyFill="1" applyBorder="1" applyAlignment="1">
      <alignment horizontal="center"/>
    </xf>
    <xf numFmtId="43" fontId="40" fillId="0" borderId="27" xfId="34" applyFont="1" applyFill="1" applyBorder="1" applyAlignment="1">
      <alignment horizontal="center"/>
    </xf>
    <xf numFmtId="43" fontId="40" fillId="0" borderId="45" xfId="34" applyFont="1" applyFill="1" applyBorder="1" applyAlignment="1">
      <alignment horizontal="center"/>
    </xf>
    <xf numFmtId="43" fontId="40" fillId="0" borderId="23" xfId="34" applyFont="1" applyFill="1" applyBorder="1" applyAlignment="1">
      <alignment horizontal="center"/>
    </xf>
    <xf numFmtId="43" fontId="37" fillId="0" borderId="31" xfId="34" applyFont="1" applyBorder="1"/>
    <xf numFmtId="43" fontId="37" fillId="0" borderId="30" xfId="34" applyFont="1" applyBorder="1"/>
    <xf numFmtId="43" fontId="37" fillId="0" borderId="47" xfId="34" applyFont="1" applyBorder="1"/>
    <xf numFmtId="43" fontId="37" fillId="0" borderId="29" xfId="34" applyFont="1" applyBorder="1"/>
    <xf numFmtId="0" fontId="37" fillId="14" borderId="0" xfId="0" applyFont="1" applyFill="1"/>
    <xf numFmtId="0" fontId="40" fillId="14" borderId="0" xfId="0" applyFont="1" applyFill="1"/>
    <xf numFmtId="0" fontId="40" fillId="4" borderId="0" xfId="0" applyFont="1" applyFill="1"/>
    <xf numFmtId="0" fontId="37" fillId="4" borderId="0" xfId="0" applyFont="1" applyFill="1"/>
    <xf numFmtId="0" fontId="37" fillId="5" borderId="32" xfId="0" applyFont="1" applyFill="1" applyBorder="1" applyAlignment="1">
      <alignment horizontal="center" vertical="center" wrapText="1"/>
    </xf>
    <xf numFmtId="0" fontId="37" fillId="4" borderId="0" xfId="0" applyFont="1" applyFill="1" applyAlignment="1">
      <alignment horizontal="center" vertical="center" wrapText="1"/>
    </xf>
    <xf numFmtId="0" fontId="40" fillId="16" borderId="0" xfId="0" applyFont="1" applyFill="1"/>
    <xf numFmtId="43" fontId="37" fillId="4" borderId="0" xfId="34" applyFont="1" applyFill="1" applyBorder="1" applyAlignment="1">
      <alignment horizontal="center"/>
    </xf>
    <xf numFmtId="0" fontId="40" fillId="16" borderId="0" xfId="0" applyFont="1" applyFill="1" applyAlignment="1">
      <alignment horizontal="center" vertical="center" wrapText="1"/>
    </xf>
    <xf numFmtId="0" fontId="37" fillId="4" borderId="0" xfId="0" applyFont="1" applyFill="1" applyAlignment="1">
      <alignment horizontal="right"/>
    </xf>
    <xf numFmtId="44" fontId="4" fillId="4" borderId="0" xfId="8" applyFont="1" applyFill="1" applyBorder="1" applyAlignment="1">
      <alignment horizontal="left"/>
    </xf>
    <xf numFmtId="0" fontId="21" fillId="4" borderId="0" xfId="20" applyFont="1" applyFill="1"/>
    <xf numFmtId="0" fontId="30" fillId="4" borderId="0" xfId="20" applyFont="1" applyFill="1"/>
    <xf numFmtId="0" fontId="21" fillId="16" borderId="0" xfId="20" applyFont="1" applyFill="1"/>
    <xf numFmtId="9" fontId="21" fillId="4" borderId="0" xfId="26" applyFont="1" applyFill="1"/>
    <xf numFmtId="0" fontId="30" fillId="4" borderId="0" xfId="20" applyFont="1" applyFill="1" applyAlignment="1">
      <alignment horizontal="center"/>
    </xf>
    <xf numFmtId="0" fontId="21" fillId="4" borderId="8" xfId="20" applyFont="1" applyFill="1" applyBorder="1"/>
    <xf numFmtId="0" fontId="30" fillId="4" borderId="9" xfId="20" applyFont="1" applyFill="1" applyBorder="1"/>
    <xf numFmtId="0" fontId="21" fillId="4" borderId="4" xfId="20" applyFont="1" applyFill="1" applyBorder="1"/>
    <xf numFmtId="0" fontId="21" fillId="4" borderId="12" xfId="20" applyFont="1" applyFill="1" applyBorder="1"/>
    <xf numFmtId="0" fontId="21" fillId="4" borderId="6" xfId="20" applyFont="1" applyFill="1" applyBorder="1"/>
    <xf numFmtId="170" fontId="8" fillId="4" borderId="0" xfId="0" applyNumberFormat="1" applyFont="1" applyFill="1"/>
    <xf numFmtId="44" fontId="7" fillId="4" borderId="4" xfId="8" applyFont="1" applyFill="1" applyBorder="1"/>
    <xf numFmtId="0" fontId="21" fillId="4" borderId="3" xfId="20" applyFont="1" applyFill="1" applyBorder="1"/>
    <xf numFmtId="0" fontId="21" fillId="4" borderId="4" xfId="20" applyFont="1" applyFill="1" applyBorder="1" applyAlignment="1">
      <alignment wrapText="1"/>
    </xf>
    <xf numFmtId="0" fontId="21" fillId="16" borderId="0" xfId="20" applyFont="1" applyFill="1" applyAlignment="1">
      <alignment wrapText="1"/>
    </xf>
    <xf numFmtId="0" fontId="21" fillId="0" borderId="0" xfId="20" applyFont="1" applyAlignment="1">
      <alignment wrapText="1"/>
    </xf>
    <xf numFmtId="0" fontId="3" fillId="4" borderId="0" xfId="20" applyFont="1" applyFill="1"/>
    <xf numFmtId="0" fontId="23" fillId="4" borderId="0" xfId="20" applyFont="1" applyFill="1" applyAlignment="1">
      <alignment horizontal="center"/>
    </xf>
    <xf numFmtId="0" fontId="7" fillId="4" borderId="8" xfId="0" applyFont="1" applyFill="1" applyBorder="1"/>
    <xf numFmtId="0" fontId="4" fillId="4" borderId="8" xfId="0" applyFont="1" applyFill="1" applyBorder="1" applyAlignment="1">
      <alignment horizontal="left" wrapText="1"/>
    </xf>
    <xf numFmtId="0" fontId="4" fillId="4" borderId="9" xfId="0" applyFont="1" applyFill="1" applyBorder="1" applyAlignment="1">
      <alignment horizontal="left" wrapText="1"/>
    </xf>
    <xf numFmtId="0" fontId="4" fillId="4" borderId="0" xfId="0" applyFont="1" applyFill="1" applyAlignment="1">
      <alignment horizontal="left"/>
    </xf>
    <xf numFmtId="0" fontId="4" fillId="4" borderId="4" xfId="0" applyFont="1" applyFill="1" applyBorder="1" applyAlignment="1">
      <alignment horizontal="left"/>
    </xf>
    <xf numFmtId="4" fontId="4" fillId="4" borderId="0" xfId="0" applyNumberFormat="1" applyFont="1" applyFill="1" applyAlignment="1">
      <alignment horizontal="left" wrapText="1"/>
    </xf>
    <xf numFmtId="44" fontId="41" fillId="4" borderId="0" xfId="8" applyFont="1" applyFill="1" applyBorder="1" applyAlignment="1">
      <alignment horizontal="left"/>
    </xf>
    <xf numFmtId="44" fontId="41" fillId="4" borderId="4" xfId="8" applyFont="1" applyFill="1" applyBorder="1" applyAlignment="1">
      <alignment horizontal="left"/>
    </xf>
    <xf numFmtId="44" fontId="3" fillId="4" borderId="0" xfId="0" applyNumberFormat="1" applyFont="1" applyFill="1" applyAlignment="1">
      <alignment horizontal="left"/>
    </xf>
    <xf numFmtId="10" fontId="4" fillId="4" borderId="12" xfId="26" applyNumberFormat="1" applyFont="1" applyFill="1" applyBorder="1" applyAlignment="1">
      <alignment horizontal="left"/>
    </xf>
    <xf numFmtId="0" fontId="4" fillId="4" borderId="12" xfId="0" applyFont="1" applyFill="1" applyBorder="1" applyAlignment="1">
      <alignment horizontal="left"/>
    </xf>
    <xf numFmtId="0" fontId="4" fillId="4" borderId="6" xfId="0" applyFont="1" applyFill="1" applyBorder="1" applyAlignment="1">
      <alignment horizontal="left"/>
    </xf>
    <xf numFmtId="0" fontId="12" fillId="4" borderId="0" xfId="0" applyFont="1" applyFill="1" applyAlignment="1">
      <alignment horizontal="left"/>
    </xf>
    <xf numFmtId="42" fontId="4" fillId="4" borderId="0" xfId="0" applyNumberFormat="1" applyFont="1" applyFill="1" applyAlignment="1">
      <alignment horizontal="left"/>
    </xf>
    <xf numFmtId="4" fontId="4" fillId="4" borderId="0" xfId="0" applyNumberFormat="1" applyFont="1" applyFill="1" applyAlignment="1">
      <alignment horizontal="left"/>
    </xf>
    <xf numFmtId="10" fontId="4" fillId="4" borderId="0" xfId="26" applyNumberFormat="1" applyFont="1" applyFill="1" applyBorder="1" applyAlignment="1">
      <alignment horizontal="left"/>
    </xf>
    <xf numFmtId="0" fontId="12" fillId="4" borderId="8" xfId="0" applyFont="1" applyFill="1" applyBorder="1" applyAlignment="1">
      <alignment horizontal="left"/>
    </xf>
    <xf numFmtId="0" fontId="10" fillId="4" borderId="3" xfId="20" applyFont="1" applyFill="1" applyBorder="1"/>
    <xf numFmtId="42" fontId="6" fillId="4" borderId="4" xfId="20" applyNumberFormat="1" applyFont="1" applyFill="1" applyBorder="1" applyAlignment="1">
      <alignment horizontal="center"/>
    </xf>
    <xf numFmtId="168" fontId="7" fillId="4" borderId="4" xfId="20" applyNumberFormat="1" applyFont="1" applyFill="1" applyBorder="1" applyAlignment="1">
      <alignment horizontal="right"/>
    </xf>
    <xf numFmtId="0" fontId="4" fillId="4" borderId="3" xfId="20" applyFont="1" applyFill="1" applyBorder="1" applyAlignment="1">
      <alignment wrapText="1"/>
    </xf>
    <xf numFmtId="42" fontId="7" fillId="4" borderId="4" xfId="20" applyNumberFormat="1" applyFont="1" applyFill="1" applyBorder="1" applyAlignment="1">
      <alignment horizontal="center"/>
    </xf>
    <xf numFmtId="0" fontId="30" fillId="4" borderId="4" xfId="20" applyFont="1" applyFill="1" applyBorder="1"/>
    <xf numFmtId="4" fontId="12" fillId="4" borderId="0" xfId="0" applyNumberFormat="1" applyFont="1" applyFill="1" applyAlignment="1">
      <alignment horizontal="center"/>
    </xf>
    <xf numFmtId="44" fontId="6" fillId="4" borderId="0" xfId="0" applyNumberFormat="1" applyFont="1" applyFill="1"/>
    <xf numFmtId="4" fontId="12" fillId="4" borderId="0" xfId="0" applyNumberFormat="1" applyFont="1" applyFill="1"/>
    <xf numFmtId="0" fontId="12" fillId="4" borderId="0" xfId="0" applyFont="1" applyFill="1" applyAlignment="1">
      <alignment horizontal="center"/>
    </xf>
    <xf numFmtId="44" fontId="7" fillId="4" borderId="4" xfId="0" applyNumberFormat="1" applyFont="1" applyFill="1" applyBorder="1"/>
    <xf numFmtId="44" fontId="4" fillId="4" borderId="0" xfId="8" applyFont="1" applyFill="1" applyBorder="1" applyAlignment="1">
      <alignment horizontal="center"/>
    </xf>
    <xf numFmtId="10" fontId="21" fillId="4" borderId="4" xfId="20" applyNumberFormat="1" applyFont="1" applyFill="1" applyBorder="1"/>
    <xf numFmtId="0" fontId="13" fillId="4" borderId="4" xfId="0" applyFont="1" applyFill="1" applyBorder="1"/>
    <xf numFmtId="0" fontId="7" fillId="4" borderId="4" xfId="0" applyFont="1" applyFill="1" applyBorder="1"/>
    <xf numFmtId="4" fontId="9" fillId="4" borderId="4" xfId="0" applyNumberFormat="1" applyFont="1" applyFill="1" applyBorder="1"/>
    <xf numFmtId="0" fontId="4" fillId="4" borderId="4" xfId="0" applyFont="1" applyFill="1" applyBorder="1"/>
    <xf numFmtId="0" fontId="30" fillId="0" borderId="0" xfId="20" applyFont="1" applyAlignment="1">
      <alignment horizontal="center"/>
    </xf>
    <xf numFmtId="0" fontId="4" fillId="4" borderId="4" xfId="0" applyFont="1" applyFill="1" applyBorder="1" applyAlignment="1">
      <alignment horizontal="center"/>
    </xf>
    <xf numFmtId="4" fontId="4" fillId="4" borderId="4" xfId="0" applyNumberFormat="1" applyFont="1" applyFill="1" applyBorder="1"/>
    <xf numFmtId="44" fontId="4" fillId="4" borderId="4" xfId="0" applyNumberFormat="1" applyFont="1" applyFill="1" applyBorder="1"/>
    <xf numFmtId="0" fontId="0" fillId="16" borderId="0" xfId="0" applyFill="1"/>
    <xf numFmtId="43" fontId="0" fillId="16" borderId="0" xfId="34" applyFont="1" applyFill="1"/>
    <xf numFmtId="168" fontId="0" fillId="16" borderId="0" xfId="8" applyNumberFormat="1" applyFont="1" applyFill="1"/>
    <xf numFmtId="0" fontId="0" fillId="16" borderId="0" xfId="0" applyFill="1" applyAlignment="1">
      <alignment horizontal="center"/>
    </xf>
    <xf numFmtId="9" fontId="0" fillId="16" borderId="0" xfId="26" applyFont="1" applyFill="1"/>
    <xf numFmtId="0" fontId="0" fillId="4" borderId="0" xfId="0" applyFill="1"/>
    <xf numFmtId="43" fontId="0" fillId="4" borderId="0" xfId="34" applyFont="1" applyFill="1"/>
    <xf numFmtId="168" fontId="0" fillId="4" borderId="0" xfId="8" applyNumberFormat="1" applyFont="1" applyFill="1"/>
    <xf numFmtId="0" fontId="36" fillId="4" borderId="0" xfId="0" applyFont="1" applyFill="1" applyAlignment="1">
      <alignment horizontal="center" vertical="center"/>
    </xf>
    <xf numFmtId="0" fontId="11" fillId="4" borderId="9" xfId="0" applyFont="1" applyFill="1" applyBorder="1" applyAlignment="1">
      <alignment horizontal="left" vertical="center" wrapText="1"/>
    </xf>
    <xf numFmtId="4" fontId="12" fillId="4" borderId="4" xfId="0" applyNumberFormat="1" applyFont="1" applyFill="1" applyBorder="1"/>
    <xf numFmtId="4" fontId="21" fillId="4" borderId="4" xfId="20" applyNumberFormat="1" applyFont="1" applyFill="1" applyBorder="1"/>
    <xf numFmtId="4" fontId="4" fillId="4" borderId="4" xfId="0" applyNumberFormat="1" applyFont="1" applyFill="1" applyBorder="1" applyAlignment="1">
      <alignment horizontal="left"/>
    </xf>
    <xf numFmtId="168" fontId="0" fillId="0" borderId="27" xfId="8" applyNumberFormat="1" applyFont="1" applyFill="1" applyBorder="1"/>
    <xf numFmtId="4" fontId="45" fillId="4" borderId="0" xfId="0" applyNumberFormat="1" applyFont="1" applyFill="1" applyAlignment="1">
      <alignment horizontal="center"/>
    </xf>
    <xf numFmtId="42" fontId="46" fillId="4" borderId="0" xfId="0" applyNumberFormat="1" applyFont="1" applyFill="1"/>
    <xf numFmtId="42" fontId="41" fillId="4" borderId="0" xfId="0" applyNumberFormat="1" applyFont="1" applyFill="1"/>
    <xf numFmtId="0" fontId="21" fillId="4" borderId="0" xfId="20" applyFont="1" applyFill="1" applyAlignment="1">
      <alignment horizontal="center"/>
    </xf>
    <xf numFmtId="44" fontId="4" fillId="4" borderId="4" xfId="8" applyFont="1" applyFill="1" applyBorder="1" applyAlignment="1">
      <alignment horizontal="left"/>
    </xf>
    <xf numFmtId="0" fontId="35" fillId="4" borderId="0" xfId="0" applyFont="1" applyFill="1" applyAlignment="1">
      <alignment horizontal="left"/>
    </xf>
    <xf numFmtId="0" fontId="21" fillId="4" borderId="0" xfId="20" applyFont="1" applyFill="1" applyAlignment="1">
      <alignment horizontal="right"/>
    </xf>
    <xf numFmtId="0" fontId="20" fillId="4" borderId="0" xfId="20" applyFont="1" applyFill="1"/>
    <xf numFmtId="0" fontId="29" fillId="12" borderId="27" xfId="20" applyFont="1" applyFill="1" applyBorder="1" applyAlignment="1">
      <alignment horizontal="center"/>
    </xf>
    <xf numFmtId="0" fontId="21" fillId="4" borderId="27" xfId="20" applyFont="1" applyFill="1" applyBorder="1" applyAlignment="1">
      <alignment horizontal="center"/>
    </xf>
    <xf numFmtId="0" fontId="20" fillId="4" borderId="27" xfId="20" applyFont="1" applyFill="1" applyBorder="1" applyAlignment="1">
      <alignment horizontal="center"/>
    </xf>
    <xf numFmtId="0" fontId="3" fillId="14" borderId="27" xfId="20" applyFont="1" applyFill="1" applyBorder="1" applyAlignment="1">
      <alignment horizontal="center"/>
    </xf>
    <xf numFmtId="0" fontId="20" fillId="4" borderId="27" xfId="20" applyFont="1" applyFill="1" applyBorder="1" applyAlignment="1">
      <alignment horizontal="right"/>
    </xf>
    <xf numFmtId="0" fontId="48" fillId="4" borderId="0" xfId="20" applyFont="1" applyFill="1"/>
    <xf numFmtId="0" fontId="21" fillId="4" borderId="9" xfId="20" applyFont="1" applyFill="1" applyBorder="1"/>
    <xf numFmtId="0" fontId="4" fillId="4" borderId="0" xfId="0" applyFont="1" applyFill="1" applyAlignment="1">
      <alignment wrapText="1"/>
    </xf>
    <xf numFmtId="0" fontId="4" fillId="4" borderId="0" xfId="0" applyFont="1" applyFill="1"/>
    <xf numFmtId="4" fontId="12" fillId="4" borderId="8" xfId="0" applyNumberFormat="1" applyFont="1" applyFill="1" applyBorder="1" applyAlignment="1">
      <alignment horizontal="center"/>
    </xf>
    <xf numFmtId="0" fontId="4" fillId="4" borderId="9" xfId="0" applyFont="1" applyFill="1" applyBorder="1" applyAlignment="1">
      <alignment wrapText="1"/>
    </xf>
    <xf numFmtId="0" fontId="21" fillId="4" borderId="5" xfId="20" applyFont="1" applyFill="1" applyBorder="1"/>
    <xf numFmtId="4" fontId="7" fillId="4" borderId="0" xfId="0" applyNumberFormat="1" applyFont="1" applyFill="1"/>
    <xf numFmtId="0" fontId="20" fillId="4" borderId="3" xfId="20" applyFont="1" applyFill="1" applyBorder="1"/>
    <xf numFmtId="0" fontId="20" fillId="4" borderId="3" xfId="20" applyFont="1" applyFill="1" applyBorder="1" applyAlignment="1">
      <alignment horizontal="right"/>
    </xf>
    <xf numFmtId="4" fontId="44" fillId="4" borderId="0" xfId="0" applyNumberFormat="1" applyFont="1" applyFill="1" applyAlignment="1">
      <alignment horizontal="center"/>
    </xf>
    <xf numFmtId="0" fontId="20" fillId="4" borderId="0" xfId="20" applyFont="1" applyFill="1" applyAlignment="1">
      <alignment horizontal="center" vertical="center" wrapText="1"/>
    </xf>
    <xf numFmtId="171" fontId="21" fillId="4" borderId="0" xfId="34" applyNumberFormat="1" applyFont="1" applyFill="1" applyBorder="1" applyAlignment="1">
      <alignment horizontal="center"/>
    </xf>
    <xf numFmtId="0" fontId="21" fillId="4" borderId="0" xfId="20" applyFont="1" applyFill="1" applyAlignment="1">
      <alignment vertical="center"/>
    </xf>
    <xf numFmtId="171" fontId="21" fillId="4" borderId="0" xfId="34" applyNumberFormat="1" applyFont="1" applyFill="1" applyBorder="1" applyAlignment="1">
      <alignment horizontal="center" vertical="center"/>
    </xf>
    <xf numFmtId="0" fontId="21" fillId="4" borderId="3" xfId="20" applyFont="1" applyFill="1" applyBorder="1" applyAlignment="1">
      <alignment vertical="center"/>
    </xf>
    <xf numFmtId="0" fontId="21" fillId="4" borderId="4" xfId="20" applyFont="1" applyFill="1" applyBorder="1" applyAlignment="1">
      <alignment vertical="center" wrapText="1"/>
    </xf>
    <xf numFmtId="0" fontId="21" fillId="4" borderId="3" xfId="20" applyFont="1" applyFill="1" applyBorder="1" applyAlignment="1">
      <alignment vertical="center" wrapText="1"/>
    </xf>
    <xf numFmtId="4" fontId="43" fillId="4" borderId="0" xfId="0" applyNumberFormat="1" applyFont="1" applyFill="1" applyAlignment="1">
      <alignment horizontal="center" vertical="center"/>
    </xf>
    <xf numFmtId="43" fontId="41" fillId="4" borderId="0" xfId="0" applyNumberFormat="1" applyFont="1" applyFill="1"/>
    <xf numFmtId="3" fontId="20" fillId="4" borderId="0" xfId="0" applyNumberFormat="1" applyFont="1" applyFill="1" applyAlignment="1">
      <alignment horizontal="right"/>
    </xf>
    <xf numFmtId="169" fontId="4" fillId="4" borderId="50" xfId="20" applyNumberFormat="1" applyFont="1" applyFill="1" applyBorder="1"/>
    <xf numFmtId="9" fontId="7" fillId="4" borderId="51" xfId="20" applyNumberFormat="1" applyFont="1" applyFill="1" applyBorder="1"/>
    <xf numFmtId="0" fontId="7" fillId="4" borderId="51" xfId="20" applyFont="1" applyFill="1" applyBorder="1"/>
    <xf numFmtId="44" fontId="7" fillId="4" borderId="51" xfId="14" applyFont="1" applyFill="1" applyBorder="1"/>
    <xf numFmtId="44" fontId="6" fillId="4" borderId="52" xfId="14" applyFont="1" applyFill="1" applyBorder="1" applyAlignment="1">
      <alignment horizontal="right"/>
    </xf>
    <xf numFmtId="0" fontId="29" fillId="4" borderId="7" xfId="20" applyFont="1" applyFill="1" applyBorder="1"/>
    <xf numFmtId="169" fontId="4" fillId="4" borderId="0" xfId="20" applyNumberFormat="1" applyFont="1" applyFill="1"/>
    <xf numFmtId="168" fontId="4" fillId="4" borderId="0" xfId="8" applyNumberFormat="1" applyFont="1" applyFill="1" applyBorder="1"/>
    <xf numFmtId="0" fontId="50" fillId="4" borderId="0" xfId="20" applyFont="1" applyFill="1"/>
    <xf numFmtId="168" fontId="7" fillId="4" borderId="0" xfId="8" applyNumberFormat="1" applyFont="1" applyFill="1" applyBorder="1"/>
    <xf numFmtId="44" fontId="48" fillId="4" borderId="4" xfId="20" applyNumberFormat="1" applyFont="1" applyFill="1" applyBorder="1"/>
    <xf numFmtId="0" fontId="48" fillId="4" borderId="3" xfId="0" applyFont="1" applyFill="1" applyBorder="1"/>
    <xf numFmtId="44" fontId="48" fillId="4" borderId="0" xfId="8" applyFont="1" applyFill="1" applyBorder="1"/>
    <xf numFmtId="44" fontId="48" fillId="4" borderId="0" xfId="8" applyFont="1" applyFill="1" applyBorder="1" applyAlignment="1">
      <alignment horizontal="left"/>
    </xf>
    <xf numFmtId="0" fontId="48" fillId="4" borderId="0" xfId="0" applyFont="1" applyFill="1"/>
    <xf numFmtId="0" fontId="21" fillId="4" borderId="4" xfId="0" applyFont="1" applyFill="1" applyBorder="1"/>
    <xf numFmtId="4" fontId="21" fillId="4" borderId="4" xfId="0" applyNumberFormat="1" applyFont="1" applyFill="1" applyBorder="1"/>
    <xf numFmtId="0" fontId="4" fillId="4" borderId="3" xfId="0" applyFont="1" applyFill="1" applyBorder="1" applyAlignment="1">
      <alignment vertical="center" wrapText="1"/>
    </xf>
    <xf numFmtId="42" fontId="8" fillId="4" borderId="0" xfId="0" applyNumberFormat="1" applyFont="1" applyFill="1" applyAlignment="1">
      <alignment vertical="center"/>
    </xf>
    <xf numFmtId="0" fontId="4" fillId="4" borderId="3" xfId="20" applyFont="1" applyFill="1" applyBorder="1" applyAlignment="1">
      <alignment vertical="center"/>
    </xf>
    <xf numFmtId="166" fontId="7" fillId="4" borderId="0" xfId="20" applyNumberFormat="1" applyFont="1" applyFill="1" applyAlignment="1">
      <alignment vertical="center"/>
    </xf>
    <xf numFmtId="42" fontId="8" fillId="4" borderId="0" xfId="20" applyNumberFormat="1" applyFont="1" applyFill="1" applyAlignment="1">
      <alignment vertical="center"/>
    </xf>
    <xf numFmtId="42" fontId="7" fillId="4" borderId="4" xfId="20" applyNumberFormat="1" applyFont="1" applyFill="1" applyBorder="1" applyAlignment="1">
      <alignment vertical="center"/>
    </xf>
    <xf numFmtId="0" fontId="4" fillId="4" borderId="3" xfId="0" applyFont="1" applyFill="1" applyBorder="1" applyAlignment="1">
      <alignment vertical="center"/>
    </xf>
    <xf numFmtId="4" fontId="9" fillId="4" borderId="0" xfId="0" applyNumberFormat="1" applyFont="1" applyFill="1" applyAlignment="1">
      <alignment horizontal="center" vertical="center"/>
    </xf>
    <xf numFmtId="4" fontId="9" fillId="4" borderId="0" xfId="20" applyNumberFormat="1" applyFont="1" applyFill="1" applyAlignment="1">
      <alignment vertical="center"/>
    </xf>
    <xf numFmtId="0" fontId="13" fillId="4" borderId="0" xfId="0" applyFont="1" applyFill="1" applyAlignment="1">
      <alignment vertical="center"/>
    </xf>
    <xf numFmtId="0" fontId="4" fillId="4" borderId="4" xfId="0" applyFont="1" applyFill="1" applyBorder="1" applyAlignment="1">
      <alignment horizontal="left" vertical="center" wrapText="1"/>
    </xf>
    <xf numFmtId="0" fontId="7" fillId="4" borderId="3" xfId="20" applyFont="1" applyFill="1" applyBorder="1" applyAlignment="1">
      <alignment vertical="center"/>
    </xf>
    <xf numFmtId="0" fontId="4" fillId="4" borderId="4" xfId="0" applyFont="1" applyFill="1" applyBorder="1" applyAlignment="1">
      <alignment vertical="center" wrapText="1"/>
    </xf>
    <xf numFmtId="0" fontId="17" fillId="4" borderId="0" xfId="20" applyFill="1" applyAlignment="1">
      <alignment vertical="center"/>
    </xf>
    <xf numFmtId="44" fontId="48" fillId="4" borderId="4" xfId="8" applyFont="1" applyFill="1" applyBorder="1" applyAlignment="1">
      <alignment horizontal="left"/>
    </xf>
    <xf numFmtId="10" fontId="9" fillId="4" borderId="0" xfId="26" applyNumberFormat="1" applyFont="1" applyFill="1" applyBorder="1"/>
    <xf numFmtId="16" fontId="30" fillId="4" borderId="0" xfId="20" quotePrefix="1" applyNumberFormat="1" applyFont="1" applyFill="1" applyAlignment="1">
      <alignment horizontal="center"/>
    </xf>
    <xf numFmtId="0" fontId="30" fillId="4" borderId="0" xfId="20" quotePrefix="1" applyFont="1" applyFill="1" applyAlignment="1">
      <alignment horizontal="center"/>
    </xf>
    <xf numFmtId="0" fontId="30" fillId="0" borderId="3" xfId="20" applyFont="1" applyBorder="1"/>
    <xf numFmtId="4" fontId="9" fillId="4" borderId="12" xfId="0" applyNumberFormat="1" applyFont="1" applyFill="1" applyBorder="1" applyAlignment="1">
      <alignment horizontal="center"/>
    </xf>
    <xf numFmtId="0" fontId="30" fillId="4" borderId="3" xfId="20" applyFont="1" applyFill="1" applyBorder="1"/>
    <xf numFmtId="0" fontId="4" fillId="4" borderId="0" xfId="0" applyFont="1" applyFill="1" applyAlignment="1">
      <alignment vertical="center" wrapText="1"/>
    </xf>
    <xf numFmtId="0" fontId="28" fillId="4" borderId="0" xfId="20" applyFont="1" applyFill="1"/>
    <xf numFmtId="4" fontId="4" fillId="4" borderId="0" xfId="0" applyNumberFormat="1" applyFont="1" applyFill="1"/>
    <xf numFmtId="0" fontId="4" fillId="4" borderId="0" xfId="0" applyFont="1" applyFill="1" applyAlignment="1">
      <alignment horizontal="center"/>
    </xf>
    <xf numFmtId="44" fontId="4" fillId="4" borderId="0" xfId="0" applyNumberFormat="1" applyFont="1" applyFill="1"/>
    <xf numFmtId="0" fontId="17" fillId="4" borderId="3" xfId="20" applyFill="1" applyBorder="1"/>
    <xf numFmtId="0" fontId="17" fillId="4" borderId="4" xfId="20" applyFill="1" applyBorder="1"/>
    <xf numFmtId="172" fontId="9" fillId="4" borderId="12" xfId="0" applyNumberFormat="1" applyFont="1" applyFill="1" applyBorder="1" applyAlignment="1">
      <alignment horizontal="center"/>
    </xf>
    <xf numFmtId="0" fontId="17" fillId="4" borderId="6" xfId="20" applyFill="1" applyBorder="1"/>
    <xf numFmtId="0" fontId="48" fillId="4" borderId="0" xfId="20" applyFont="1" applyFill="1" applyAlignment="1">
      <alignment horizontal="center" wrapText="1"/>
    </xf>
    <xf numFmtId="0" fontId="30" fillId="4" borderId="0" xfId="20" applyFont="1" applyFill="1" applyAlignment="1">
      <alignment horizontal="center" vertical="center"/>
    </xf>
    <xf numFmtId="170" fontId="41" fillId="4" borderId="0" xfId="0" applyNumberFormat="1" applyFont="1" applyFill="1"/>
    <xf numFmtId="10" fontId="21" fillId="16" borderId="0" xfId="26" applyNumberFormat="1" applyFont="1" applyFill="1"/>
    <xf numFmtId="0" fontId="47" fillId="0" borderId="27" xfId="0" applyFont="1" applyBorder="1"/>
    <xf numFmtId="49" fontId="30" fillId="4" borderId="0" xfId="20" quotePrefix="1" applyNumberFormat="1" applyFont="1" applyFill="1" applyAlignment="1">
      <alignment horizontal="center"/>
    </xf>
    <xf numFmtId="9" fontId="7" fillId="4" borderId="0" xfId="20" applyNumberFormat="1" applyFont="1" applyFill="1"/>
    <xf numFmtId="44" fontId="6" fillId="4" borderId="0" xfId="14" applyFont="1" applyFill="1" applyBorder="1" applyAlignment="1">
      <alignment horizontal="right"/>
    </xf>
    <xf numFmtId="4" fontId="21" fillId="4" borderId="0" xfId="20" applyNumberFormat="1" applyFont="1" applyFill="1" applyAlignment="1">
      <alignment horizontal="center"/>
    </xf>
    <xf numFmtId="0" fontId="37" fillId="13" borderId="26" xfId="0" applyFont="1" applyFill="1" applyBorder="1" applyAlignment="1">
      <alignment horizontal="center"/>
    </xf>
    <xf numFmtId="0" fontId="37" fillId="13" borderId="55" xfId="0" applyFont="1" applyFill="1" applyBorder="1" applyAlignment="1">
      <alignment horizontal="center"/>
    </xf>
    <xf numFmtId="0" fontId="37" fillId="15" borderId="28" xfId="0" applyFont="1" applyFill="1" applyBorder="1" applyAlignment="1">
      <alignment horizontal="center"/>
    </xf>
    <xf numFmtId="0" fontId="37" fillId="13" borderId="25" xfId="0" applyFont="1" applyFill="1" applyBorder="1" applyAlignment="1">
      <alignment horizontal="center"/>
    </xf>
    <xf numFmtId="0" fontId="37" fillId="13" borderId="56" xfId="0" applyFont="1" applyFill="1" applyBorder="1" applyAlignment="1">
      <alignment horizontal="center"/>
    </xf>
    <xf numFmtId="43" fontId="40" fillId="0" borderId="25" xfId="34" applyFont="1" applyBorder="1" applyAlignment="1">
      <alignment horizontal="center"/>
    </xf>
    <xf numFmtId="43" fontId="37" fillId="0" borderId="57" xfId="34" applyFont="1" applyBorder="1" applyAlignment="1">
      <alignment horizontal="center"/>
    </xf>
    <xf numFmtId="43" fontId="39" fillId="14" borderId="18" xfId="34" applyFont="1" applyFill="1" applyBorder="1" applyAlignment="1">
      <alignment horizontal="center"/>
    </xf>
    <xf numFmtId="43" fontId="39" fillId="14" borderId="58" xfId="34" applyFont="1" applyFill="1" applyBorder="1" applyAlignment="1">
      <alignment horizontal="center"/>
    </xf>
    <xf numFmtId="43" fontId="39" fillId="14" borderId="16" xfId="34" applyFont="1" applyFill="1" applyBorder="1" applyAlignment="1">
      <alignment horizontal="center"/>
    </xf>
    <xf numFmtId="43" fontId="40" fillId="0" borderId="18" xfId="34" applyFont="1" applyBorder="1"/>
    <xf numFmtId="43" fontId="40" fillId="0" borderId="58" xfId="34" applyFont="1" applyBorder="1"/>
    <xf numFmtId="43" fontId="38" fillId="14" borderId="16" xfId="34" applyFont="1" applyFill="1" applyBorder="1" applyAlignment="1">
      <alignment horizontal="center"/>
    </xf>
    <xf numFmtId="43" fontId="40" fillId="0" borderId="39" xfId="34" applyFont="1" applyBorder="1" applyAlignment="1">
      <alignment horizontal="center"/>
    </xf>
    <xf numFmtId="43" fontId="40" fillId="0" borderId="33" xfId="34" applyFont="1" applyBorder="1" applyAlignment="1">
      <alignment horizontal="center"/>
    </xf>
    <xf numFmtId="43" fontId="40" fillId="0" borderId="34" xfId="34" applyFont="1" applyBorder="1" applyAlignment="1">
      <alignment horizontal="center"/>
    </xf>
    <xf numFmtId="43" fontId="40" fillId="0" borderId="20" xfId="34" applyFont="1" applyBorder="1" applyAlignment="1">
      <alignment horizontal="center"/>
    </xf>
    <xf numFmtId="43" fontId="38" fillId="14" borderId="18" xfId="34" applyFont="1" applyFill="1" applyBorder="1" applyAlignment="1">
      <alignment horizontal="center"/>
    </xf>
    <xf numFmtId="43" fontId="38" fillId="14" borderId="58" xfId="34" applyFont="1" applyFill="1" applyBorder="1" applyAlignment="1">
      <alignment horizontal="center"/>
    </xf>
    <xf numFmtId="43" fontId="40" fillId="0" borderId="1" xfId="34" applyFont="1" applyBorder="1" applyAlignment="1">
      <alignment horizontal="center"/>
    </xf>
    <xf numFmtId="43" fontId="40" fillId="0" borderId="49" xfId="34" applyFont="1" applyBorder="1" applyAlignment="1">
      <alignment horizontal="center"/>
    </xf>
    <xf numFmtId="0" fontId="40" fillId="0" borderId="13" xfId="0" applyFont="1" applyBorder="1" applyAlignment="1">
      <alignment horizontal="center"/>
    </xf>
    <xf numFmtId="43" fontId="40" fillId="1" borderId="11" xfId="34" applyFont="1" applyFill="1" applyBorder="1" applyAlignment="1">
      <alignment horizontal="center"/>
    </xf>
    <xf numFmtId="43" fontId="40" fillId="1" borderId="13" xfId="34" applyFont="1" applyFill="1" applyBorder="1" applyAlignment="1">
      <alignment horizontal="center"/>
    </xf>
    <xf numFmtId="0" fontId="37" fillId="13" borderId="48" xfId="0" applyFont="1" applyFill="1" applyBorder="1"/>
    <xf numFmtId="43" fontId="40" fillId="1" borderId="25" xfId="34" applyFont="1" applyFill="1" applyBorder="1" applyAlignment="1">
      <alignment horizontal="center"/>
    </xf>
    <xf numFmtId="43" fontId="40" fillId="0" borderId="25" xfId="34" applyFont="1" applyBorder="1"/>
    <xf numFmtId="43" fontId="40" fillId="0" borderId="25" xfId="34" applyFont="1" applyFill="1" applyBorder="1" applyAlignment="1">
      <alignment horizontal="center"/>
    </xf>
    <xf numFmtId="43" fontId="39" fillId="14" borderId="27" xfId="34" applyFont="1" applyFill="1" applyBorder="1" applyAlignment="1">
      <alignment horizontal="center"/>
    </xf>
    <xf numFmtId="16" fontId="40" fillId="0" borderId="56" xfId="0" quotePrefix="1" applyNumberFormat="1" applyFont="1" applyBorder="1" applyAlignment="1">
      <alignment horizontal="center"/>
    </xf>
    <xf numFmtId="0" fontId="40" fillId="0" borderId="25" xfId="0" applyFont="1" applyBorder="1" applyAlignment="1">
      <alignment horizontal="center"/>
    </xf>
    <xf numFmtId="43" fontId="40" fillId="0" borderId="15" xfId="34" applyFont="1" applyBorder="1"/>
    <xf numFmtId="43" fontId="37" fillId="0" borderId="57" xfId="34" applyFont="1" applyBorder="1"/>
    <xf numFmtId="43" fontId="39" fillId="14" borderId="23" xfId="34" applyFont="1" applyFill="1" applyBorder="1" applyAlignment="1">
      <alignment horizontal="center"/>
    </xf>
    <xf numFmtId="43" fontId="39" fillId="14" borderId="28" xfId="34" applyFont="1" applyFill="1" applyBorder="1" applyAlignment="1">
      <alignment horizontal="center"/>
    </xf>
    <xf numFmtId="0" fontId="4" fillId="19" borderId="0" xfId="19" applyFill="1"/>
    <xf numFmtId="0" fontId="4" fillId="11" borderId="0" xfId="36" applyFill="1"/>
    <xf numFmtId="0" fontId="34" fillId="11" borderId="0" xfId="36" applyFont="1" applyFill="1"/>
    <xf numFmtId="0" fontId="34" fillId="8" borderId="0" xfId="36" applyFont="1" applyFill="1"/>
    <xf numFmtId="0" fontId="34" fillId="6" borderId="0" xfId="36" applyFont="1" applyFill="1"/>
    <xf numFmtId="0" fontId="34" fillId="7" borderId="0" xfId="36" applyFont="1" applyFill="1"/>
    <xf numFmtId="0" fontId="34" fillId="20" borderId="0" xfId="36" applyFont="1" applyFill="1"/>
    <xf numFmtId="0" fontId="34" fillId="21" borderId="0" xfId="36" applyFont="1" applyFill="1"/>
    <xf numFmtId="14" fontId="3" fillId="0" borderId="0" xfId="19" applyNumberFormat="1" applyFont="1"/>
    <xf numFmtId="2" fontId="4" fillId="0" borderId="0" xfId="19" applyNumberFormat="1"/>
    <xf numFmtId="167" fontId="4" fillId="0" borderId="0" xfId="19" applyNumberFormat="1"/>
    <xf numFmtId="0" fontId="3" fillId="0" borderId="0" xfId="23" applyFont="1"/>
    <xf numFmtId="0" fontId="4" fillId="0" borderId="0" xfId="23"/>
    <xf numFmtId="0" fontId="27" fillId="0" borderId="0" xfId="23" applyFont="1"/>
    <xf numFmtId="0" fontId="51" fillId="0" borderId="0" xfId="23" applyFont="1"/>
    <xf numFmtId="0" fontId="4" fillId="0" borderId="15" xfId="23" applyBorder="1"/>
    <xf numFmtId="0" fontId="4" fillId="0" borderId="16" xfId="23" applyBorder="1"/>
    <xf numFmtId="0" fontId="4" fillId="0" borderId="59" xfId="23" applyBorder="1"/>
    <xf numFmtId="0" fontId="4" fillId="0" borderId="53" xfId="23" applyBorder="1"/>
    <xf numFmtId="0" fontId="4" fillId="0" borderId="0" xfId="23" applyAlignment="1">
      <alignment horizontal="right"/>
    </xf>
    <xf numFmtId="0" fontId="4" fillId="0" borderId="54" xfId="23" applyBorder="1"/>
    <xf numFmtId="0" fontId="12" fillId="0" borderId="54" xfId="23" applyFont="1" applyBorder="1" applyAlignment="1">
      <alignment horizontal="center"/>
    </xf>
    <xf numFmtId="166" fontId="4" fillId="0" borderId="54" xfId="23" applyNumberFormat="1" applyBorder="1" applyAlignment="1">
      <alignment horizontal="center"/>
    </xf>
    <xf numFmtId="0" fontId="4" fillId="0" borderId="54" xfId="23" applyBorder="1" applyAlignment="1">
      <alignment horizontal="center"/>
    </xf>
    <xf numFmtId="0" fontId="3" fillId="3" borderId="0" xfId="23" applyFont="1" applyFill="1" applyAlignment="1">
      <alignment horizontal="right"/>
    </xf>
    <xf numFmtId="10" fontId="3" fillId="3" borderId="54" xfId="27" applyNumberFormat="1" applyFont="1" applyFill="1" applyBorder="1" applyAlignment="1">
      <alignment horizontal="center"/>
    </xf>
    <xf numFmtId="0" fontId="4" fillId="0" borderId="56" xfId="23" applyBorder="1"/>
    <xf numFmtId="0" fontId="4" fillId="0" borderId="11" xfId="23" applyBorder="1"/>
    <xf numFmtId="0" fontId="4" fillId="0" borderId="55" xfId="23" applyBorder="1"/>
    <xf numFmtId="166" fontId="4" fillId="0" borderId="0" xfId="23" applyNumberFormat="1"/>
    <xf numFmtId="166" fontId="4" fillId="0" borderId="38" xfId="19" applyNumberFormat="1" applyBorder="1"/>
    <xf numFmtId="166" fontId="4" fillId="0" borderId="24" xfId="19" applyNumberFormat="1" applyBorder="1"/>
    <xf numFmtId="166" fontId="4" fillId="0" borderId="35" xfId="19" applyNumberFormat="1" applyBorder="1"/>
    <xf numFmtId="0" fontId="40" fillId="4" borderId="46" xfId="0" applyFont="1" applyFill="1" applyBorder="1"/>
    <xf numFmtId="44" fontId="21" fillId="4" borderId="0" xfId="20" applyNumberFormat="1" applyFont="1" applyFill="1"/>
    <xf numFmtId="171" fontId="3" fillId="4" borderId="8" xfId="34" applyNumberFormat="1" applyFont="1" applyFill="1" applyBorder="1" applyAlignment="1">
      <alignment horizontal="center"/>
    </xf>
    <xf numFmtId="0" fontId="4" fillId="0" borderId="4" xfId="0" applyFont="1" applyBorder="1" applyAlignment="1">
      <alignment wrapText="1"/>
    </xf>
    <xf numFmtId="0" fontId="0" fillId="0" borderId="0" xfId="0" applyAlignment="1">
      <alignment horizontal="left" vertical="top"/>
    </xf>
    <xf numFmtId="0" fontId="52" fillId="0" borderId="63" xfId="0" applyFont="1" applyBorder="1" applyAlignment="1">
      <alignment horizontal="right" vertical="top" wrapText="1"/>
    </xf>
    <xf numFmtId="0" fontId="52" fillId="0" borderId="64" xfId="0" applyFont="1" applyBorder="1" applyAlignment="1">
      <alignment horizontal="center" vertical="top" wrapText="1"/>
    </xf>
    <xf numFmtId="0" fontId="52" fillId="0" borderId="65" xfId="0" applyFont="1" applyBorder="1" applyAlignment="1">
      <alignment horizontal="center" vertical="top" wrapText="1"/>
    </xf>
    <xf numFmtId="0" fontId="52" fillId="0" borderId="65" xfId="0" applyFont="1" applyBorder="1" applyAlignment="1">
      <alignment horizontal="left" vertical="top" wrapText="1"/>
    </xf>
    <xf numFmtId="0" fontId="52" fillId="0" borderId="65" xfId="0" applyFont="1" applyBorder="1" applyAlignment="1">
      <alignment horizontal="right" vertical="top" wrapText="1"/>
    </xf>
    <xf numFmtId="0" fontId="0" fillId="0" borderId="63" xfId="0" applyBorder="1" applyAlignment="1">
      <alignment horizontal="left" vertical="center" wrapText="1"/>
    </xf>
    <xf numFmtId="167" fontId="54" fillId="0" borderId="64" xfId="0" applyNumberFormat="1" applyFont="1" applyBorder="1" applyAlignment="1">
      <alignment horizontal="center" vertical="top" shrinkToFit="1"/>
    </xf>
    <xf numFmtId="167" fontId="54" fillId="0" borderId="65" xfId="0" applyNumberFormat="1" applyFont="1" applyBorder="1" applyAlignment="1">
      <alignment horizontal="center" vertical="top" shrinkToFit="1"/>
    </xf>
    <xf numFmtId="167" fontId="54" fillId="0" borderId="64" xfId="0" applyNumberFormat="1" applyFont="1" applyBorder="1" applyAlignment="1">
      <alignment horizontal="right" vertical="top" shrinkToFit="1"/>
    </xf>
    <xf numFmtId="167" fontId="54" fillId="0" borderId="65" xfId="0" applyNumberFormat="1" applyFont="1" applyBorder="1" applyAlignment="1">
      <alignment horizontal="left" vertical="top" shrinkToFit="1"/>
    </xf>
    <xf numFmtId="167" fontId="54" fillId="0" borderId="65" xfId="0" applyNumberFormat="1" applyFont="1" applyBorder="1" applyAlignment="1">
      <alignment horizontal="right" vertical="top" shrinkToFit="1"/>
    </xf>
    <xf numFmtId="167" fontId="54" fillId="0" borderId="63" xfId="0" applyNumberFormat="1" applyFont="1" applyBorder="1" applyAlignment="1">
      <alignment horizontal="right" vertical="top" shrinkToFit="1"/>
    </xf>
    <xf numFmtId="167" fontId="54" fillId="0" borderId="63" xfId="0" applyNumberFormat="1" applyFont="1" applyBorder="1" applyAlignment="1">
      <alignment horizontal="left" vertical="top" indent="1" shrinkToFit="1"/>
    </xf>
    <xf numFmtId="167" fontId="54" fillId="0" borderId="63" xfId="0" applyNumberFormat="1" applyFont="1" applyBorder="1" applyAlignment="1">
      <alignment horizontal="center" vertical="top" shrinkToFit="1"/>
    </xf>
    <xf numFmtId="167" fontId="54" fillId="0" borderId="65" xfId="0" applyNumberFormat="1" applyFont="1" applyBorder="1" applyAlignment="1">
      <alignment horizontal="left" vertical="top" indent="1" shrinkToFit="1"/>
    </xf>
    <xf numFmtId="0" fontId="55" fillId="0" borderId="62" xfId="0" applyFont="1" applyBorder="1" applyAlignment="1">
      <alignment horizontal="left" vertical="top" wrapText="1"/>
    </xf>
    <xf numFmtId="167" fontId="54" fillId="0" borderId="60" xfId="0" applyNumberFormat="1" applyFont="1" applyBorder="1" applyAlignment="1">
      <alignment horizontal="right" vertical="top" shrinkToFit="1"/>
    </xf>
    <xf numFmtId="167" fontId="54" fillId="0" borderId="61" xfId="0" applyNumberFormat="1" applyFont="1" applyBorder="1" applyAlignment="1">
      <alignment horizontal="center" vertical="top" shrinkToFit="1"/>
    </xf>
    <xf numFmtId="167" fontId="54" fillId="0" borderId="62" xfId="0" applyNumberFormat="1" applyFont="1" applyBorder="1" applyAlignment="1">
      <alignment horizontal="center" vertical="top" shrinkToFit="1"/>
    </xf>
    <xf numFmtId="167" fontId="54" fillId="0" borderId="60" xfId="0" applyNumberFormat="1" applyFont="1" applyBorder="1" applyAlignment="1">
      <alignment horizontal="left" vertical="top" shrinkToFit="1"/>
    </xf>
    <xf numFmtId="167" fontId="54" fillId="0" borderId="60" xfId="0" applyNumberFormat="1" applyFont="1" applyBorder="1" applyAlignment="1">
      <alignment horizontal="center" vertical="top" shrinkToFit="1"/>
    </xf>
    <xf numFmtId="167" fontId="54" fillId="0" borderId="61" xfId="0" applyNumberFormat="1" applyFont="1" applyBorder="1" applyAlignment="1">
      <alignment horizontal="right" vertical="top" shrinkToFit="1"/>
    </xf>
    <xf numFmtId="167" fontId="54" fillId="0" borderId="62" xfId="0" applyNumberFormat="1" applyFont="1" applyBorder="1" applyAlignment="1">
      <alignment horizontal="left" vertical="top" shrinkToFit="1"/>
    </xf>
    <xf numFmtId="167" fontId="54" fillId="0" borderId="62" xfId="0" applyNumberFormat="1" applyFont="1" applyBorder="1" applyAlignment="1">
      <alignment horizontal="right" vertical="top" shrinkToFit="1"/>
    </xf>
    <xf numFmtId="0" fontId="55" fillId="0" borderId="67" xfId="0" applyFont="1" applyBorder="1" applyAlignment="1">
      <alignment horizontal="left" vertical="top" wrapText="1"/>
    </xf>
    <xf numFmtId="167" fontId="54" fillId="0" borderId="66" xfId="0" applyNumberFormat="1" applyFont="1" applyBorder="1" applyAlignment="1">
      <alignment horizontal="right" vertical="top" shrinkToFit="1"/>
    </xf>
    <xf numFmtId="167" fontId="54" fillId="0" borderId="0" xfId="0" applyNumberFormat="1" applyFont="1" applyAlignment="1">
      <alignment horizontal="center" vertical="top" shrinkToFit="1"/>
    </xf>
    <xf numFmtId="167" fontId="54" fillId="0" borderId="67" xfId="0" applyNumberFormat="1" applyFont="1" applyBorder="1" applyAlignment="1">
      <alignment horizontal="center" vertical="top" shrinkToFit="1"/>
    </xf>
    <xf numFmtId="167" fontId="54" fillId="0" borderId="66" xfId="0" applyNumberFormat="1" applyFont="1" applyBorder="1" applyAlignment="1">
      <alignment horizontal="left" vertical="top" shrinkToFit="1"/>
    </xf>
    <xf numFmtId="167" fontId="54" fillId="0" borderId="66" xfId="0" applyNumberFormat="1" applyFont="1" applyBorder="1" applyAlignment="1">
      <alignment horizontal="center" vertical="top" shrinkToFit="1"/>
    </xf>
    <xf numFmtId="167" fontId="54" fillId="0" borderId="0" xfId="0" applyNumberFormat="1" applyFont="1" applyAlignment="1">
      <alignment horizontal="right" vertical="top" shrinkToFit="1"/>
    </xf>
    <xf numFmtId="167" fontId="54" fillId="0" borderId="67" xfId="0" applyNumberFormat="1" applyFont="1" applyBorder="1" applyAlignment="1">
      <alignment horizontal="left" vertical="top" shrinkToFit="1"/>
    </xf>
    <xf numFmtId="167" fontId="54" fillId="0" borderId="67" xfId="0" applyNumberFormat="1" applyFont="1" applyBorder="1" applyAlignment="1">
      <alignment horizontal="right" vertical="top" shrinkToFit="1"/>
    </xf>
    <xf numFmtId="0" fontId="55" fillId="0" borderId="70" xfId="0" applyFont="1" applyBorder="1" applyAlignment="1">
      <alignment horizontal="left" vertical="top" wrapText="1"/>
    </xf>
    <xf numFmtId="167" fontId="54" fillId="0" borderId="68" xfId="0" applyNumberFormat="1" applyFont="1" applyBorder="1" applyAlignment="1">
      <alignment horizontal="right" vertical="top" shrinkToFit="1"/>
    </xf>
    <xf numFmtId="167" fontId="54" fillId="0" borderId="69" xfId="0" applyNumberFormat="1" applyFont="1" applyBorder="1" applyAlignment="1">
      <alignment horizontal="center" vertical="top" shrinkToFit="1"/>
    </xf>
    <xf numFmtId="167" fontId="54" fillId="0" borderId="70" xfId="0" applyNumberFormat="1" applyFont="1" applyBorder="1" applyAlignment="1">
      <alignment horizontal="center" vertical="top" shrinkToFit="1"/>
    </xf>
    <xf numFmtId="167" fontId="54" fillId="0" borderId="68" xfId="0" applyNumberFormat="1" applyFont="1" applyBorder="1" applyAlignment="1">
      <alignment horizontal="left" vertical="top" indent="1" shrinkToFit="1"/>
    </xf>
    <xf numFmtId="167" fontId="54" fillId="0" borderId="68" xfId="0" applyNumberFormat="1" applyFont="1" applyBorder="1" applyAlignment="1">
      <alignment horizontal="center" vertical="top" shrinkToFit="1"/>
    </xf>
    <xf numFmtId="167" fontId="54" fillId="0" borderId="69" xfId="0" applyNumberFormat="1" applyFont="1" applyBorder="1" applyAlignment="1">
      <alignment horizontal="right" vertical="top" shrinkToFit="1"/>
    </xf>
    <xf numFmtId="167" fontId="54" fillId="0" borderId="70" xfId="0" applyNumberFormat="1" applyFont="1" applyBorder="1" applyAlignment="1">
      <alignment horizontal="left" vertical="top" indent="1" shrinkToFit="1"/>
    </xf>
    <xf numFmtId="167" fontId="54" fillId="0" borderId="70" xfId="0" applyNumberFormat="1" applyFont="1" applyBorder="1" applyAlignment="1">
      <alignment horizontal="right" vertical="top" shrinkToFit="1"/>
    </xf>
    <xf numFmtId="0" fontId="52" fillId="0" borderId="62" xfId="0" applyFont="1" applyBorder="1" applyAlignment="1">
      <alignment horizontal="left" vertical="top" wrapText="1"/>
    </xf>
    <xf numFmtId="0" fontId="52" fillId="0" borderId="67" xfId="0" applyFont="1" applyBorder="1" applyAlignment="1">
      <alignment horizontal="left" vertical="top" wrapText="1"/>
    </xf>
    <xf numFmtId="167" fontId="54" fillId="0" borderId="66" xfId="0" applyNumberFormat="1" applyFont="1" applyBorder="1" applyAlignment="1">
      <alignment horizontal="left" vertical="top" indent="1" shrinkToFit="1"/>
    </xf>
    <xf numFmtId="167" fontId="54" fillId="0" borderId="67" xfId="0" applyNumberFormat="1" applyFont="1" applyBorder="1" applyAlignment="1">
      <alignment horizontal="left" vertical="top" indent="1" shrinkToFit="1"/>
    </xf>
    <xf numFmtId="0" fontId="52" fillId="0" borderId="70" xfId="0" applyFont="1" applyBorder="1" applyAlignment="1">
      <alignment horizontal="left" vertical="top" wrapText="1"/>
    </xf>
    <xf numFmtId="167" fontId="54" fillId="0" borderId="70" xfId="0" applyNumberFormat="1" applyFont="1" applyBorder="1" applyAlignment="1">
      <alignment horizontal="left" vertical="top" shrinkToFit="1"/>
    </xf>
    <xf numFmtId="167" fontId="54" fillId="0" borderId="60" xfId="0" applyNumberFormat="1" applyFont="1" applyBorder="1" applyAlignment="1">
      <alignment horizontal="left" vertical="top" indent="1" shrinkToFit="1"/>
    </xf>
    <xf numFmtId="0" fontId="52" fillId="0" borderId="63" xfId="0" applyFont="1" applyBorder="1" applyAlignment="1">
      <alignment horizontal="left" vertical="top" wrapText="1"/>
    </xf>
    <xf numFmtId="0" fontId="52" fillId="0" borderId="63" xfId="0" applyFont="1" applyBorder="1" applyAlignment="1">
      <alignment horizontal="center" vertical="top" wrapText="1"/>
    </xf>
    <xf numFmtId="0" fontId="52" fillId="0" borderId="64" xfId="0" applyFont="1" applyBorder="1" applyAlignment="1">
      <alignment horizontal="right" vertical="top" wrapText="1"/>
    </xf>
    <xf numFmtId="167" fontId="54" fillId="0" borderId="68" xfId="0" applyNumberFormat="1" applyFont="1" applyBorder="1" applyAlignment="1">
      <alignment horizontal="left" vertical="top" shrinkToFit="1"/>
    </xf>
    <xf numFmtId="165" fontId="0" fillId="0" borderId="0" xfId="38" applyNumberFormat="1" applyFont="1"/>
    <xf numFmtId="0" fontId="3" fillId="14" borderId="8" xfId="20" applyFont="1" applyFill="1" applyBorder="1"/>
    <xf numFmtId="0" fontId="4" fillId="14" borderId="0" xfId="20" applyFont="1" applyFill="1"/>
    <xf numFmtId="0" fontId="4" fillId="14" borderId="0" xfId="20" applyFont="1" applyFill="1" applyAlignment="1">
      <alignment horizontal="left"/>
    </xf>
    <xf numFmtId="0" fontId="4" fillId="14" borderId="12" xfId="20" applyFont="1" applyFill="1" applyBorder="1"/>
    <xf numFmtId="0" fontId="3" fillId="4" borderId="0" xfId="0" applyFont="1" applyFill="1"/>
    <xf numFmtId="0" fontId="10" fillId="4" borderId="0" xfId="0" applyFont="1" applyFill="1"/>
    <xf numFmtId="0" fontId="20" fillId="4" borderId="0" xfId="20" applyFont="1" applyFill="1" applyAlignment="1">
      <alignment horizontal="right"/>
    </xf>
    <xf numFmtId="0" fontId="21" fillId="4" borderId="0" xfId="20" applyFont="1" applyFill="1" applyAlignment="1">
      <alignment vertical="center" wrapText="1"/>
    </xf>
    <xf numFmtId="0" fontId="7" fillId="4" borderId="12" xfId="20" applyFont="1" applyFill="1" applyBorder="1"/>
    <xf numFmtId="44" fontId="7" fillId="4" borderId="12" xfId="14" applyFont="1" applyFill="1" applyBorder="1"/>
    <xf numFmtId="0" fontId="7" fillId="4" borderId="5" xfId="20" applyFont="1" applyFill="1" applyBorder="1"/>
    <xf numFmtId="0" fontId="31" fillId="16" borderId="0" xfId="0" applyFont="1" applyFill="1"/>
    <xf numFmtId="44" fontId="31" fillId="16" borderId="0" xfId="8" applyFont="1" applyFill="1"/>
    <xf numFmtId="44" fontId="0" fillId="16" borderId="0" xfId="8" applyFont="1" applyFill="1"/>
    <xf numFmtId="0" fontId="0" fillId="4" borderId="0" xfId="0" applyFill="1" applyAlignment="1">
      <alignment horizontal="right"/>
    </xf>
    <xf numFmtId="0" fontId="0" fillId="4" borderId="0" xfId="0" applyFill="1" applyAlignment="1">
      <alignment horizontal="left"/>
    </xf>
    <xf numFmtId="0" fontId="0" fillId="4" borderId="0" xfId="0" applyFill="1" applyAlignment="1">
      <alignment vertical="center" wrapText="1"/>
    </xf>
    <xf numFmtId="168" fontId="0" fillId="0" borderId="27" xfId="8" applyNumberFormat="1" applyFont="1" applyFill="1" applyBorder="1" applyAlignment="1">
      <alignment horizontal="center"/>
    </xf>
    <xf numFmtId="0" fontId="0" fillId="16" borderId="0" xfId="0" applyFill="1" applyAlignment="1">
      <alignment vertical="center" wrapText="1"/>
    </xf>
    <xf numFmtId="168" fontId="31" fillId="16" borderId="0" xfId="0" applyNumberFormat="1" applyFont="1" applyFill="1"/>
    <xf numFmtId="168" fontId="0" fillId="16" borderId="0" xfId="0" applyNumberFormat="1" applyFill="1" applyAlignment="1">
      <alignment horizontal="right"/>
    </xf>
    <xf numFmtId="10" fontId="0" fillId="16" borderId="0" xfId="26" applyNumberFormat="1" applyFont="1" applyFill="1" applyBorder="1" applyAlignment="1">
      <alignment horizontal="right"/>
    </xf>
    <xf numFmtId="0" fontId="0" fillId="16" borderId="0" xfId="0" applyFill="1" applyAlignment="1">
      <alignment horizontal="right"/>
    </xf>
    <xf numFmtId="0" fontId="51" fillId="4" borderId="0" xfId="0" applyFont="1" applyFill="1" applyAlignment="1">
      <alignment horizontal="left"/>
    </xf>
    <xf numFmtId="0" fontId="51" fillId="4" borderId="0" xfId="0" applyFont="1" applyFill="1" applyAlignment="1">
      <alignment wrapText="1"/>
    </xf>
    <xf numFmtId="177" fontId="8" fillId="4" borderId="0" xfId="0" applyNumberFormat="1" applyFont="1" applyFill="1"/>
    <xf numFmtId="177" fontId="7" fillId="4" borderId="0" xfId="20" applyNumberFormat="1" applyFont="1" applyFill="1"/>
    <xf numFmtId="178" fontId="7" fillId="4" borderId="4" xfId="20" applyNumberFormat="1" applyFont="1" applyFill="1" applyBorder="1"/>
    <xf numFmtId="44" fontId="6" fillId="0" borderId="4" xfId="14" applyFont="1" applyFill="1" applyBorder="1"/>
    <xf numFmtId="44" fontId="6" fillId="22" borderId="4" xfId="14" applyFont="1" applyFill="1" applyBorder="1"/>
    <xf numFmtId="0" fontId="51" fillId="4" borderId="3" xfId="20" applyFont="1" applyFill="1" applyBorder="1"/>
    <xf numFmtId="0" fontId="51" fillId="4" borderId="0" xfId="20" applyFont="1" applyFill="1"/>
    <xf numFmtId="178" fontId="51" fillId="4" borderId="22" xfId="20" applyNumberFormat="1" applyFont="1" applyFill="1" applyBorder="1"/>
    <xf numFmtId="168" fontId="7" fillId="4" borderId="4" xfId="20" applyNumberFormat="1" applyFont="1" applyFill="1" applyBorder="1"/>
    <xf numFmtId="177" fontId="9" fillId="4" borderId="0" xfId="20" applyNumberFormat="1" applyFont="1" applyFill="1" applyAlignment="1">
      <alignment horizontal="right"/>
    </xf>
    <xf numFmtId="168" fontId="51" fillId="4" borderId="22" xfId="14" applyNumberFormat="1" applyFont="1" applyFill="1" applyBorder="1" applyAlignment="1">
      <alignment horizontal="right"/>
    </xf>
    <xf numFmtId="0" fontId="7" fillId="4" borderId="50" xfId="20" applyFont="1" applyFill="1" applyBorder="1"/>
    <xf numFmtId="44" fontId="6" fillId="23" borderId="52" xfId="14" applyFont="1" applyFill="1" applyBorder="1" applyAlignment="1">
      <alignment horizontal="right"/>
    </xf>
    <xf numFmtId="168" fontId="6" fillId="4" borderId="17" xfId="14" applyNumberFormat="1" applyFont="1" applyFill="1" applyBorder="1"/>
    <xf numFmtId="0" fontId="4" fillId="4" borderId="11" xfId="0" applyFont="1" applyFill="1" applyBorder="1" applyAlignment="1">
      <alignment horizontal="left"/>
    </xf>
    <xf numFmtId="0" fontId="7" fillId="4" borderId="11" xfId="20" applyFont="1" applyFill="1" applyBorder="1"/>
    <xf numFmtId="44" fontId="6" fillId="4" borderId="17" xfId="14" applyFont="1" applyFill="1" applyBorder="1"/>
    <xf numFmtId="0" fontId="51" fillId="4" borderId="3" xfId="0" applyFont="1" applyFill="1" applyBorder="1"/>
    <xf numFmtId="177" fontId="51" fillId="4" borderId="0" xfId="0" applyNumberFormat="1" applyFont="1" applyFill="1"/>
    <xf numFmtId="0" fontId="7" fillId="4" borderId="38" xfId="20" applyFont="1" applyFill="1" applyBorder="1"/>
    <xf numFmtId="0" fontId="21" fillId="4" borderId="24" xfId="20" applyFont="1" applyFill="1" applyBorder="1"/>
    <xf numFmtId="0" fontId="7" fillId="4" borderId="24" xfId="20" applyFont="1" applyFill="1" applyBorder="1"/>
    <xf numFmtId="44" fontId="7" fillId="4" borderId="24" xfId="14" applyFont="1" applyFill="1" applyBorder="1"/>
    <xf numFmtId="44" fontId="6" fillId="23" borderId="35" xfId="14" applyFont="1" applyFill="1" applyBorder="1"/>
    <xf numFmtId="44" fontId="21" fillId="23" borderId="35" xfId="20" applyNumberFormat="1" applyFont="1" applyFill="1" applyBorder="1"/>
    <xf numFmtId="44" fontId="6" fillId="0" borderId="6" xfId="14" applyFont="1" applyFill="1" applyBorder="1"/>
    <xf numFmtId="44" fontId="20" fillId="23" borderId="35" xfId="20" applyNumberFormat="1" applyFont="1" applyFill="1" applyBorder="1"/>
    <xf numFmtId="44" fontId="6" fillId="24" borderId="52" xfId="14" applyFont="1" applyFill="1" applyBorder="1" applyAlignment="1">
      <alignment horizontal="right"/>
    </xf>
    <xf numFmtId="10" fontId="21" fillId="4" borderId="0" xfId="26" applyNumberFormat="1" applyFont="1" applyFill="1"/>
    <xf numFmtId="5" fontId="27" fillId="3" borderId="0" xfId="20" applyNumberFormat="1" applyFont="1" applyFill="1"/>
    <xf numFmtId="0" fontId="51" fillId="4" borderId="0" xfId="0" applyFont="1" applyFill="1"/>
    <xf numFmtId="44" fontId="51" fillId="4" borderId="0" xfId="8" applyFont="1" applyFill="1" applyBorder="1"/>
    <xf numFmtId="177" fontId="27" fillId="3" borderId="0" xfId="20" applyNumberFormat="1" applyFont="1" applyFill="1" applyAlignment="1">
      <alignment horizontal="right"/>
    </xf>
    <xf numFmtId="177" fontId="27" fillId="3" borderId="0" xfId="20" applyNumberFormat="1" applyFont="1" applyFill="1"/>
    <xf numFmtId="0" fontId="27" fillId="4" borderId="0" xfId="0" applyFont="1" applyFill="1" applyAlignment="1">
      <alignment horizontal="left"/>
    </xf>
    <xf numFmtId="44" fontId="27" fillId="3" borderId="0" xfId="8" applyFont="1" applyFill="1" applyBorder="1" applyAlignment="1"/>
    <xf numFmtId="5" fontId="27" fillId="3" borderId="0" xfId="0" applyNumberFormat="1" applyFont="1" applyFill="1"/>
    <xf numFmtId="44" fontId="27" fillId="3" borderId="0" xfId="8" applyFont="1" applyFill="1" applyBorder="1"/>
    <xf numFmtId="0" fontId="58" fillId="3" borderId="8" xfId="0" applyFont="1" applyFill="1" applyBorder="1" applyAlignment="1">
      <alignment horizontal="center" vertical="center" wrapText="1"/>
    </xf>
    <xf numFmtId="0" fontId="51" fillId="4" borderId="4" xfId="0" applyFont="1" applyFill="1" applyBorder="1" applyAlignment="1">
      <alignment horizontal="left"/>
    </xf>
    <xf numFmtId="0" fontId="30" fillId="4" borderId="4" xfId="20" applyFont="1" applyFill="1" applyBorder="1" applyAlignment="1">
      <alignment horizontal="left"/>
    </xf>
    <xf numFmtId="0" fontId="21" fillId="4" borderId="4" xfId="20" applyFont="1" applyFill="1" applyBorder="1" applyAlignment="1">
      <alignment horizontal="left"/>
    </xf>
    <xf numFmtId="4" fontId="9" fillId="4" borderId="4" xfId="0" applyNumberFormat="1" applyFont="1" applyFill="1" applyBorder="1" applyAlignment="1">
      <alignment horizontal="left"/>
    </xf>
    <xf numFmtId="4" fontId="21" fillId="4" borderId="4" xfId="20" applyNumberFormat="1" applyFont="1" applyFill="1" applyBorder="1" applyAlignment="1">
      <alignment horizontal="left"/>
    </xf>
    <xf numFmtId="4" fontId="9" fillId="4" borderId="6" xfId="0" applyNumberFormat="1" applyFont="1" applyFill="1" applyBorder="1" applyAlignment="1">
      <alignment horizontal="left"/>
    </xf>
    <xf numFmtId="0" fontId="51" fillId="16" borderId="0" xfId="20" applyFont="1" applyFill="1"/>
    <xf numFmtId="0" fontId="51" fillId="0" borderId="0" xfId="20" applyFont="1"/>
    <xf numFmtId="177" fontId="7" fillId="4" borderId="4" xfId="20" applyNumberFormat="1" applyFont="1" applyFill="1" applyBorder="1"/>
    <xf numFmtId="177" fontId="11" fillId="4" borderId="4" xfId="20" applyNumberFormat="1" applyFont="1" applyFill="1" applyBorder="1" applyAlignment="1">
      <alignment horizontal="right"/>
    </xf>
    <xf numFmtId="177" fontId="6" fillId="0" borderId="4" xfId="14" applyNumberFormat="1" applyFont="1" applyFill="1" applyBorder="1"/>
    <xf numFmtId="177" fontId="6" fillId="23" borderId="52" xfId="14" applyNumberFormat="1" applyFont="1" applyFill="1" applyBorder="1" applyAlignment="1">
      <alignment horizontal="right"/>
    </xf>
    <xf numFmtId="177" fontId="27" fillId="3" borderId="0" xfId="0" applyNumberFormat="1" applyFont="1" applyFill="1" applyAlignment="1">
      <alignment horizontal="left"/>
    </xf>
    <xf numFmtId="44" fontId="27" fillId="3" borderId="0" xfId="8" applyFont="1" applyFill="1" applyBorder="1" applyAlignment="1">
      <alignment horizontal="center"/>
    </xf>
    <xf numFmtId="44" fontId="27" fillId="3" borderId="0" xfId="20" applyNumberFormat="1" applyFont="1" applyFill="1" applyAlignment="1">
      <alignment horizontal="right"/>
    </xf>
    <xf numFmtId="178" fontId="7" fillId="4" borderId="4" xfId="20" applyNumberFormat="1" applyFont="1" applyFill="1" applyBorder="1" applyAlignment="1">
      <alignment vertical="center"/>
    </xf>
    <xf numFmtId="178" fontId="6" fillId="4" borderId="19" xfId="20" applyNumberFormat="1" applyFont="1" applyFill="1" applyBorder="1"/>
    <xf numFmtId="178" fontId="24" fillId="4" borderId="4" xfId="20" applyNumberFormat="1" applyFont="1" applyFill="1" applyBorder="1"/>
    <xf numFmtId="178" fontId="7" fillId="4" borderId="4" xfId="20" applyNumberFormat="1" applyFont="1" applyFill="1" applyBorder="1" applyAlignment="1">
      <alignment horizontal="right"/>
    </xf>
    <xf numFmtId="178" fontId="6" fillId="4" borderId="19" xfId="20" applyNumberFormat="1" applyFont="1" applyFill="1" applyBorder="1" applyAlignment="1">
      <alignment horizontal="right"/>
    </xf>
    <xf numFmtId="178" fontId="6" fillId="4" borderId="4" xfId="20" applyNumberFormat="1" applyFont="1" applyFill="1" applyBorder="1" applyAlignment="1">
      <alignment horizontal="right"/>
    </xf>
    <xf numFmtId="178" fontId="6" fillId="4" borderId="17" xfId="20" applyNumberFormat="1" applyFont="1" applyFill="1" applyBorder="1" applyAlignment="1">
      <alignment horizontal="center"/>
    </xf>
    <xf numFmtId="178" fontId="7" fillId="4" borderId="4" xfId="12" applyNumberFormat="1" applyFont="1" applyFill="1" applyBorder="1" applyAlignment="1">
      <alignment horizontal="right"/>
    </xf>
    <xf numFmtId="178" fontId="6" fillId="4" borderId="19" xfId="14" applyNumberFormat="1" applyFont="1" applyFill="1" applyBorder="1" applyAlignment="1">
      <alignment horizontal="right"/>
    </xf>
    <xf numFmtId="178" fontId="6" fillId="4" borderId="4" xfId="14" applyNumberFormat="1" applyFont="1" applyFill="1" applyBorder="1"/>
    <xf numFmtId="178" fontId="6" fillId="4" borderId="19" xfId="14" applyNumberFormat="1" applyFont="1" applyFill="1" applyBorder="1"/>
    <xf numFmtId="178" fontId="7" fillId="4" borderId="4" xfId="14" applyNumberFormat="1" applyFont="1" applyFill="1" applyBorder="1"/>
    <xf numFmtId="178" fontId="6" fillId="4" borderId="22" xfId="20" applyNumberFormat="1" applyFont="1" applyFill="1" applyBorder="1" applyAlignment="1">
      <alignment horizontal="right"/>
    </xf>
    <xf numFmtId="178" fontId="7" fillId="4" borderId="4" xfId="14" applyNumberFormat="1" applyFont="1" applyFill="1" applyBorder="1" applyAlignment="1">
      <alignment horizontal="right"/>
    </xf>
    <xf numFmtId="178" fontId="11" fillId="4" borderId="4" xfId="20" applyNumberFormat="1" applyFont="1" applyFill="1" applyBorder="1" applyAlignment="1">
      <alignment horizontal="right"/>
    </xf>
    <xf numFmtId="177" fontId="6" fillId="24" borderId="52" xfId="14" applyNumberFormat="1" applyFont="1" applyFill="1" applyBorder="1" applyAlignment="1">
      <alignment horizontal="right"/>
    </xf>
    <xf numFmtId="178" fontId="51" fillId="4" borderId="22" xfId="14" applyNumberFormat="1" applyFont="1" applyFill="1" applyBorder="1" applyAlignment="1">
      <alignment horizontal="right"/>
    </xf>
    <xf numFmtId="42" fontId="27" fillId="4" borderId="0" xfId="20" applyNumberFormat="1" applyFont="1" applyFill="1"/>
    <xf numFmtId="0" fontId="0" fillId="0" borderId="1" xfId="0" applyBorder="1"/>
    <xf numFmtId="0" fontId="0" fillId="0" borderId="34" xfId="0" applyBorder="1"/>
    <xf numFmtId="0" fontId="31" fillId="13" borderId="11" xfId="0" applyFont="1" applyFill="1" applyBorder="1" applyAlignment="1">
      <alignment horizontal="center"/>
    </xf>
    <xf numFmtId="177" fontId="0" fillId="0" borderId="0" xfId="0" applyNumberFormat="1"/>
    <xf numFmtId="0" fontId="31" fillId="0" borderId="31" xfId="0" applyFont="1" applyBorder="1" applyAlignment="1">
      <alignment horizontal="center" vertical="center" wrapText="1"/>
    </xf>
    <xf numFmtId="0" fontId="31" fillId="0" borderId="30" xfId="0" applyFont="1" applyBorder="1" applyAlignment="1">
      <alignment horizontal="center" vertical="center" wrapText="1"/>
    </xf>
    <xf numFmtId="0" fontId="31" fillId="13" borderId="31" xfId="0" applyFont="1" applyFill="1" applyBorder="1" applyAlignment="1">
      <alignment horizontal="center" vertical="center" wrapText="1"/>
    </xf>
    <xf numFmtId="0" fontId="59" fillId="13" borderId="29" xfId="0" applyFont="1" applyFill="1" applyBorder="1" applyAlignment="1">
      <alignment horizontal="center" vertical="center" wrapText="1"/>
    </xf>
    <xf numFmtId="168" fontId="31" fillId="13" borderId="30" xfId="8" applyNumberFormat="1" applyFont="1" applyFill="1" applyBorder="1" applyAlignment="1">
      <alignment horizontal="center" vertical="center" wrapText="1"/>
    </xf>
    <xf numFmtId="0" fontId="31" fillId="25" borderId="31" xfId="0" applyFont="1" applyFill="1" applyBorder="1" applyAlignment="1">
      <alignment horizontal="center" vertical="center" wrapText="1"/>
    </xf>
    <xf numFmtId="0" fontId="31" fillId="25" borderId="29" xfId="0" applyFont="1" applyFill="1" applyBorder="1" applyAlignment="1">
      <alignment horizontal="center" vertical="center" wrapText="1"/>
    </xf>
    <xf numFmtId="0" fontId="31" fillId="26" borderId="29" xfId="0" applyFont="1" applyFill="1" applyBorder="1" applyAlignment="1">
      <alignment horizontal="center" vertical="center" wrapText="1"/>
    </xf>
    <xf numFmtId="177" fontId="31" fillId="26" borderId="29" xfId="0" applyNumberFormat="1" applyFont="1" applyFill="1" applyBorder="1" applyAlignment="1">
      <alignment horizontal="center" vertical="center" wrapText="1"/>
    </xf>
    <xf numFmtId="0" fontId="31" fillId="5" borderId="57" xfId="0" applyFont="1" applyFill="1" applyBorder="1" applyAlignment="1">
      <alignment horizontal="center" vertical="center" wrapText="1"/>
    </xf>
    <xf numFmtId="168" fontId="31" fillId="25" borderId="30" xfId="8" applyNumberFormat="1" applyFont="1" applyFill="1" applyBorder="1" applyAlignment="1">
      <alignment horizontal="center" vertical="center" wrapText="1"/>
    </xf>
    <xf numFmtId="0" fontId="0" fillId="13" borderId="1" xfId="0" applyFill="1" applyBorder="1"/>
    <xf numFmtId="0" fontId="18" fillId="13" borderId="49" xfId="0" applyFont="1" applyFill="1" applyBorder="1" applyAlignment="1">
      <alignment horizontal="center"/>
    </xf>
    <xf numFmtId="168" fontId="0" fillId="13" borderId="34" xfId="8" applyNumberFormat="1" applyFont="1" applyFill="1" applyBorder="1"/>
    <xf numFmtId="42" fontId="0" fillId="0" borderId="3" xfId="8" applyNumberFormat="1" applyFont="1" applyFill="1" applyBorder="1" applyAlignment="1">
      <alignment vertical="center"/>
    </xf>
    <xf numFmtId="0" fontId="0" fillId="0" borderId="23" xfId="0" applyBorder="1"/>
    <xf numFmtId="0" fontId="0" fillId="0" borderId="28" xfId="0" applyBorder="1"/>
    <xf numFmtId="0" fontId="0" fillId="13" borderId="23" xfId="0" applyFill="1" applyBorder="1"/>
    <xf numFmtId="0" fontId="18" fillId="13" borderId="27" xfId="0" applyFont="1" applyFill="1" applyBorder="1" applyAlignment="1">
      <alignment horizontal="center"/>
    </xf>
    <xf numFmtId="168" fontId="0" fillId="13" borderId="28" xfId="8" applyNumberFormat="1" applyFont="1" applyFill="1" applyBorder="1"/>
    <xf numFmtId="0" fontId="0" fillId="0" borderId="31" xfId="0" applyBorder="1"/>
    <xf numFmtId="0" fontId="0" fillId="0" borderId="30" xfId="0" applyBorder="1"/>
    <xf numFmtId="0" fontId="0" fillId="13" borderId="31" xfId="0" applyFill="1" applyBorder="1"/>
    <xf numFmtId="0" fontId="18" fillId="13" borderId="29" xfId="0" applyFont="1" applyFill="1" applyBorder="1" applyAlignment="1">
      <alignment horizontal="center"/>
    </xf>
    <xf numFmtId="168" fontId="0" fillId="13" borderId="30" xfId="8" applyNumberFormat="1" applyFont="1" applyFill="1" applyBorder="1"/>
    <xf numFmtId="42" fontId="0" fillId="0" borderId="0" xfId="8" applyNumberFormat="1" applyFont="1" applyFill="1" applyBorder="1" applyAlignment="1">
      <alignment vertical="center"/>
    </xf>
    <xf numFmtId="0" fontId="0" fillId="0" borderId="80" xfId="0" applyBorder="1"/>
    <xf numFmtId="0" fontId="0" fillId="0" borderId="81" xfId="0" applyBorder="1"/>
    <xf numFmtId="0" fontId="0" fillId="13" borderId="80" xfId="0" applyFill="1" applyBorder="1"/>
    <xf numFmtId="0" fontId="18" fillId="13" borderId="82" xfId="0" applyFont="1" applyFill="1" applyBorder="1" applyAlignment="1">
      <alignment horizontal="center"/>
    </xf>
    <xf numFmtId="168" fontId="0" fillId="13" borderId="81" xfId="8" applyNumberFormat="1" applyFont="1" applyFill="1" applyBorder="1"/>
    <xf numFmtId="0" fontId="0" fillId="25" borderId="80" xfId="0" applyFill="1" applyBorder="1" applyAlignment="1">
      <alignment horizontal="center" vertical="center"/>
    </xf>
    <xf numFmtId="0" fontId="0" fillId="25" borderId="82" xfId="0" applyFill="1" applyBorder="1" applyAlignment="1">
      <alignment horizontal="center" vertical="center"/>
    </xf>
    <xf numFmtId="0" fontId="0" fillId="26" borderId="82" xfId="0" applyFill="1" applyBorder="1" applyAlignment="1">
      <alignment horizontal="center" vertical="center"/>
    </xf>
    <xf numFmtId="42" fontId="18" fillId="25" borderId="81" xfId="8" applyNumberFormat="1" applyFont="1" applyFill="1" applyBorder="1" applyAlignment="1">
      <alignment vertical="center"/>
    </xf>
    <xf numFmtId="42" fontId="18" fillId="25" borderId="71" xfId="8" applyNumberFormat="1" applyFont="1" applyFill="1" applyBorder="1" applyAlignment="1">
      <alignment vertical="center"/>
    </xf>
    <xf numFmtId="177" fontId="18" fillId="0" borderId="0" xfId="8" applyNumberFormat="1" applyFont="1" applyFill="1" applyBorder="1" applyAlignment="1">
      <alignment vertical="center"/>
    </xf>
    <xf numFmtId="42" fontId="0" fillId="25" borderId="81" xfId="8" applyNumberFormat="1" applyFont="1" applyFill="1" applyBorder="1" applyAlignment="1">
      <alignment vertical="center"/>
    </xf>
    <xf numFmtId="42" fontId="0" fillId="25" borderId="71" xfId="8" applyNumberFormat="1" applyFont="1" applyFill="1" applyBorder="1" applyAlignment="1">
      <alignment vertical="center"/>
    </xf>
    <xf numFmtId="177" fontId="0" fillId="0" borderId="0" xfId="8" applyNumberFormat="1" applyFont="1" applyFill="1" applyBorder="1" applyAlignment="1">
      <alignment vertical="center"/>
    </xf>
    <xf numFmtId="0" fontId="0" fillId="25" borderId="1" xfId="0" applyFill="1" applyBorder="1" applyAlignment="1">
      <alignment horizontal="center" vertical="center"/>
    </xf>
    <xf numFmtId="0" fontId="0" fillId="25" borderId="49" xfId="0" applyFill="1" applyBorder="1" applyAlignment="1">
      <alignment horizontal="center" vertical="center"/>
    </xf>
    <xf numFmtId="0" fontId="0" fillId="26" borderId="49" xfId="0" applyFill="1" applyBorder="1" applyAlignment="1">
      <alignment horizontal="center" vertical="center"/>
    </xf>
    <xf numFmtId="42" fontId="0" fillId="25" borderId="34" xfId="8" applyNumberFormat="1" applyFont="1" applyFill="1" applyBorder="1" applyAlignment="1">
      <alignment vertical="center"/>
    </xf>
    <xf numFmtId="42" fontId="0" fillId="25" borderId="32" xfId="8" applyNumberFormat="1" applyFont="1" applyFill="1" applyBorder="1" applyAlignment="1">
      <alignment vertical="center"/>
    </xf>
    <xf numFmtId="0" fontId="0" fillId="25" borderId="31" xfId="0" applyFill="1" applyBorder="1" applyAlignment="1">
      <alignment horizontal="center" vertical="center"/>
    </xf>
    <xf numFmtId="0" fontId="0" fillId="25" borderId="29" xfId="0" applyFill="1" applyBorder="1" applyAlignment="1">
      <alignment horizontal="center" vertical="center"/>
    </xf>
    <xf numFmtId="0" fontId="0" fillId="26" borderId="29" xfId="0" applyFill="1" applyBorder="1" applyAlignment="1">
      <alignment horizontal="center" vertical="center"/>
    </xf>
    <xf numFmtId="42" fontId="0" fillId="25" borderId="30" xfId="8" applyNumberFormat="1" applyFont="1" applyFill="1" applyBorder="1" applyAlignment="1">
      <alignment vertical="center"/>
    </xf>
    <xf numFmtId="42" fontId="0" fillId="25" borderId="47" xfId="8" applyNumberFormat="1" applyFont="1" applyFill="1" applyBorder="1" applyAlignment="1">
      <alignment vertical="center"/>
    </xf>
    <xf numFmtId="0" fontId="0" fillId="0" borderId="72" xfId="0" applyBorder="1"/>
    <xf numFmtId="0" fontId="0" fillId="0" borderId="84" xfId="0" applyBorder="1"/>
    <xf numFmtId="0" fontId="0" fillId="13" borderId="72" xfId="0" applyFill="1" applyBorder="1"/>
    <xf numFmtId="0" fontId="18" fillId="13" borderId="73" xfId="0" applyFont="1" applyFill="1" applyBorder="1" applyAlignment="1">
      <alignment horizontal="center"/>
    </xf>
    <xf numFmtId="168" fontId="0" fillId="13" borderId="84" xfId="8" applyNumberFormat="1" applyFont="1" applyFill="1" applyBorder="1"/>
    <xf numFmtId="0" fontId="0" fillId="25" borderId="72" xfId="0" applyFill="1" applyBorder="1" applyAlignment="1">
      <alignment horizontal="center" vertical="center"/>
    </xf>
    <xf numFmtId="0" fontId="0" fillId="25" borderId="73" xfId="0" applyFill="1" applyBorder="1" applyAlignment="1">
      <alignment horizontal="center" vertical="center"/>
    </xf>
    <xf numFmtId="0" fontId="0" fillId="26" borderId="73" xfId="0" applyFill="1" applyBorder="1" applyAlignment="1">
      <alignment horizontal="center" vertical="center"/>
    </xf>
    <xf numFmtId="42" fontId="0" fillId="25" borderId="84" xfId="8" applyNumberFormat="1" applyFont="1" applyFill="1" applyBorder="1" applyAlignment="1">
      <alignment vertical="center"/>
    </xf>
    <xf numFmtId="42" fontId="0" fillId="25" borderId="37" xfId="8" applyNumberFormat="1" applyFont="1" applyFill="1" applyBorder="1" applyAlignment="1">
      <alignment vertical="center"/>
    </xf>
    <xf numFmtId="0" fontId="31" fillId="0" borderId="38" xfId="0" applyFont="1" applyBorder="1"/>
    <xf numFmtId="0" fontId="31" fillId="0" borderId="24" xfId="0" applyFont="1" applyBorder="1"/>
    <xf numFmtId="0" fontId="31" fillId="0" borderId="82" xfId="0" applyFont="1" applyBorder="1"/>
    <xf numFmtId="168" fontId="31" fillId="0" borderId="35" xfId="0" applyNumberFormat="1" applyFont="1" applyBorder="1"/>
    <xf numFmtId="168" fontId="31" fillId="0" borderId="24" xfId="0" applyNumberFormat="1" applyFont="1" applyBorder="1"/>
    <xf numFmtId="0" fontId="0" fillId="0" borderId="80" xfId="0" applyBorder="1" applyAlignment="1">
      <alignment horizontal="center" vertical="center"/>
    </xf>
    <xf numFmtId="0" fontId="31" fillId="0" borderId="82" xfId="0" applyFont="1" applyBorder="1" applyAlignment="1">
      <alignment horizontal="center" vertical="center"/>
    </xf>
    <xf numFmtId="168" fontId="31" fillId="0" borderId="81" xfId="8" applyNumberFormat="1" applyFont="1" applyFill="1" applyBorder="1" applyAlignment="1">
      <alignment vertical="center"/>
    </xf>
    <xf numFmtId="0" fontId="0" fillId="0" borderId="8" xfId="0" applyBorder="1"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5" borderId="0" xfId="0" applyFill="1" applyAlignment="1">
      <alignment horizontal="center" vertical="center"/>
    </xf>
    <xf numFmtId="168" fontId="0" fillId="0" borderId="0" xfId="8" applyNumberFormat="1" applyFont="1" applyFill="1" applyBorder="1"/>
    <xf numFmtId="168" fontId="0" fillId="0" borderId="0" xfId="0" applyNumberFormat="1"/>
    <xf numFmtId="10" fontId="0" fillId="0" borderId="0" xfId="26" applyNumberFormat="1" applyFont="1" applyFill="1" applyBorder="1" applyAlignment="1">
      <alignment horizontal="center" vertical="center"/>
    </xf>
    <xf numFmtId="178" fontId="0" fillId="5" borderId="0" xfId="0" applyNumberFormat="1" applyFill="1" applyAlignment="1">
      <alignment horizontal="center" vertical="center"/>
    </xf>
    <xf numFmtId="0" fontId="31" fillId="25" borderId="10" xfId="0" applyFont="1" applyFill="1" applyBorder="1" applyAlignment="1">
      <alignment vertical="center"/>
    </xf>
    <xf numFmtId="0" fontId="31" fillId="25" borderId="11" xfId="0" applyFont="1" applyFill="1" applyBorder="1" applyAlignment="1">
      <alignment vertical="center"/>
    </xf>
    <xf numFmtId="16" fontId="31" fillId="27" borderId="11" xfId="0" applyNumberFormat="1" applyFont="1" applyFill="1" applyBorder="1" applyAlignment="1">
      <alignment horizontal="center" vertical="center"/>
    </xf>
    <xf numFmtId="0" fontId="31" fillId="27" borderId="11" xfId="0" applyFont="1" applyFill="1" applyBorder="1" applyAlignment="1">
      <alignment horizontal="center" vertical="center"/>
    </xf>
    <xf numFmtId="0" fontId="31" fillId="27" borderId="11" xfId="0" applyFont="1" applyFill="1" applyBorder="1" applyAlignment="1">
      <alignment vertical="center"/>
    </xf>
    <xf numFmtId="177" fontId="31" fillId="27" borderId="29" xfId="0" applyNumberFormat="1" applyFont="1" applyFill="1" applyBorder="1" applyAlignment="1">
      <alignment horizontal="center" vertical="center" wrapText="1"/>
    </xf>
    <xf numFmtId="0" fontId="31" fillId="27" borderId="29" xfId="0" applyFont="1" applyFill="1" applyBorder="1" applyAlignment="1">
      <alignment horizontal="center" vertical="center" wrapText="1"/>
    </xf>
    <xf numFmtId="178" fontId="0" fillId="27" borderId="73" xfId="0" applyNumberFormat="1" applyFill="1" applyBorder="1" applyAlignment="1">
      <alignment horizontal="center" vertical="center"/>
    </xf>
    <xf numFmtId="178" fontId="0" fillId="27" borderId="78" xfId="0" applyNumberFormat="1" applyFill="1" applyBorder="1" applyAlignment="1">
      <alignment horizontal="center" vertical="center"/>
    </xf>
    <xf numFmtId="0" fontId="0" fillId="27" borderId="82" xfId="0" applyFill="1" applyBorder="1" applyAlignment="1">
      <alignment horizontal="center" vertical="center"/>
    </xf>
    <xf numFmtId="0" fontId="0" fillId="27" borderId="49" xfId="0" applyFill="1" applyBorder="1" applyAlignment="1">
      <alignment horizontal="center" vertical="center"/>
    </xf>
    <xf numFmtId="0" fontId="0" fillId="27" borderId="29" xfId="0" applyFill="1" applyBorder="1" applyAlignment="1">
      <alignment horizontal="center" vertical="center"/>
    </xf>
    <xf numFmtId="0" fontId="0" fillId="27" borderId="73" xfId="0" applyFill="1" applyBorder="1" applyAlignment="1">
      <alignment horizontal="center" vertical="center"/>
    </xf>
    <xf numFmtId="0" fontId="31" fillId="25" borderId="57" xfId="0" applyFont="1" applyFill="1" applyBorder="1" applyAlignment="1">
      <alignment horizontal="center" vertical="center" wrapText="1"/>
    </xf>
    <xf numFmtId="0" fontId="0" fillId="25" borderId="78" xfId="0" applyFill="1" applyBorder="1" applyAlignment="1">
      <alignment horizontal="center" vertical="center"/>
    </xf>
    <xf numFmtId="178" fontId="60" fillId="27" borderId="75" xfId="0" applyNumberFormat="1" applyFont="1" applyFill="1" applyBorder="1" applyAlignment="1">
      <alignment horizontal="center" vertical="center"/>
    </xf>
    <xf numFmtId="178" fontId="60" fillId="25" borderId="75" xfId="0" applyNumberFormat="1" applyFont="1" applyFill="1" applyBorder="1" applyAlignment="1">
      <alignment horizontal="center" vertical="center"/>
    </xf>
    <xf numFmtId="178" fontId="60" fillId="27" borderId="82" xfId="0" applyNumberFormat="1" applyFont="1" applyFill="1" applyBorder="1" applyAlignment="1">
      <alignment horizontal="center" vertical="center"/>
    </xf>
    <xf numFmtId="178" fontId="60" fillId="27" borderId="49" xfId="0" applyNumberFormat="1" applyFont="1" applyFill="1" applyBorder="1" applyAlignment="1">
      <alignment horizontal="center" vertical="center"/>
    </xf>
    <xf numFmtId="178" fontId="60" fillId="27" borderId="29" xfId="0" applyNumberFormat="1" applyFont="1" applyFill="1" applyBorder="1" applyAlignment="1">
      <alignment horizontal="center" vertical="center"/>
    </xf>
    <xf numFmtId="178" fontId="60" fillId="27" borderId="73" xfId="0" applyNumberFormat="1" applyFont="1" applyFill="1" applyBorder="1" applyAlignment="1">
      <alignment horizontal="center" vertical="center"/>
    </xf>
    <xf numFmtId="0" fontId="60" fillId="0" borderId="83" xfId="0" applyFont="1" applyBorder="1" applyAlignment="1">
      <alignment horizontal="center" vertical="center"/>
    </xf>
    <xf numFmtId="0" fontId="60" fillId="25" borderId="83" xfId="0" applyFont="1" applyFill="1" applyBorder="1" applyAlignment="1">
      <alignment horizontal="center" vertical="center"/>
    </xf>
    <xf numFmtId="0" fontId="60" fillId="25" borderId="33" xfId="0" applyFont="1" applyFill="1" applyBorder="1" applyAlignment="1">
      <alignment horizontal="center" vertical="center"/>
    </xf>
    <xf numFmtId="0" fontId="60" fillId="25" borderId="57" xfId="0" applyFont="1" applyFill="1" applyBorder="1" applyAlignment="1">
      <alignment horizontal="center" vertical="center"/>
    </xf>
    <xf numFmtId="0" fontId="60" fillId="25" borderId="85" xfId="0" applyFont="1" applyFill="1" applyBorder="1" applyAlignment="1">
      <alignment horizontal="center" vertical="center"/>
    </xf>
    <xf numFmtId="178" fontId="60" fillId="25" borderId="83" xfId="0" applyNumberFormat="1" applyFont="1" applyFill="1" applyBorder="1" applyAlignment="1">
      <alignment horizontal="center" vertical="center"/>
    </xf>
    <xf numFmtId="178" fontId="60" fillId="25" borderId="57" xfId="0" applyNumberFormat="1" applyFont="1" applyFill="1" applyBorder="1" applyAlignment="1">
      <alignment horizontal="center" vertical="center"/>
    </xf>
    <xf numFmtId="178" fontId="60" fillId="26" borderId="82" xfId="0" applyNumberFormat="1" applyFont="1" applyFill="1" applyBorder="1" applyAlignment="1">
      <alignment horizontal="center" vertical="center"/>
    </xf>
    <xf numFmtId="178" fontId="0" fillId="5" borderId="83" xfId="0" applyNumberFormat="1" applyFill="1" applyBorder="1" applyAlignment="1">
      <alignment horizontal="center" vertical="center"/>
    </xf>
    <xf numFmtId="0" fontId="0" fillId="28" borderId="7" xfId="0" applyFill="1" applyBorder="1" applyAlignment="1">
      <alignment horizontal="center" vertical="center"/>
    </xf>
    <xf numFmtId="0" fontId="0" fillId="28" borderId="8" xfId="0" applyFill="1" applyBorder="1" applyAlignment="1">
      <alignment horizontal="center" vertical="center"/>
    </xf>
    <xf numFmtId="168" fontId="0" fillId="28" borderId="8" xfId="8" applyNumberFormat="1" applyFont="1" applyFill="1" applyBorder="1"/>
    <xf numFmtId="168" fontId="0" fillId="28" borderId="9" xfId="0" applyNumberFormat="1" applyFill="1" applyBorder="1"/>
    <xf numFmtId="0" fontId="0" fillId="28" borderId="3" xfId="0" applyFill="1" applyBorder="1" applyAlignment="1">
      <alignment horizontal="center" vertical="center"/>
    </xf>
    <xf numFmtId="0" fontId="0" fillId="28" borderId="0" xfId="0" applyFill="1" applyAlignment="1">
      <alignment horizontal="center" vertical="center"/>
    </xf>
    <xf numFmtId="168" fontId="0" fillId="28" borderId="0" xfId="8" applyNumberFormat="1" applyFont="1" applyFill="1" applyBorder="1"/>
    <xf numFmtId="0" fontId="0" fillId="28" borderId="4" xfId="0" applyFill="1" applyBorder="1"/>
    <xf numFmtId="168" fontId="0" fillId="28" borderId="4" xfId="0" applyNumberFormat="1" applyFill="1" applyBorder="1"/>
    <xf numFmtId="10" fontId="0" fillId="28" borderId="3" xfId="26" applyNumberFormat="1" applyFont="1" applyFill="1" applyBorder="1" applyAlignment="1">
      <alignment horizontal="center" vertical="center"/>
    </xf>
    <xf numFmtId="10" fontId="0" fillId="28" borderId="0" xfId="26" applyNumberFormat="1" applyFont="1" applyFill="1" applyBorder="1" applyAlignment="1">
      <alignment horizontal="center" vertical="center"/>
    </xf>
    <xf numFmtId="0" fontId="0" fillId="28" borderId="5" xfId="0" applyFill="1" applyBorder="1" applyAlignment="1">
      <alignment horizontal="center" vertical="center"/>
    </xf>
    <xf numFmtId="0" fontId="0" fillId="28" borderId="12" xfId="0" applyFill="1" applyBorder="1" applyAlignment="1">
      <alignment horizontal="center" vertical="center"/>
    </xf>
    <xf numFmtId="168" fontId="0" fillId="28" borderId="12" xfId="8" applyNumberFormat="1" applyFont="1" applyFill="1" applyBorder="1"/>
    <xf numFmtId="0" fontId="0" fillId="28" borderId="6" xfId="0" applyFill="1" applyBorder="1"/>
    <xf numFmtId="178" fontId="31" fillId="0" borderId="82" xfId="0" applyNumberFormat="1" applyFont="1" applyBorder="1" applyAlignment="1">
      <alignment horizontal="center" vertical="center"/>
    </xf>
    <xf numFmtId="178" fontId="60" fillId="0" borderId="82" xfId="0" applyNumberFormat="1" applyFont="1" applyBorder="1" applyAlignment="1">
      <alignment horizontal="center" vertical="center"/>
    </xf>
    <xf numFmtId="178" fontId="31" fillId="0" borderId="83" xfId="0" applyNumberFormat="1" applyFont="1" applyBorder="1" applyAlignment="1">
      <alignment horizontal="center" vertical="center"/>
    </xf>
    <xf numFmtId="0" fontId="47" fillId="3" borderId="7" xfId="0" applyFont="1" applyFill="1" applyBorder="1" applyAlignment="1">
      <alignment horizontal="center" vertical="center"/>
    </xf>
    <xf numFmtId="0" fontId="47" fillId="3" borderId="8" xfId="0" applyFont="1" applyFill="1" applyBorder="1" applyAlignment="1">
      <alignment horizontal="center" vertical="center"/>
    </xf>
    <xf numFmtId="168" fontId="47" fillId="3" borderId="8" xfId="8" applyNumberFormat="1" applyFont="1" applyFill="1" applyBorder="1"/>
    <xf numFmtId="0" fontId="47" fillId="3" borderId="9" xfId="0" applyFont="1" applyFill="1" applyBorder="1"/>
    <xf numFmtId="0" fontId="47" fillId="3" borderId="3" xfId="0" applyFont="1" applyFill="1" applyBorder="1" applyAlignment="1">
      <alignment horizontal="center" vertical="center"/>
    </xf>
    <xf numFmtId="0" fontId="47" fillId="3" borderId="0" xfId="0" applyFont="1" applyFill="1" applyAlignment="1">
      <alignment horizontal="center" vertical="center"/>
    </xf>
    <xf numFmtId="168" fontId="47" fillId="3" borderId="0" xfId="8" applyNumberFormat="1" applyFont="1" applyFill="1" applyBorder="1"/>
    <xf numFmtId="178" fontId="47" fillId="3" borderId="4" xfId="0" applyNumberFormat="1" applyFont="1" applyFill="1" applyBorder="1"/>
    <xf numFmtId="0" fontId="47" fillId="3" borderId="4" xfId="0" applyFont="1" applyFill="1" applyBorder="1"/>
    <xf numFmtId="10" fontId="47" fillId="3" borderId="3" xfId="26" applyNumberFormat="1" applyFont="1" applyFill="1" applyBorder="1" applyAlignment="1">
      <alignment horizontal="center" vertical="center"/>
    </xf>
    <xf numFmtId="168" fontId="47" fillId="3" borderId="12" xfId="8" applyNumberFormat="1" applyFont="1" applyFill="1" applyBorder="1"/>
    <xf numFmtId="0" fontId="47" fillId="3" borderId="5" xfId="0" applyFont="1" applyFill="1" applyBorder="1" applyAlignment="1">
      <alignment horizontal="center" vertical="center"/>
    </xf>
    <xf numFmtId="0" fontId="47" fillId="3" borderId="12" xfId="0" applyFont="1" applyFill="1" applyBorder="1" applyAlignment="1">
      <alignment horizontal="center" vertical="center"/>
    </xf>
    <xf numFmtId="0" fontId="47" fillId="3" borderId="6" xfId="0" applyFont="1" applyFill="1" applyBorder="1"/>
    <xf numFmtId="10" fontId="0" fillId="0" borderId="0" xfId="26" applyNumberFormat="1" applyFont="1" applyFill="1" applyBorder="1"/>
    <xf numFmtId="10" fontId="0" fillId="0" borderId="0" xfId="0" applyNumberFormat="1"/>
    <xf numFmtId="5" fontId="0" fillId="0" borderId="0" xfId="8" applyNumberFormat="1" applyFont="1" applyFill="1" applyBorder="1" applyAlignment="1">
      <alignment horizontal="center"/>
    </xf>
    <xf numFmtId="0" fontId="61" fillId="0" borderId="0" xfId="0" applyFont="1" applyAlignment="1">
      <alignment vertical="center"/>
    </xf>
    <xf numFmtId="0" fontId="62" fillId="29" borderId="71" xfId="0" applyFont="1" applyFill="1" applyBorder="1" applyAlignment="1">
      <alignment horizontal="center" vertical="center" wrapText="1"/>
    </xf>
    <xf numFmtId="0" fontId="62" fillId="29" borderId="35" xfId="0" applyFont="1" applyFill="1" applyBorder="1" applyAlignment="1">
      <alignment horizontal="center" vertical="center" wrapText="1"/>
    </xf>
    <xf numFmtId="0" fontId="61" fillId="0" borderId="79" xfId="0" applyFont="1" applyBorder="1" applyAlignment="1">
      <alignment vertical="center" wrapText="1"/>
    </xf>
    <xf numFmtId="3" fontId="61" fillId="0" borderId="6" xfId="0" applyNumberFormat="1" applyFont="1" applyBorder="1" applyAlignment="1">
      <alignment horizontal="right" vertical="center" wrapText="1"/>
    </xf>
    <xf numFmtId="6" fontId="61" fillId="0" borderId="6" xfId="0" applyNumberFormat="1" applyFont="1" applyBorder="1" applyAlignment="1">
      <alignment horizontal="right" vertical="center" wrapText="1"/>
    </xf>
    <xf numFmtId="10" fontId="61" fillId="0" borderId="6" xfId="0" applyNumberFormat="1" applyFont="1" applyBorder="1" applyAlignment="1">
      <alignment horizontal="right" vertical="center" wrapText="1"/>
    </xf>
    <xf numFmtId="0" fontId="61" fillId="0" borderId="6" xfId="0" applyFont="1" applyBorder="1" applyAlignment="1">
      <alignment horizontal="right" vertical="center" wrapText="1"/>
    </xf>
    <xf numFmtId="0" fontId="63" fillId="30" borderId="79" xfId="0" applyFont="1" applyFill="1" applyBorder="1" applyAlignment="1">
      <alignment horizontal="right" vertical="center" wrapText="1"/>
    </xf>
    <xf numFmtId="3" fontId="63" fillId="30" borderId="6" xfId="0" applyNumberFormat="1" applyFont="1" applyFill="1" applyBorder="1" applyAlignment="1">
      <alignment horizontal="right" vertical="center" wrapText="1"/>
    </xf>
    <xf numFmtId="10" fontId="63" fillId="30" borderId="6" xfId="0" applyNumberFormat="1" applyFont="1" applyFill="1" applyBorder="1" applyAlignment="1">
      <alignment horizontal="right" vertical="center" wrapText="1"/>
    </xf>
    <xf numFmtId="0" fontId="64" fillId="0" borderId="0" xfId="0" applyFont="1" applyAlignment="1">
      <alignment horizontal="left" vertical="center" indent="5"/>
    </xf>
    <xf numFmtId="44" fontId="0" fillId="0" borderId="0" xfId="8" applyFont="1" applyFill="1" applyBorder="1"/>
    <xf numFmtId="44" fontId="0" fillId="0" borderId="0" xfId="0" applyNumberFormat="1"/>
    <xf numFmtId="6" fontId="0" fillId="0" borderId="0" xfId="0" applyNumberFormat="1"/>
    <xf numFmtId="168" fontId="0" fillId="0" borderId="0" xfId="0" applyNumberFormat="1" applyAlignment="1">
      <alignment horizontal="center" vertical="center"/>
    </xf>
    <xf numFmtId="6" fontId="0" fillId="0" borderId="0" xfId="0" applyNumberFormat="1" applyAlignment="1">
      <alignment horizontal="center" vertical="center"/>
    </xf>
    <xf numFmtId="168" fontId="27" fillId="3" borderId="4" xfId="20" applyNumberFormat="1" applyFont="1" applyFill="1" applyBorder="1"/>
    <xf numFmtId="44" fontId="27" fillId="3" borderId="3" xfId="20" applyNumberFormat="1" applyFont="1" applyFill="1" applyBorder="1"/>
    <xf numFmtId="0" fontId="27" fillId="3" borderId="0" xfId="20" applyFont="1" applyFill="1"/>
    <xf numFmtId="44" fontId="27" fillId="3" borderId="0" xfId="20" applyNumberFormat="1" applyFont="1" applyFill="1"/>
    <xf numFmtId="44" fontId="27" fillId="3" borderId="4" xfId="20" applyNumberFormat="1" applyFont="1" applyFill="1" applyBorder="1"/>
    <xf numFmtId="0" fontId="27" fillId="3" borderId="3" xfId="20" applyFont="1" applyFill="1" applyBorder="1"/>
    <xf numFmtId="0" fontId="6" fillId="3" borderId="0" xfId="20" applyFont="1" applyFill="1"/>
    <xf numFmtId="0" fontId="41" fillId="3" borderId="3" xfId="0" applyFont="1" applyFill="1" applyBorder="1"/>
    <xf numFmtId="0" fontId="41" fillId="3" borderId="0" xfId="0" applyFont="1" applyFill="1"/>
    <xf numFmtId="44" fontId="41" fillId="3" borderId="0" xfId="8" applyFont="1" applyFill="1" applyBorder="1"/>
    <xf numFmtId="44" fontId="41" fillId="3" borderId="4" xfId="8" applyFont="1" applyFill="1" applyBorder="1" applyAlignment="1">
      <alignment horizontal="left"/>
    </xf>
    <xf numFmtId="168" fontId="27" fillId="3" borderId="22" xfId="14" applyNumberFormat="1" applyFont="1" applyFill="1" applyBorder="1" applyAlignment="1">
      <alignment horizontal="right"/>
    </xf>
    <xf numFmtId="0" fontId="41" fillId="3" borderId="10" xfId="0" applyFont="1" applyFill="1" applyBorder="1"/>
    <xf numFmtId="0" fontId="41" fillId="3" borderId="11" xfId="0" applyFont="1" applyFill="1" applyBorder="1"/>
    <xf numFmtId="44" fontId="41" fillId="3" borderId="11" xfId="8" applyFont="1" applyFill="1" applyBorder="1"/>
    <xf numFmtId="44" fontId="51" fillId="3" borderId="17" xfId="20" applyNumberFormat="1" applyFont="1" applyFill="1" applyBorder="1"/>
    <xf numFmtId="3" fontId="0" fillId="0" borderId="0" xfId="0" applyNumberFormat="1"/>
    <xf numFmtId="3" fontId="0" fillId="0" borderId="14" xfId="0" applyNumberFormat="1" applyBorder="1"/>
    <xf numFmtId="9" fontId="0" fillId="0" borderId="0" xfId="26" applyFont="1" applyFill="1" applyBorder="1"/>
    <xf numFmtId="0" fontId="69" fillId="0" borderId="0" xfId="0" applyFont="1" applyAlignment="1">
      <alignment horizontal="left" vertical="center" indent="10"/>
    </xf>
    <xf numFmtId="0" fontId="71" fillId="0" borderId="0" xfId="0" applyFont="1" applyAlignment="1">
      <alignment horizontal="left" vertical="center" indent="15"/>
    </xf>
    <xf numFmtId="0" fontId="73" fillId="0" borderId="0" xfId="0" applyFont="1" applyAlignment="1">
      <alignment vertical="center"/>
    </xf>
    <xf numFmtId="0" fontId="74" fillId="31" borderId="86" xfId="0" applyFont="1" applyFill="1" applyBorder="1" applyAlignment="1">
      <alignment wrapText="1"/>
    </xf>
    <xf numFmtId="0" fontId="74" fillId="31" borderId="87" xfId="0" applyFont="1" applyFill="1" applyBorder="1" applyAlignment="1">
      <alignment wrapText="1"/>
    </xf>
    <xf numFmtId="0" fontId="62" fillId="31" borderId="87" xfId="0" applyFont="1" applyFill="1" applyBorder="1" applyAlignment="1">
      <alignment horizontal="center" vertical="center" wrapText="1"/>
    </xf>
    <xf numFmtId="0" fontId="62" fillId="31" borderId="88" xfId="0" applyFont="1" applyFill="1" applyBorder="1" applyAlignment="1">
      <alignment vertical="center" wrapText="1"/>
    </xf>
    <xf numFmtId="0" fontId="75" fillId="32" borderId="89" xfId="0" applyFont="1" applyFill="1" applyBorder="1" applyAlignment="1">
      <alignment vertical="center" wrapText="1"/>
    </xf>
    <xf numFmtId="0" fontId="75" fillId="30" borderId="89" xfId="0" applyFont="1" applyFill="1" applyBorder="1" applyAlignment="1">
      <alignment horizontal="right" vertical="center" wrapText="1"/>
    </xf>
    <xf numFmtId="0" fontId="75" fillId="30" borderId="89" xfId="0" applyFont="1" applyFill="1" applyBorder="1" applyAlignment="1">
      <alignment vertical="center" wrapText="1"/>
    </xf>
    <xf numFmtId="0" fontId="75" fillId="32" borderId="89" xfId="0" applyFont="1" applyFill="1" applyBorder="1" applyAlignment="1">
      <alignment horizontal="right" vertical="center" wrapText="1"/>
    </xf>
    <xf numFmtId="0" fontId="74" fillId="32" borderId="89" xfId="0" applyFont="1" applyFill="1" applyBorder="1" applyAlignment="1">
      <alignment vertical="center" wrapText="1"/>
    </xf>
    <xf numFmtId="0" fontId="74" fillId="31" borderId="88" xfId="0" applyFont="1" applyFill="1" applyBorder="1" applyAlignment="1">
      <alignment vertical="center" wrapText="1"/>
    </xf>
    <xf numFmtId="0" fontId="76" fillId="32" borderId="89" xfId="0" applyFont="1" applyFill="1" applyBorder="1" applyAlignment="1">
      <alignment horizontal="right" vertical="center" wrapText="1"/>
    </xf>
    <xf numFmtId="8" fontId="0" fillId="0" borderId="0" xfId="0" applyNumberFormat="1" applyAlignment="1">
      <alignment horizontal="center" vertical="center"/>
    </xf>
    <xf numFmtId="44" fontId="0" fillId="0" borderId="0" xfId="8" applyFont="1" applyFill="1" applyBorder="1" applyAlignment="1">
      <alignment horizontal="center" vertical="center"/>
    </xf>
    <xf numFmtId="0" fontId="0" fillId="0" borderId="14" xfId="0" applyBorder="1"/>
    <xf numFmtId="168" fontId="0" fillId="0" borderId="21" xfId="8" applyNumberFormat="1" applyFont="1" applyFill="1" applyBorder="1"/>
    <xf numFmtId="0" fontId="0" fillId="0" borderId="14" xfId="0" applyBorder="1" applyAlignment="1">
      <alignment horizontal="center" vertical="center"/>
    </xf>
    <xf numFmtId="168" fontId="0" fillId="0" borderId="14" xfId="0" applyNumberFormat="1" applyBorder="1" applyAlignment="1">
      <alignment horizontal="center" vertical="center"/>
    </xf>
    <xf numFmtId="168" fontId="0" fillId="0" borderId="14" xfId="8" applyNumberFormat="1" applyFont="1" applyFill="1" applyBorder="1"/>
    <xf numFmtId="178" fontId="0" fillId="0" borderId="0" xfId="0" applyNumberFormat="1"/>
    <xf numFmtId="168" fontId="0" fillId="28" borderId="38" xfId="8" applyNumberFormat="1" applyFont="1" applyFill="1" applyBorder="1"/>
    <xf numFmtId="168" fontId="0" fillId="28" borderId="35" xfId="8" applyNumberFormat="1" applyFont="1" applyFill="1" applyBorder="1"/>
    <xf numFmtId="168" fontId="47" fillId="3" borderId="7" xfId="8" applyNumberFormat="1" applyFont="1" applyFill="1" applyBorder="1"/>
    <xf numFmtId="168" fontId="47" fillId="3" borderId="9" xfId="8" applyNumberFormat="1" applyFont="1" applyFill="1" applyBorder="1"/>
    <xf numFmtId="168" fontId="47" fillId="3" borderId="5" xfId="8" applyNumberFormat="1" applyFont="1" applyFill="1" applyBorder="1"/>
    <xf numFmtId="168" fontId="47" fillId="3" borderId="6" xfId="8" applyNumberFormat="1" applyFont="1" applyFill="1" applyBorder="1"/>
    <xf numFmtId="0" fontId="0" fillId="5" borderId="0" xfId="0" applyFill="1" applyAlignment="1">
      <alignment horizontal="center" vertical="center" wrapText="1"/>
    </xf>
    <xf numFmtId="5" fontId="0" fillId="0" borderId="0" xfId="8" applyNumberFormat="1" applyFont="1" applyFill="1" applyBorder="1" applyAlignment="1">
      <alignment horizontal="center" vertical="center"/>
    </xf>
    <xf numFmtId="0" fontId="3" fillId="0" borderId="3" xfId="20" applyFont="1" applyBorder="1"/>
    <xf numFmtId="168" fontId="3" fillId="0" borderId="4" xfId="20" applyNumberFormat="1" applyFont="1" applyBorder="1" applyAlignment="1">
      <alignment horizontal="right"/>
    </xf>
    <xf numFmtId="168" fontId="0" fillId="0" borderId="0" xfId="26" applyNumberFormat="1" applyFont="1" applyFill="1" applyBorder="1"/>
    <xf numFmtId="179" fontId="0" fillId="0" borderId="0" xfId="26" applyNumberFormat="1" applyFont="1" applyFill="1" applyBorder="1"/>
    <xf numFmtId="168" fontId="0" fillId="27" borderId="0" xfId="8" applyNumberFormat="1" applyFont="1" applyFill="1" applyBorder="1"/>
    <xf numFmtId="0" fontId="23" fillId="14" borderId="11" xfId="20" applyFont="1" applyFill="1" applyBorder="1" applyAlignment="1">
      <alignment horizontal="center"/>
    </xf>
    <xf numFmtId="0" fontId="4" fillId="14" borderId="0" xfId="20" applyFont="1" applyFill="1" applyAlignment="1">
      <alignment horizontal="center"/>
    </xf>
    <xf numFmtId="10" fontId="4" fillId="14" borderId="6" xfId="28" applyNumberFormat="1" applyFont="1" applyFill="1" applyBorder="1" applyAlignment="1">
      <alignment horizontal="center"/>
    </xf>
    <xf numFmtId="0" fontId="58" fillId="0" borderId="8" xfId="0" applyFont="1" applyBorder="1" applyAlignment="1">
      <alignment horizontal="center" vertical="center" wrapText="1"/>
    </xf>
    <xf numFmtId="0" fontId="4" fillId="4" borderId="0" xfId="0" applyFont="1" applyFill="1" applyAlignment="1">
      <alignment horizontal="left" wrapText="1"/>
    </xf>
    <xf numFmtId="0" fontId="4" fillId="4" borderId="4" xfId="0" applyFont="1" applyFill="1" applyBorder="1" applyAlignment="1">
      <alignment horizontal="left" wrapText="1"/>
    </xf>
    <xf numFmtId="0" fontId="7" fillId="3" borderId="3" xfId="0" applyFont="1" applyFill="1" applyBorder="1"/>
    <xf numFmtId="0" fontId="7" fillId="3" borderId="5" xfId="0" applyFont="1" applyFill="1" applyBorder="1"/>
    <xf numFmtId="42" fontId="8" fillId="4" borderId="8" xfId="0" applyNumberFormat="1" applyFont="1" applyFill="1" applyBorder="1"/>
    <xf numFmtId="0" fontId="7" fillId="4" borderId="6" xfId="0" applyFont="1" applyFill="1" applyBorder="1"/>
    <xf numFmtId="177" fontId="8" fillId="4" borderId="0" xfId="26" applyNumberFormat="1" applyFont="1" applyFill="1" applyBorder="1"/>
    <xf numFmtId="177" fontId="78" fillId="0" borderId="0" xfId="20" applyNumberFormat="1" applyFont="1"/>
    <xf numFmtId="0" fontId="7" fillId="3" borderId="3" xfId="20" applyFont="1" applyFill="1" applyBorder="1"/>
    <xf numFmtId="168" fontId="7" fillId="4" borderId="0" xfId="12" applyNumberFormat="1" applyFont="1" applyFill="1" applyBorder="1" applyAlignment="1">
      <alignment horizontal="right"/>
    </xf>
    <xf numFmtId="10" fontId="6" fillId="4" borderId="0" xfId="26" applyNumberFormat="1" applyFont="1" applyFill="1" applyBorder="1" applyAlignment="1">
      <alignment horizontal="right"/>
    </xf>
    <xf numFmtId="0" fontId="21" fillId="3" borderId="0" xfId="20" applyFont="1" applyFill="1"/>
    <xf numFmtId="44" fontId="21" fillId="3" borderId="0" xfId="20" applyNumberFormat="1" applyFont="1" applyFill="1"/>
    <xf numFmtId="168" fontId="6" fillId="4" borderId="17" xfId="12" applyNumberFormat="1" applyFont="1" applyFill="1" applyBorder="1" applyAlignment="1">
      <alignment horizontal="right"/>
    </xf>
    <xf numFmtId="44" fontId="6" fillId="0" borderId="0" xfId="14" applyFont="1" applyFill="1" applyBorder="1"/>
    <xf numFmtId="169" fontId="4" fillId="4" borderId="5" xfId="20" applyNumberFormat="1" applyFont="1" applyFill="1" applyBorder="1"/>
    <xf numFmtId="9" fontId="7" fillId="4" borderId="12" xfId="20" applyNumberFormat="1" applyFont="1" applyFill="1" applyBorder="1"/>
    <xf numFmtId="44" fontId="6" fillId="4" borderId="6" xfId="14" applyFont="1" applyFill="1" applyBorder="1" applyAlignment="1">
      <alignment horizontal="right"/>
    </xf>
    <xf numFmtId="168" fontId="7" fillId="4" borderId="17" xfId="14" applyNumberFormat="1" applyFont="1" applyFill="1" applyBorder="1" applyAlignment="1">
      <alignment horizontal="right"/>
    </xf>
    <xf numFmtId="2" fontId="21" fillId="4" borderId="0" xfId="20" applyNumberFormat="1" applyFont="1" applyFill="1"/>
    <xf numFmtId="177" fontId="27" fillId="0" borderId="0" xfId="20" applyNumberFormat="1" applyFont="1" applyAlignment="1">
      <alignment horizontal="right"/>
    </xf>
    <xf numFmtId="178" fontId="51" fillId="4" borderId="17" xfId="20" applyNumberFormat="1" applyFont="1" applyFill="1" applyBorder="1"/>
    <xf numFmtId="168" fontId="27" fillId="4" borderId="17" xfId="12" applyNumberFormat="1" applyFont="1" applyFill="1" applyBorder="1" applyAlignment="1">
      <alignment horizontal="right"/>
    </xf>
    <xf numFmtId="10" fontId="21" fillId="4" borderId="0" xfId="26" applyNumberFormat="1" applyFont="1" applyFill="1" applyBorder="1"/>
    <xf numFmtId="10" fontId="4" fillId="4" borderId="0" xfId="26" applyNumberFormat="1" applyFont="1" applyFill="1" applyBorder="1" applyAlignment="1"/>
    <xf numFmtId="44" fontId="7" fillId="4" borderId="0" xfId="20" applyNumberFormat="1" applyFont="1" applyFill="1"/>
    <xf numFmtId="10" fontId="9" fillId="3" borderId="0" xfId="20" applyNumberFormat="1" applyFont="1" applyFill="1" applyAlignment="1">
      <alignment horizontal="right"/>
    </xf>
    <xf numFmtId="44" fontId="4" fillId="4" borderId="0" xfId="20" applyNumberFormat="1" applyFont="1" applyFill="1"/>
    <xf numFmtId="168" fontId="4" fillId="4" borderId="17" xfId="14" applyNumberFormat="1" applyFont="1" applyFill="1" applyBorder="1" applyAlignment="1">
      <alignment horizontal="right"/>
    </xf>
    <xf numFmtId="0" fontId="51" fillId="4" borderId="4" xfId="20" applyFont="1" applyFill="1" applyBorder="1"/>
    <xf numFmtId="168" fontId="4" fillId="4" borderId="4" xfId="20" applyNumberFormat="1" applyFont="1" applyFill="1" applyBorder="1"/>
    <xf numFmtId="177" fontId="4" fillId="4" borderId="0" xfId="20" applyNumberFormat="1" applyFont="1" applyFill="1"/>
    <xf numFmtId="0" fontId="7" fillId="0" borderId="3" xfId="0" applyFont="1" applyBorder="1"/>
    <xf numFmtId="0" fontId="7" fillId="27" borderId="3" xfId="20" applyFont="1" applyFill="1" applyBorder="1"/>
    <xf numFmtId="44" fontId="6" fillId="0" borderId="52" xfId="14" applyFont="1" applyFill="1" applyBorder="1" applyAlignment="1">
      <alignment horizontal="right"/>
    </xf>
    <xf numFmtId="44" fontId="27" fillId="0" borderId="0" xfId="8" applyFont="1" applyFill="1" applyBorder="1"/>
    <xf numFmtId="0" fontId="27" fillId="0" borderId="3" xfId="0" applyFont="1" applyBorder="1"/>
    <xf numFmtId="0" fontId="21" fillId="3" borderId="3" xfId="20" applyFont="1" applyFill="1" applyBorder="1"/>
    <xf numFmtId="0" fontId="13" fillId="4" borderId="8" xfId="0" applyFont="1" applyFill="1" applyBorder="1"/>
    <xf numFmtId="44" fontId="66" fillId="0" borderId="4" xfId="8" applyFont="1" applyFill="1" applyBorder="1" applyAlignment="1">
      <alignment horizontal="left"/>
    </xf>
    <xf numFmtId="0" fontId="27" fillId="4" borderId="4" xfId="0" applyFont="1" applyFill="1" applyBorder="1" applyAlignment="1">
      <alignment horizontal="left"/>
    </xf>
    <xf numFmtId="0" fontId="4" fillId="4" borderId="10" xfId="0" applyFont="1" applyFill="1" applyBorder="1" applyAlignment="1">
      <alignment horizontal="left"/>
    </xf>
    <xf numFmtId="44" fontId="27" fillId="0" borderId="0" xfId="20" applyNumberFormat="1" applyFont="1"/>
    <xf numFmtId="168" fontId="27" fillId="0" borderId="4" xfId="20" applyNumberFormat="1" applyFont="1" applyBorder="1"/>
    <xf numFmtId="0" fontId="4" fillId="4" borderId="7" xfId="20" applyFont="1" applyFill="1" applyBorder="1"/>
    <xf numFmtId="0" fontId="23" fillId="4" borderId="8" xfId="20" applyFont="1" applyFill="1" applyBorder="1" applyAlignment="1">
      <alignment horizontal="center"/>
    </xf>
    <xf numFmtId="0" fontId="4" fillId="4" borderId="8" xfId="20" applyFont="1" applyFill="1" applyBorder="1" applyAlignment="1">
      <alignment horizontal="center"/>
    </xf>
    <xf numFmtId="10" fontId="7" fillId="4" borderId="0" xfId="20" applyNumberFormat="1" applyFont="1" applyFill="1"/>
    <xf numFmtId="168" fontId="7" fillId="4" borderId="17" xfId="20" applyNumberFormat="1" applyFont="1" applyFill="1" applyBorder="1" applyAlignment="1">
      <alignment horizontal="right"/>
    </xf>
    <xf numFmtId="0" fontId="8" fillId="3" borderId="0" xfId="0" applyFont="1" applyFill="1"/>
    <xf numFmtId="44" fontId="21" fillId="4" borderId="0" xfId="8" applyFont="1" applyFill="1"/>
    <xf numFmtId="10" fontId="7" fillId="3" borderId="0" xfId="20" applyNumberFormat="1" applyFont="1" applyFill="1"/>
    <xf numFmtId="0" fontId="27" fillId="0" borderId="3" xfId="20" applyFont="1" applyBorder="1"/>
    <xf numFmtId="177" fontId="7" fillId="4" borderId="0" xfId="20" applyNumberFormat="1" applyFont="1" applyFill="1" applyAlignment="1">
      <alignment horizontal="right"/>
    </xf>
    <xf numFmtId="177" fontId="27" fillId="0" borderId="0" xfId="0" applyNumberFormat="1" applyFont="1" applyAlignment="1">
      <alignment horizontal="center"/>
    </xf>
    <xf numFmtId="0" fontId="14" fillId="2" borderId="8" xfId="19" applyFont="1" applyFill="1" applyBorder="1"/>
    <xf numFmtId="0" fontId="15" fillId="2" borderId="9" xfId="19" applyFont="1" applyFill="1" applyBorder="1"/>
    <xf numFmtId="0" fontId="15" fillId="2" borderId="0" xfId="19" applyFont="1" applyFill="1"/>
    <xf numFmtId="0" fontId="3" fillId="2" borderId="4" xfId="19" applyFont="1" applyFill="1" applyBorder="1"/>
    <xf numFmtId="0" fontId="33" fillId="2" borderId="12" xfId="19" applyFont="1" applyFill="1" applyBorder="1"/>
    <xf numFmtId="0" fontId="3" fillId="2" borderId="6" xfId="19" applyFont="1" applyFill="1" applyBorder="1"/>
    <xf numFmtId="0" fontId="34" fillId="35" borderId="0" xfId="36" applyFont="1" applyFill="1"/>
    <xf numFmtId="0" fontId="4" fillId="0" borderId="92" xfId="19" applyBorder="1"/>
    <xf numFmtId="0" fontId="4" fillId="0" borderId="93" xfId="19" applyBorder="1"/>
    <xf numFmtId="0" fontId="4" fillId="0" borderId="24" xfId="19" applyBorder="1"/>
    <xf numFmtId="0" fontId="4" fillId="0" borderId="35" xfId="19" applyBorder="1"/>
    <xf numFmtId="166" fontId="4" fillId="0" borderId="92" xfId="19" applyNumberFormat="1" applyBorder="1"/>
    <xf numFmtId="0" fontId="4" fillId="0" borderId="94" xfId="23" applyBorder="1"/>
    <xf numFmtId="0" fontId="7" fillId="0" borderId="0" xfId="0" applyFont="1"/>
    <xf numFmtId="5" fontId="27" fillId="0" borderId="0" xfId="0" applyNumberFormat="1" applyFont="1"/>
    <xf numFmtId="178" fontId="57" fillId="0" borderId="0" xfId="0" applyNumberFormat="1" applyFont="1"/>
    <xf numFmtId="4" fontId="9" fillId="4" borderId="0" xfId="0" applyNumberFormat="1" applyFont="1" applyFill="1" applyAlignment="1">
      <alignment horizontal="left"/>
    </xf>
    <xf numFmtId="44" fontId="6" fillId="0" borderId="0" xfId="14" applyFont="1" applyFill="1" applyBorder="1" applyAlignment="1">
      <alignment horizontal="right"/>
    </xf>
    <xf numFmtId="42" fontId="8" fillId="0" borderId="0" xfId="20" applyNumberFormat="1" applyFont="1"/>
    <xf numFmtId="42" fontId="7" fillId="4" borderId="17" xfId="20" applyNumberFormat="1" applyFont="1" applyFill="1" applyBorder="1" applyAlignment="1">
      <alignment horizontal="right"/>
    </xf>
    <xf numFmtId="0" fontId="7" fillId="3" borderId="0" xfId="20" applyFont="1" applyFill="1"/>
    <xf numFmtId="0" fontId="27" fillId="0" borderId="0" xfId="20" applyFont="1"/>
    <xf numFmtId="168" fontId="27" fillId="0" borderId="22" xfId="14" applyNumberFormat="1" applyFont="1" applyFill="1" applyBorder="1" applyAlignment="1">
      <alignment horizontal="right"/>
    </xf>
    <xf numFmtId="0" fontId="7" fillId="0" borderId="3" xfId="20" applyFont="1" applyBorder="1"/>
    <xf numFmtId="0" fontId="7" fillId="0" borderId="0" xfId="20" applyFont="1"/>
    <xf numFmtId="10" fontId="7" fillId="0" borderId="0" xfId="20" applyNumberFormat="1" applyFont="1"/>
    <xf numFmtId="178" fontId="6" fillId="4" borderId="4" xfId="20" applyNumberFormat="1" applyFont="1" applyFill="1" applyBorder="1"/>
    <xf numFmtId="10" fontId="21" fillId="4" borderId="0" xfId="26" applyNumberFormat="1" applyFont="1" applyFill="1" applyAlignment="1">
      <alignment horizontal="left"/>
    </xf>
    <xf numFmtId="178" fontId="27" fillId="0" borderId="22" xfId="14" applyNumberFormat="1" applyFont="1" applyFill="1" applyBorder="1" applyAlignment="1">
      <alignment horizontal="right"/>
    </xf>
    <xf numFmtId="178" fontId="27" fillId="0" borderId="4" xfId="20" applyNumberFormat="1" applyFont="1" applyBorder="1"/>
    <xf numFmtId="177" fontId="21" fillId="4" borderId="0" xfId="20" applyNumberFormat="1" applyFont="1" applyFill="1"/>
    <xf numFmtId="10" fontId="21" fillId="4" borderId="0" xfId="26" applyNumberFormat="1" applyFont="1" applyFill="1" applyBorder="1" applyAlignment="1">
      <alignment horizontal="left"/>
    </xf>
    <xf numFmtId="0" fontId="21" fillId="4" borderId="0" xfId="20" applyFont="1" applyFill="1" applyAlignment="1">
      <alignment horizontal="left"/>
    </xf>
    <xf numFmtId="4" fontId="21" fillId="4" borderId="0" xfId="20" applyNumberFormat="1" applyFont="1" applyFill="1" applyAlignment="1">
      <alignment horizontal="left"/>
    </xf>
    <xf numFmtId="4" fontId="9" fillId="4" borderId="4" xfId="0" applyNumberFormat="1" applyFont="1" applyFill="1" applyBorder="1" applyAlignment="1">
      <alignment horizontal="left" vertical="center"/>
    </xf>
    <xf numFmtId="177" fontId="27" fillId="0" borderId="0" xfId="20" applyNumberFormat="1" applyFont="1" applyAlignment="1">
      <alignment horizontal="center"/>
    </xf>
    <xf numFmtId="44" fontId="41" fillId="0" borderId="0" xfId="8" applyFont="1" applyFill="1" applyBorder="1"/>
    <xf numFmtId="10" fontId="8" fillId="3" borderId="0" xfId="31" applyNumberFormat="1" applyFont="1" applyFill="1" applyBorder="1" applyAlignment="1">
      <alignment horizontal="right"/>
    </xf>
    <xf numFmtId="168" fontId="6" fillId="4" borderId="4" xfId="14" applyNumberFormat="1" applyFont="1" applyFill="1" applyBorder="1"/>
    <xf numFmtId="168" fontId="51" fillId="0" borderId="4" xfId="20" applyNumberFormat="1" applyFont="1" applyBorder="1"/>
    <xf numFmtId="44" fontId="51" fillId="0" borderId="0" xfId="20" applyNumberFormat="1" applyFont="1"/>
    <xf numFmtId="0" fontId="42" fillId="12" borderId="38" xfId="20" applyFont="1" applyFill="1" applyBorder="1" applyAlignment="1">
      <alignment horizontal="center"/>
    </xf>
    <xf numFmtId="0" fontId="42" fillId="12" borderId="24" xfId="20" applyFont="1" applyFill="1" applyBorder="1" applyAlignment="1">
      <alignment horizontal="center"/>
    </xf>
    <xf numFmtId="0" fontId="42" fillId="12" borderId="35" xfId="20" applyFont="1" applyFill="1" applyBorder="1" applyAlignment="1">
      <alignment horizontal="center"/>
    </xf>
    <xf numFmtId="178" fontId="27" fillId="0" borderId="0" xfId="0" applyNumberFormat="1" applyFont="1"/>
    <xf numFmtId="168" fontId="51" fillId="4" borderId="4" xfId="20" applyNumberFormat="1" applyFont="1" applyFill="1" applyBorder="1" applyAlignment="1">
      <alignment horizontal="right"/>
    </xf>
    <xf numFmtId="44" fontId="6" fillId="3" borderId="4" xfId="14" applyFont="1" applyFill="1" applyBorder="1"/>
    <xf numFmtId="0" fontId="51" fillId="0" borderId="3" xfId="20" applyFont="1" applyBorder="1"/>
    <xf numFmtId="168" fontId="51" fillId="4" borderId="22" xfId="20" applyNumberFormat="1" applyFont="1" applyFill="1" applyBorder="1" applyAlignment="1">
      <alignment horizontal="right"/>
    </xf>
    <xf numFmtId="5" fontId="57" fillId="0" borderId="0" xfId="0" applyNumberFormat="1" applyFont="1"/>
    <xf numFmtId="42" fontId="27" fillId="0" borderId="4" xfId="20" applyNumberFormat="1" applyFont="1" applyBorder="1" applyAlignment="1">
      <alignment horizontal="right"/>
    </xf>
    <xf numFmtId="168" fontId="6" fillId="4" borderId="95" xfId="14" applyNumberFormat="1" applyFont="1" applyFill="1" applyBorder="1" applyAlignment="1">
      <alignment horizontal="right"/>
    </xf>
    <xf numFmtId="168" fontId="7" fillId="4" borderId="4" xfId="26" applyNumberFormat="1" applyFont="1" applyFill="1" applyBorder="1" applyAlignment="1">
      <alignment horizontal="right"/>
    </xf>
    <xf numFmtId="44" fontId="17" fillId="4" borderId="0" xfId="20" applyNumberFormat="1" applyFill="1"/>
    <xf numFmtId="10" fontId="17" fillId="4" borderId="0" xfId="26" applyNumberFormat="1" applyFill="1"/>
    <xf numFmtId="168" fontId="51" fillId="4" borderId="4" xfId="14" applyNumberFormat="1" applyFont="1" applyFill="1" applyBorder="1" applyAlignment="1">
      <alignment horizontal="right"/>
    </xf>
    <xf numFmtId="0" fontId="17" fillId="0" borderId="3" xfId="20" applyBorder="1"/>
    <xf numFmtId="0" fontId="17" fillId="0" borderId="4" xfId="20" applyBorder="1"/>
    <xf numFmtId="178" fontId="27" fillId="0" borderId="4" xfId="20" applyNumberFormat="1" applyFont="1" applyBorder="1" applyAlignment="1">
      <alignment horizontal="right"/>
    </xf>
    <xf numFmtId="44" fontId="27" fillId="0" borderId="0" xfId="20" applyNumberFormat="1" applyFont="1" applyAlignment="1">
      <alignment horizontal="right"/>
    </xf>
    <xf numFmtId="0" fontId="66" fillId="0" borderId="0" xfId="0" applyFont="1"/>
    <xf numFmtId="44" fontId="58" fillId="0" borderId="0" xfId="8" applyFont="1" applyFill="1" applyBorder="1" applyAlignment="1">
      <alignment horizontal="center"/>
    </xf>
    <xf numFmtId="44" fontId="51" fillId="0" borderId="4" xfId="0" applyNumberFormat="1" applyFont="1" applyBorder="1"/>
    <xf numFmtId="10" fontId="9" fillId="3" borderId="0" xfId="26" applyNumberFormat="1" applyFont="1" applyFill="1" applyBorder="1"/>
    <xf numFmtId="177" fontId="17" fillId="4" borderId="0" xfId="20" applyNumberFormat="1" applyFill="1"/>
    <xf numFmtId="44" fontId="13" fillId="4" borderId="0" xfId="0" applyNumberFormat="1" applyFont="1" applyFill="1"/>
    <xf numFmtId="44" fontId="27" fillId="0" borderId="0" xfId="8" applyFont="1" applyFill="1" applyBorder="1" applyAlignment="1">
      <alignment horizontal="center"/>
    </xf>
    <xf numFmtId="0" fontId="5" fillId="4" borderId="0" xfId="0" applyFont="1" applyFill="1"/>
    <xf numFmtId="178" fontId="6" fillId="4" borderId="17" xfId="14" applyNumberFormat="1" applyFont="1" applyFill="1" applyBorder="1" applyAlignment="1">
      <alignment horizontal="right"/>
    </xf>
    <xf numFmtId="178" fontId="7" fillId="4" borderId="22" xfId="12" applyNumberFormat="1" applyFont="1" applyFill="1" applyBorder="1" applyAlignment="1">
      <alignment horizontal="right"/>
    </xf>
    <xf numFmtId="178" fontId="51" fillId="4" borderId="4" xfId="14" applyNumberFormat="1" applyFont="1" applyFill="1" applyBorder="1" applyAlignment="1">
      <alignment horizontal="right"/>
    </xf>
    <xf numFmtId="10" fontId="4" fillId="4" borderId="0" xfId="26" applyNumberFormat="1" applyFont="1" applyFill="1" applyBorder="1"/>
    <xf numFmtId="0" fontId="4" fillId="16" borderId="0" xfId="20" applyFont="1" applyFill="1"/>
    <xf numFmtId="0" fontId="4" fillId="0" borderId="0" xfId="20" applyFont="1"/>
    <xf numFmtId="0" fontId="12" fillId="4" borderId="0" xfId="20" applyFont="1" applyFill="1"/>
    <xf numFmtId="0" fontId="3" fillId="4" borderId="7" xfId="20" applyFont="1" applyFill="1" applyBorder="1"/>
    <xf numFmtId="0" fontId="3" fillId="4" borderId="8" xfId="20" applyFont="1" applyFill="1" applyBorder="1"/>
    <xf numFmtId="0" fontId="3" fillId="4" borderId="8" xfId="20" applyFont="1" applyFill="1" applyBorder="1" applyAlignment="1">
      <alignment horizontal="right"/>
    </xf>
    <xf numFmtId="3" fontId="3" fillId="4" borderId="9" xfId="20" applyNumberFormat="1" applyFont="1" applyFill="1" applyBorder="1"/>
    <xf numFmtId="0" fontId="4" fillId="4" borderId="4" xfId="20" applyFont="1" applyFill="1" applyBorder="1"/>
    <xf numFmtId="0" fontId="4" fillId="4" borderId="7" xfId="0" applyFont="1" applyFill="1" applyBorder="1"/>
    <xf numFmtId="0" fontId="12" fillId="4" borderId="8" xfId="0" applyFont="1" applyFill="1" applyBorder="1" applyAlignment="1">
      <alignment horizontal="center"/>
    </xf>
    <xf numFmtId="42" fontId="4" fillId="4" borderId="8" xfId="0" applyNumberFormat="1" applyFont="1" applyFill="1" applyBorder="1"/>
    <xf numFmtId="0" fontId="3" fillId="4" borderId="10" xfId="20" applyFont="1" applyFill="1" applyBorder="1"/>
    <xf numFmtId="0" fontId="3" fillId="4" borderId="11" xfId="20" applyFont="1" applyFill="1" applyBorder="1" applyAlignment="1">
      <alignment wrapText="1"/>
    </xf>
    <xf numFmtId="0" fontId="3" fillId="4" borderId="11" xfId="20" applyFont="1" applyFill="1" applyBorder="1" applyAlignment="1">
      <alignment horizontal="center"/>
    </xf>
    <xf numFmtId="0" fontId="3" fillId="4" borderId="17" xfId="20" applyFont="1" applyFill="1" applyBorder="1" applyAlignment="1">
      <alignment horizontal="center"/>
    </xf>
    <xf numFmtId="42" fontId="4" fillId="4" borderId="0" xfId="0" applyNumberFormat="1" applyFont="1" applyFill="1"/>
    <xf numFmtId="0" fontId="3" fillId="4" borderId="0" xfId="20" applyFont="1" applyFill="1" applyAlignment="1">
      <alignment wrapText="1"/>
    </xf>
    <xf numFmtId="0" fontId="3" fillId="4" borderId="4" xfId="20" applyFont="1" applyFill="1" applyBorder="1" applyAlignment="1">
      <alignment horizontal="center"/>
    </xf>
    <xf numFmtId="166" fontId="4" fillId="4" borderId="0" xfId="20" applyNumberFormat="1" applyFont="1" applyFill="1"/>
    <xf numFmtId="42" fontId="4" fillId="4" borderId="0" xfId="20" applyNumberFormat="1" applyFont="1" applyFill="1"/>
    <xf numFmtId="4" fontId="4" fillId="4" borderId="0" xfId="20" applyNumberFormat="1" applyFont="1" applyFill="1"/>
    <xf numFmtId="42" fontId="4" fillId="4" borderId="4" xfId="20" applyNumberFormat="1" applyFont="1" applyFill="1" applyBorder="1"/>
    <xf numFmtId="9" fontId="4" fillId="4" borderId="0" xfId="26" applyFont="1" applyFill="1"/>
    <xf numFmtId="42" fontId="35" fillId="4" borderId="0" xfId="0" applyNumberFormat="1" applyFont="1" applyFill="1"/>
    <xf numFmtId="42" fontId="4" fillId="24" borderId="0" xfId="0" applyNumberFormat="1" applyFont="1" applyFill="1"/>
    <xf numFmtId="166" fontId="4" fillId="4" borderId="11" xfId="20" applyNumberFormat="1" applyFont="1" applyFill="1" applyBorder="1"/>
    <xf numFmtId="4" fontId="4" fillId="4" borderId="11" xfId="20" applyNumberFormat="1" applyFont="1" applyFill="1" applyBorder="1"/>
    <xf numFmtId="42" fontId="4" fillId="4" borderId="17" xfId="20" applyNumberFormat="1" applyFont="1" applyFill="1" applyBorder="1"/>
    <xf numFmtId="0" fontId="3" fillId="4" borderId="11" xfId="20" applyFont="1" applyFill="1" applyBorder="1"/>
    <xf numFmtId="44" fontId="3" fillId="4" borderId="11" xfId="20" applyNumberFormat="1" applyFont="1" applyFill="1" applyBorder="1"/>
    <xf numFmtId="4" fontId="3" fillId="4" borderId="11" xfId="20" applyNumberFormat="1" applyFont="1" applyFill="1" applyBorder="1"/>
    <xf numFmtId="42" fontId="3" fillId="4" borderId="17" xfId="20" applyNumberFormat="1" applyFont="1" applyFill="1" applyBorder="1"/>
    <xf numFmtId="0" fontId="4" fillId="4" borderId="11" xfId="0" applyFont="1" applyFill="1" applyBorder="1" applyAlignment="1">
      <alignment horizontal="center"/>
    </xf>
    <xf numFmtId="42" fontId="4" fillId="4" borderId="4" xfId="20" applyNumberFormat="1" applyFont="1" applyFill="1" applyBorder="1" applyAlignment="1">
      <alignment horizontal="right"/>
    </xf>
    <xf numFmtId="0" fontId="3" fillId="4" borderId="20" xfId="20" applyFont="1" applyFill="1" applyBorder="1"/>
    <xf numFmtId="0" fontId="3" fillId="4" borderId="13" xfId="20" applyFont="1" applyFill="1" applyBorder="1"/>
    <xf numFmtId="44" fontId="3" fillId="4" borderId="13" xfId="20" applyNumberFormat="1" applyFont="1" applyFill="1" applyBorder="1"/>
    <xf numFmtId="42" fontId="3" fillId="4" borderId="19" xfId="20" applyNumberFormat="1" applyFont="1" applyFill="1" applyBorder="1" applyAlignment="1">
      <alignment horizontal="right"/>
    </xf>
    <xf numFmtId="4" fontId="4" fillId="4" borderId="0" xfId="0" applyNumberFormat="1" applyFont="1" applyFill="1" applyAlignment="1">
      <alignment horizontal="center"/>
    </xf>
    <xf numFmtId="44" fontId="3" fillId="4" borderId="0" xfId="20" applyNumberFormat="1" applyFont="1" applyFill="1"/>
    <xf numFmtId="42" fontId="3" fillId="4" borderId="4" xfId="20" applyNumberFormat="1" applyFont="1" applyFill="1" applyBorder="1"/>
    <xf numFmtId="168" fontId="4" fillId="4" borderId="4" xfId="12" applyNumberFormat="1" applyFont="1" applyFill="1" applyBorder="1" applyAlignment="1">
      <alignment horizontal="right"/>
    </xf>
    <xf numFmtId="177" fontId="3" fillId="0" borderId="0" xfId="20" applyNumberFormat="1" applyFont="1"/>
    <xf numFmtId="168" fontId="3" fillId="4" borderId="4" xfId="12" applyNumberFormat="1" applyFont="1" applyFill="1" applyBorder="1" applyAlignment="1">
      <alignment horizontal="right"/>
    </xf>
    <xf numFmtId="44" fontId="3" fillId="4" borderId="4" xfId="14" applyFont="1" applyFill="1" applyBorder="1"/>
    <xf numFmtId="4" fontId="4" fillId="4" borderId="11" xfId="0" applyNumberFormat="1" applyFont="1" applyFill="1" applyBorder="1" applyAlignment="1">
      <alignment horizontal="center"/>
    </xf>
    <xf numFmtId="168" fontId="3" fillId="4" borderId="19" xfId="14" applyNumberFormat="1" applyFont="1" applyFill="1" applyBorder="1"/>
    <xf numFmtId="44" fontId="4" fillId="4" borderId="0" xfId="14" applyFont="1" applyFill="1" applyBorder="1"/>
    <xf numFmtId="44" fontId="4" fillId="4" borderId="4" xfId="14" applyFont="1" applyFill="1" applyBorder="1"/>
    <xf numFmtId="10" fontId="4" fillId="4" borderId="0" xfId="31" applyNumberFormat="1" applyFont="1" applyFill="1" applyBorder="1" applyAlignment="1">
      <alignment horizontal="right"/>
    </xf>
    <xf numFmtId="0" fontId="4" fillId="24" borderId="3" xfId="0" applyFont="1" applyFill="1" applyBorder="1"/>
    <xf numFmtId="10" fontId="4" fillId="24" borderId="0" xfId="26" applyNumberFormat="1" applyFont="1" applyFill="1" applyBorder="1"/>
    <xf numFmtId="177" fontId="4" fillId="4" borderId="0" xfId="26" applyNumberFormat="1" applyFont="1" applyFill="1" applyBorder="1"/>
    <xf numFmtId="0" fontId="3" fillId="4" borderId="0" xfId="0" applyFont="1" applyFill="1" applyAlignment="1">
      <alignment horizontal="left"/>
    </xf>
    <xf numFmtId="0" fontId="4" fillId="4" borderId="4" xfId="20" applyFont="1" applyFill="1" applyBorder="1" applyAlignment="1">
      <alignment horizontal="right"/>
    </xf>
    <xf numFmtId="44" fontId="10" fillId="4" borderId="0" xfId="8" applyFont="1" applyFill="1" applyBorder="1"/>
    <xf numFmtId="44" fontId="10" fillId="4" borderId="0" xfId="8" applyFont="1" applyFill="1" applyBorder="1" applyAlignment="1">
      <alignment horizontal="left"/>
    </xf>
    <xf numFmtId="44" fontId="35" fillId="4" borderId="4" xfId="8" applyFont="1" applyFill="1" applyBorder="1" applyAlignment="1">
      <alignment horizontal="left"/>
    </xf>
    <xf numFmtId="0" fontId="3" fillId="4" borderId="21" xfId="20" applyFont="1" applyFill="1" applyBorder="1"/>
    <xf numFmtId="0" fontId="4" fillId="4" borderId="14" xfId="20" applyFont="1" applyFill="1" applyBorder="1"/>
    <xf numFmtId="42" fontId="3" fillId="4" borderId="22" xfId="20" applyNumberFormat="1" applyFont="1" applyFill="1" applyBorder="1" applyAlignment="1">
      <alignment horizontal="right"/>
    </xf>
    <xf numFmtId="0" fontId="79" fillId="4" borderId="0" xfId="20" applyFont="1" applyFill="1"/>
    <xf numFmtId="168" fontId="4" fillId="4" borderId="4" xfId="14" applyNumberFormat="1" applyFont="1" applyFill="1" applyBorder="1" applyAlignment="1">
      <alignment horizontal="right"/>
    </xf>
    <xf numFmtId="0" fontId="3" fillId="4" borderId="18" xfId="0" applyFont="1" applyFill="1" applyBorder="1"/>
    <xf numFmtId="44" fontId="3" fillId="4" borderId="16" xfId="0" applyNumberFormat="1" applyFont="1" applyFill="1" applyBorder="1"/>
    <xf numFmtId="44" fontId="3" fillId="4" borderId="0" xfId="0" applyNumberFormat="1" applyFont="1" applyFill="1"/>
    <xf numFmtId="177" fontId="4" fillId="4" borderId="4" xfId="20" applyNumberFormat="1" applyFont="1" applyFill="1" applyBorder="1"/>
    <xf numFmtId="0" fontId="4" fillId="4" borderId="5" xfId="20" applyFont="1" applyFill="1" applyBorder="1"/>
    <xf numFmtId="0" fontId="4" fillId="4" borderId="12" xfId="20" applyFont="1" applyFill="1" applyBorder="1"/>
    <xf numFmtId="177" fontId="4" fillId="4" borderId="12" xfId="20" applyNumberFormat="1" applyFont="1" applyFill="1" applyBorder="1"/>
    <xf numFmtId="44" fontId="4" fillId="4" borderId="12" xfId="14" applyFont="1" applyFill="1" applyBorder="1"/>
    <xf numFmtId="9" fontId="4" fillId="4" borderId="12" xfId="20" applyNumberFormat="1" applyFont="1" applyFill="1" applyBorder="1"/>
    <xf numFmtId="44" fontId="3" fillId="4" borderId="6" xfId="14" applyFont="1" applyFill="1" applyBorder="1" applyAlignment="1">
      <alignment horizontal="right"/>
    </xf>
    <xf numFmtId="9" fontId="4" fillId="4" borderId="51" xfId="20" applyNumberFormat="1" applyFont="1" applyFill="1" applyBorder="1"/>
    <xf numFmtId="0" fontId="4" fillId="4" borderId="51" xfId="20" applyFont="1" applyFill="1" applyBorder="1"/>
    <xf numFmtId="44" fontId="4" fillId="4" borderId="51" xfId="14" applyFont="1" applyFill="1" applyBorder="1"/>
    <xf numFmtId="44" fontId="3" fillId="4" borderId="52" xfId="14" applyFont="1" applyFill="1" applyBorder="1" applyAlignment="1">
      <alignment horizontal="right"/>
    </xf>
    <xf numFmtId="44" fontId="3" fillId="4" borderId="0" xfId="14" applyFont="1" applyFill="1" applyBorder="1" applyAlignment="1">
      <alignment horizontal="right"/>
    </xf>
    <xf numFmtId="0" fontId="4" fillId="24" borderId="5" xfId="0" applyFont="1" applyFill="1" applyBorder="1"/>
    <xf numFmtId="10" fontId="4" fillId="24" borderId="12" xfId="26" applyNumberFormat="1" applyFont="1" applyFill="1" applyBorder="1"/>
    <xf numFmtId="10" fontId="4" fillId="4" borderId="12" xfId="26" applyNumberFormat="1" applyFont="1" applyFill="1" applyBorder="1"/>
    <xf numFmtId="0" fontId="4" fillId="4" borderId="6" xfId="0" applyFont="1" applyFill="1" applyBorder="1"/>
    <xf numFmtId="10" fontId="3" fillId="4" borderId="0" xfId="26" applyNumberFormat="1" applyFont="1" applyFill="1" applyBorder="1" applyAlignment="1">
      <alignment horizontal="right"/>
    </xf>
    <xf numFmtId="0" fontId="10" fillId="4" borderId="0" xfId="20" applyFont="1" applyFill="1"/>
    <xf numFmtId="0" fontId="3" fillId="12" borderId="27" xfId="20" applyFont="1" applyFill="1" applyBorder="1" applyAlignment="1">
      <alignment horizontal="center"/>
    </xf>
    <xf numFmtId="0" fontId="3" fillId="4" borderId="27" xfId="20" applyFont="1" applyFill="1" applyBorder="1" applyAlignment="1">
      <alignment horizontal="right"/>
    </xf>
    <xf numFmtId="0" fontId="4" fillId="4" borderId="27" xfId="20" applyFont="1" applyFill="1" applyBorder="1" applyAlignment="1">
      <alignment horizontal="center"/>
    </xf>
    <xf numFmtId="0" fontId="3" fillId="4" borderId="27" xfId="20" applyFont="1" applyFill="1" applyBorder="1" applyAlignment="1">
      <alignment horizontal="center"/>
    </xf>
    <xf numFmtId="0" fontId="10" fillId="4" borderId="0" xfId="20" applyFont="1" applyFill="1" applyAlignment="1">
      <alignment horizontal="center" wrapText="1"/>
    </xf>
    <xf numFmtId="0" fontId="4" fillId="4" borderId="0" xfId="20" applyFont="1" applyFill="1" applyAlignment="1">
      <alignment horizontal="right"/>
    </xf>
    <xf numFmtId="0" fontId="12" fillId="4" borderId="0" xfId="20" applyFont="1" applyFill="1" applyAlignment="1">
      <alignment horizontal="center"/>
    </xf>
    <xf numFmtId="0" fontId="12" fillId="4" borderId="9" xfId="20" applyFont="1" applyFill="1" applyBorder="1"/>
    <xf numFmtId="0" fontId="4" fillId="4" borderId="8" xfId="20" applyFont="1" applyFill="1" applyBorder="1"/>
    <xf numFmtId="0" fontId="4" fillId="4" borderId="9" xfId="20" applyFont="1" applyFill="1" applyBorder="1"/>
    <xf numFmtId="0" fontId="12" fillId="4" borderId="4" xfId="0" applyFont="1" applyFill="1" applyBorder="1" applyAlignment="1">
      <alignment horizontal="center"/>
    </xf>
    <xf numFmtId="0" fontId="4" fillId="4" borderId="11" xfId="20" applyFont="1" applyFill="1" applyBorder="1" applyAlignment="1">
      <alignment horizontal="center"/>
    </xf>
    <xf numFmtId="4" fontId="4" fillId="4" borderId="4" xfId="0" applyNumberFormat="1" applyFont="1" applyFill="1" applyBorder="1" applyAlignment="1">
      <alignment horizontal="center"/>
    </xf>
    <xf numFmtId="168" fontId="3" fillId="4" borderId="17" xfId="12" applyNumberFormat="1" applyFont="1" applyFill="1" applyBorder="1" applyAlignment="1">
      <alignment horizontal="right"/>
    </xf>
    <xf numFmtId="44" fontId="10" fillId="4" borderId="4" xfId="20" applyNumberFormat="1" applyFont="1" applyFill="1" applyBorder="1"/>
    <xf numFmtId="2" fontId="4" fillId="4" borderId="0" xfId="20" applyNumberFormat="1" applyFont="1" applyFill="1"/>
    <xf numFmtId="10" fontId="4" fillId="4" borderId="0" xfId="26" applyNumberFormat="1" applyFont="1" applyFill="1"/>
    <xf numFmtId="10" fontId="4" fillId="16" borderId="0" xfId="26" applyNumberFormat="1" applyFont="1" applyFill="1"/>
    <xf numFmtId="42" fontId="4" fillId="24" borderId="0" xfId="20" applyNumberFormat="1" applyFont="1" applyFill="1"/>
    <xf numFmtId="42" fontId="4" fillId="24" borderId="11" xfId="20" applyNumberFormat="1" applyFont="1" applyFill="1" applyBorder="1"/>
    <xf numFmtId="10" fontId="4" fillId="24" borderId="0" xfId="18" applyNumberFormat="1" applyFont="1" applyFill="1"/>
    <xf numFmtId="10" fontId="4" fillId="24" borderId="0" xfId="31" applyNumberFormat="1" applyFont="1" applyFill="1" applyBorder="1" applyAlignment="1">
      <alignment horizontal="right"/>
    </xf>
    <xf numFmtId="10" fontId="4" fillId="24" borderId="0" xfId="20" applyNumberFormat="1" applyFont="1" applyFill="1" applyAlignment="1">
      <alignment horizontal="right"/>
    </xf>
    <xf numFmtId="0" fontId="4" fillId="0" borderId="3" xfId="20" applyFont="1" applyBorder="1"/>
    <xf numFmtId="44" fontId="4" fillId="0" borderId="0" xfId="20" applyNumberFormat="1" applyFont="1"/>
    <xf numFmtId="177" fontId="3" fillId="0" borderId="0" xfId="8" applyNumberFormat="1" applyFont="1" applyFill="1" applyBorder="1"/>
    <xf numFmtId="168" fontId="4" fillId="24" borderId="11" xfId="8" applyNumberFormat="1" applyFont="1" applyFill="1" applyBorder="1"/>
    <xf numFmtId="10" fontId="3" fillId="24" borderId="0" xfId="26" applyNumberFormat="1" applyFont="1" applyFill="1" applyBorder="1" applyAlignment="1">
      <alignment horizontal="right"/>
    </xf>
    <xf numFmtId="4" fontId="4" fillId="24" borderId="0" xfId="20" applyNumberFormat="1" applyFont="1" applyFill="1"/>
    <xf numFmtId="0" fontId="4" fillId="4" borderId="10" xfId="20" applyFont="1" applyFill="1" applyBorder="1"/>
    <xf numFmtId="168" fontId="4" fillId="0" borderId="4" xfId="20" applyNumberFormat="1" applyFont="1" applyBorder="1"/>
    <xf numFmtId="0" fontId="4" fillId="24" borderId="3" xfId="20" applyFont="1" applyFill="1" applyBorder="1"/>
    <xf numFmtId="181" fontId="31" fillId="0" borderId="0" xfId="0" applyNumberFormat="1" applyFont="1" applyAlignment="1">
      <alignment horizontal="left" vertical="top"/>
    </xf>
    <xf numFmtId="0" fontId="31" fillId="0" borderId="0" xfId="0" applyFont="1" applyAlignment="1">
      <alignment horizontal="center"/>
    </xf>
    <xf numFmtId="0" fontId="0" fillId="0" borderId="0" xfId="0" applyAlignment="1">
      <alignment wrapText="1"/>
    </xf>
    <xf numFmtId="9" fontId="31" fillId="0" borderId="0" xfId="0" applyNumberFormat="1" applyFont="1" applyAlignment="1">
      <alignment horizontal="center"/>
    </xf>
    <xf numFmtId="0" fontId="31" fillId="0" borderId="0" xfId="0" applyFont="1" applyAlignment="1">
      <alignment horizontal="left" wrapText="1"/>
    </xf>
    <xf numFmtId="0" fontId="87" fillId="0" borderId="7" xfId="0" applyFont="1" applyBorder="1"/>
    <xf numFmtId="177" fontId="87" fillId="0" borderId="48" xfId="0" applyNumberFormat="1" applyFont="1" applyBorder="1" applyAlignment="1">
      <alignment horizontal="center"/>
    </xf>
    <xf numFmtId="0" fontId="87" fillId="0" borderId="8" xfId="0" applyFont="1" applyBorder="1"/>
    <xf numFmtId="177" fontId="0" fillId="0" borderId="37" xfId="0" applyNumberFormat="1" applyBorder="1"/>
    <xf numFmtId="0" fontId="87" fillId="0" borderId="3" xfId="0" applyFont="1" applyBorder="1"/>
    <xf numFmtId="178" fontId="87" fillId="0" borderId="0" xfId="0" applyNumberFormat="1" applyFont="1" applyAlignment="1">
      <alignment horizontal="center"/>
    </xf>
    <xf numFmtId="0" fontId="87" fillId="0" borderId="0" xfId="0" applyFont="1"/>
    <xf numFmtId="178" fontId="0" fillId="0" borderId="79" xfId="0" applyNumberFormat="1" applyBorder="1"/>
    <xf numFmtId="0" fontId="87" fillId="0" borderId="5" xfId="0" applyFont="1" applyBorder="1"/>
    <xf numFmtId="178" fontId="87" fillId="0" borderId="12" xfId="0" applyNumberFormat="1" applyFont="1" applyBorder="1" applyAlignment="1">
      <alignment horizontal="center"/>
    </xf>
    <xf numFmtId="0" fontId="87" fillId="0" borderId="12" xfId="0" applyFont="1" applyBorder="1"/>
    <xf numFmtId="177" fontId="56" fillId="0" borderId="0" xfId="0" applyNumberFormat="1" applyFont="1"/>
    <xf numFmtId="0" fontId="87" fillId="0" borderId="3" xfId="0" applyFont="1" applyBorder="1" applyAlignment="1">
      <alignment wrapText="1"/>
    </xf>
    <xf numFmtId="177" fontId="87" fillId="0" borderId="11" xfId="0" applyNumberFormat="1" applyFont="1" applyBorder="1" applyAlignment="1">
      <alignment horizontal="center"/>
    </xf>
    <xf numFmtId="177" fontId="0" fillId="0" borderId="76" xfId="0" applyNumberFormat="1" applyBorder="1"/>
    <xf numFmtId="0" fontId="87" fillId="0" borderId="0" xfId="0" applyFont="1" applyAlignment="1">
      <alignment horizontal="right"/>
    </xf>
    <xf numFmtId="10" fontId="87" fillId="0" borderId="0" xfId="0" applyNumberFormat="1" applyFont="1" applyAlignment="1">
      <alignment horizontal="center"/>
    </xf>
    <xf numFmtId="0" fontId="105" fillId="4" borderId="0" xfId="0" applyFont="1" applyFill="1"/>
    <xf numFmtId="0" fontId="4" fillId="4" borderId="0" xfId="20" applyFont="1" applyFill="1" applyAlignment="1">
      <alignment wrapText="1"/>
    </xf>
    <xf numFmtId="0" fontId="33" fillId="4" borderId="0" xfId="0" applyFont="1" applyFill="1"/>
    <xf numFmtId="171" fontId="3" fillId="4" borderId="0" xfId="34" applyNumberFormat="1" applyFont="1" applyFill="1" applyBorder="1"/>
    <xf numFmtId="0" fontId="4" fillId="4" borderId="7" xfId="0" applyFont="1" applyFill="1" applyBorder="1" applyAlignment="1">
      <alignment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left" vertical="center" wrapText="1"/>
    </xf>
    <xf numFmtId="166" fontId="4" fillId="4" borderId="0" xfId="20" applyNumberFormat="1" applyFont="1" applyFill="1" applyAlignment="1">
      <alignment vertical="center"/>
    </xf>
    <xf numFmtId="4" fontId="4" fillId="4" borderId="0" xfId="0" applyNumberFormat="1" applyFont="1" applyFill="1" applyAlignment="1">
      <alignment horizontal="center" vertical="center"/>
    </xf>
    <xf numFmtId="42" fontId="4" fillId="4" borderId="0" xfId="20" applyNumberFormat="1" applyFont="1" applyFill="1" applyAlignment="1">
      <alignment vertical="center"/>
    </xf>
    <xf numFmtId="4" fontId="4" fillId="4" borderId="0" xfId="20" applyNumberFormat="1" applyFont="1" applyFill="1" applyAlignment="1">
      <alignment vertical="center"/>
    </xf>
    <xf numFmtId="42" fontId="4" fillId="4" borderId="4" xfId="20" applyNumberFormat="1" applyFont="1" applyFill="1" applyBorder="1" applyAlignment="1">
      <alignment vertical="center"/>
    </xf>
    <xf numFmtId="168" fontId="3" fillId="4" borderId="13" xfId="20" applyNumberFormat="1" applyFont="1" applyFill="1" applyBorder="1"/>
    <xf numFmtId="4" fontId="3" fillId="0" borderId="13" xfId="20" applyNumberFormat="1" applyFont="1" applyBorder="1"/>
    <xf numFmtId="42" fontId="3" fillId="4" borderId="19" xfId="20" applyNumberFormat="1" applyFont="1" applyFill="1" applyBorder="1"/>
    <xf numFmtId="173" fontId="4" fillId="16" borderId="0" xfId="26" applyNumberFormat="1" applyFont="1" applyFill="1"/>
    <xf numFmtId="10" fontId="4" fillId="4" borderId="0" xfId="18" applyNumberFormat="1" applyFont="1" applyFill="1"/>
    <xf numFmtId="44" fontId="3" fillId="4" borderId="11" xfId="20" applyNumberFormat="1" applyFont="1" applyFill="1" applyBorder="1" applyAlignment="1">
      <alignment horizontal="center"/>
    </xf>
    <xf numFmtId="42" fontId="3" fillId="4" borderId="17" xfId="20" applyNumberFormat="1" applyFont="1" applyFill="1" applyBorder="1" applyAlignment="1">
      <alignment horizontal="center"/>
    </xf>
    <xf numFmtId="4" fontId="10" fillId="4" borderId="0" xfId="0" applyNumberFormat="1" applyFont="1" applyFill="1" applyAlignment="1">
      <alignment horizontal="center"/>
    </xf>
    <xf numFmtId="42" fontId="10" fillId="4" borderId="0" xfId="0" applyNumberFormat="1" applyFont="1" applyFill="1"/>
    <xf numFmtId="170" fontId="4" fillId="4" borderId="0" xfId="20" applyNumberFormat="1" applyFont="1" applyFill="1"/>
    <xf numFmtId="2" fontId="4" fillId="4" borderId="0" xfId="20" applyNumberFormat="1" applyFont="1" applyFill="1" applyAlignment="1">
      <alignment horizontal="right"/>
    </xf>
    <xf numFmtId="10" fontId="4" fillId="0" borderId="0" xfId="26" applyNumberFormat="1" applyFont="1" applyFill="1"/>
    <xf numFmtId="0" fontId="12" fillId="4" borderId="0" xfId="20" applyFont="1" applyFill="1" applyAlignment="1">
      <alignment horizontal="center" vertical="center"/>
    </xf>
    <xf numFmtId="0" fontId="4" fillId="4" borderId="4" xfId="20" applyFont="1" applyFill="1" applyBorder="1" applyAlignment="1">
      <alignment wrapText="1"/>
    </xf>
    <xf numFmtId="0" fontId="4" fillId="4" borderId="13" xfId="20" applyFont="1" applyFill="1" applyBorder="1"/>
    <xf numFmtId="42" fontId="3" fillId="4" borderId="9" xfId="20" applyNumberFormat="1" applyFont="1" applyFill="1" applyBorder="1" applyAlignment="1">
      <alignment horizontal="right"/>
    </xf>
    <xf numFmtId="42" fontId="3" fillId="4" borderId="4" xfId="20" applyNumberFormat="1" applyFont="1" applyFill="1" applyBorder="1" applyAlignment="1">
      <alignment horizontal="right"/>
    </xf>
    <xf numFmtId="44" fontId="4" fillId="4" borderId="0" xfId="20" applyNumberFormat="1" applyFont="1" applyFill="1" applyAlignment="1">
      <alignment horizontal="right"/>
    </xf>
    <xf numFmtId="44" fontId="4" fillId="0" borderId="0" xfId="26" applyNumberFormat="1" applyFont="1" applyFill="1"/>
    <xf numFmtId="43" fontId="4" fillId="4" borderId="0" xfId="0" applyNumberFormat="1" applyFont="1" applyFill="1"/>
    <xf numFmtId="44" fontId="3" fillId="4" borderId="11" xfId="20" applyNumberFormat="1" applyFont="1" applyFill="1" applyBorder="1" applyAlignment="1">
      <alignment horizontal="right"/>
    </xf>
    <xf numFmtId="168" fontId="3" fillId="4" borderId="17" xfId="14" applyNumberFormat="1" applyFont="1" applyFill="1" applyBorder="1" applyAlignment="1">
      <alignment horizontal="right"/>
    </xf>
    <xf numFmtId="43" fontId="35" fillId="4" borderId="0" xfId="0" applyNumberFormat="1" applyFont="1" applyFill="1"/>
    <xf numFmtId="0" fontId="4" fillId="4" borderId="20" xfId="20" applyFont="1" applyFill="1" applyBorder="1"/>
    <xf numFmtId="10" fontId="4" fillId="4" borderId="13" xfId="31" applyNumberFormat="1" applyFont="1" applyFill="1" applyBorder="1" applyAlignment="1">
      <alignment horizontal="center"/>
    </xf>
    <xf numFmtId="42" fontId="4" fillId="4" borderId="19" xfId="20" applyNumberFormat="1" applyFont="1" applyFill="1" applyBorder="1" applyAlignment="1">
      <alignment horizontal="right"/>
    </xf>
    <xf numFmtId="168" fontId="4" fillId="4" borderId="0" xfId="0" applyNumberFormat="1" applyFont="1" applyFill="1"/>
    <xf numFmtId="43" fontId="4" fillId="0" borderId="0" xfId="34" applyFont="1" applyFill="1"/>
    <xf numFmtId="0" fontId="4" fillId="3" borderId="3" xfId="0" applyFont="1" applyFill="1" applyBorder="1"/>
    <xf numFmtId="10" fontId="3" fillId="4" borderId="0" xfId="20" applyNumberFormat="1" applyFont="1" applyFill="1" applyAlignment="1">
      <alignment horizontal="center"/>
    </xf>
    <xf numFmtId="168" fontId="3" fillId="4" borderId="4" xfId="14" applyNumberFormat="1" applyFont="1" applyFill="1" applyBorder="1" applyAlignment="1">
      <alignment horizontal="right"/>
    </xf>
    <xf numFmtId="0" fontId="3" fillId="4" borderId="5" xfId="20" applyFont="1" applyFill="1" applyBorder="1"/>
    <xf numFmtId="44" fontId="3" fillId="3" borderId="6" xfId="14" applyFont="1" applyFill="1" applyBorder="1"/>
    <xf numFmtId="0" fontId="4" fillId="3" borderId="5" xfId="0" applyFont="1" applyFill="1" applyBorder="1"/>
    <xf numFmtId="0" fontId="4" fillId="0" borderId="12" xfId="20" applyFont="1" applyBorder="1"/>
    <xf numFmtId="0" fontId="4" fillId="4" borderId="6" xfId="0" applyFont="1" applyFill="1" applyBorder="1" applyAlignment="1">
      <alignment wrapText="1"/>
    </xf>
    <xf numFmtId="44" fontId="4" fillId="4" borderId="0" xfId="14" applyFont="1" applyFill="1" applyBorder="1" applyAlignment="1">
      <alignment horizontal="right"/>
    </xf>
    <xf numFmtId="44" fontId="3" fillId="34" borderId="0" xfId="14" applyFont="1" applyFill="1" applyBorder="1"/>
    <xf numFmtId="0" fontId="47" fillId="4" borderId="0" xfId="0" applyFont="1" applyFill="1"/>
    <xf numFmtId="9" fontId="47" fillId="4" borderId="0" xfId="26" applyFont="1" applyFill="1"/>
    <xf numFmtId="10" fontId="3" fillId="34" borderId="0" xfId="26" applyNumberFormat="1" applyFont="1" applyFill="1" applyBorder="1"/>
    <xf numFmtId="0" fontId="4" fillId="4" borderId="8" xfId="0" applyFont="1" applyFill="1" applyBorder="1"/>
    <xf numFmtId="0" fontId="3" fillId="4" borderId="0" xfId="20" applyFont="1" applyFill="1" applyAlignment="1">
      <alignment horizontal="center" vertical="center" wrapText="1"/>
    </xf>
    <xf numFmtId="44" fontId="3" fillId="4" borderId="0" xfId="8" applyFont="1" applyFill="1" applyBorder="1"/>
    <xf numFmtId="171" fontId="4" fillId="4" borderId="0" xfId="34" applyNumberFormat="1" applyFont="1" applyFill="1" applyBorder="1" applyAlignment="1">
      <alignment horizontal="center" vertical="center"/>
    </xf>
    <xf numFmtId="0" fontId="3" fillId="4" borderId="3" xfId="20" applyFont="1" applyFill="1" applyBorder="1" applyAlignment="1">
      <alignment horizontal="right"/>
    </xf>
    <xf numFmtId="0" fontId="3" fillId="4" borderId="0" xfId="20" applyFont="1" applyFill="1" applyAlignment="1">
      <alignment horizontal="right"/>
    </xf>
    <xf numFmtId="4" fontId="3" fillId="4" borderId="0" xfId="0" applyNumberFormat="1" applyFont="1" applyFill="1" applyAlignment="1">
      <alignment horizontal="center"/>
    </xf>
    <xf numFmtId="3" fontId="3" fillId="4" borderId="0" xfId="0" applyNumberFormat="1" applyFont="1" applyFill="1" applyAlignment="1">
      <alignment horizontal="right"/>
    </xf>
    <xf numFmtId="0" fontId="4" fillId="4" borderId="0" xfId="20" applyFont="1" applyFill="1" applyAlignment="1">
      <alignment vertical="center"/>
    </xf>
    <xf numFmtId="0" fontId="4" fillId="4" borderId="4" xfId="20" applyFont="1" applyFill="1" applyBorder="1" applyAlignment="1">
      <alignment vertical="center" wrapText="1"/>
    </xf>
    <xf numFmtId="0" fontId="4" fillId="4" borderId="3" xfId="20" applyFont="1" applyFill="1" applyBorder="1" applyAlignment="1">
      <alignment vertical="center" wrapText="1"/>
    </xf>
    <xf numFmtId="0" fontId="4" fillId="4" borderId="0" xfId="20" applyFont="1" applyFill="1" applyAlignment="1">
      <alignment vertical="center" wrapText="1"/>
    </xf>
    <xf numFmtId="0" fontId="4" fillId="0" borderId="0" xfId="20" applyFont="1" applyAlignment="1">
      <alignment wrapText="1"/>
    </xf>
    <xf numFmtId="0" fontId="47" fillId="0" borderId="0" xfId="0" applyFont="1"/>
    <xf numFmtId="9" fontId="47" fillId="0" borderId="0" xfId="26" applyFont="1" applyFill="1"/>
    <xf numFmtId="0" fontId="105" fillId="0" borderId="0" xfId="0" applyFont="1"/>
    <xf numFmtId="0" fontId="4" fillId="16" borderId="0" xfId="20" applyFont="1" applyFill="1" applyAlignment="1">
      <alignment wrapText="1"/>
    </xf>
    <xf numFmtId="4" fontId="58" fillId="4" borderId="0" xfId="0" applyNumberFormat="1" applyFont="1" applyFill="1" applyAlignment="1">
      <alignment horizontal="center"/>
    </xf>
    <xf numFmtId="4" fontId="58" fillId="4" borderId="8" xfId="0" applyNumberFormat="1" applyFont="1" applyFill="1" applyBorder="1" applyAlignment="1">
      <alignment horizontal="center"/>
    </xf>
    <xf numFmtId="0" fontId="27" fillId="4" borderId="0" xfId="20" applyFont="1" applyFill="1" applyAlignment="1">
      <alignment horizontal="center" vertical="center" wrapText="1"/>
    </xf>
    <xf numFmtId="3" fontId="27" fillId="4" borderId="0" xfId="0" applyNumberFormat="1" applyFont="1" applyFill="1" applyAlignment="1">
      <alignment horizontal="right"/>
    </xf>
    <xf numFmtId="0" fontId="27" fillId="4" borderId="0" xfId="20" applyFont="1" applyFill="1"/>
    <xf numFmtId="165" fontId="27" fillId="4" borderId="0" xfId="26" applyNumberFormat="1" applyFont="1" applyFill="1" applyBorder="1" applyAlignment="1">
      <alignment horizontal="center" wrapText="1"/>
    </xf>
    <xf numFmtId="42" fontId="27" fillId="4" borderId="0" xfId="0" applyNumberFormat="1" applyFont="1" applyFill="1"/>
    <xf numFmtId="10" fontId="27" fillId="4" borderId="0" xfId="26" applyNumberFormat="1" applyFont="1" applyFill="1" applyBorder="1"/>
    <xf numFmtId="4" fontId="27" fillId="4" borderId="0" xfId="0" applyNumberFormat="1" applyFont="1" applyFill="1" applyAlignment="1">
      <alignment horizontal="center"/>
    </xf>
    <xf numFmtId="170" fontId="27" fillId="4" borderId="0" xfId="20" applyNumberFormat="1" applyFont="1" applyFill="1"/>
    <xf numFmtId="10" fontId="27" fillId="4" borderId="12" xfId="26" applyNumberFormat="1" applyFont="1" applyFill="1" applyBorder="1"/>
    <xf numFmtId="171" fontId="27" fillId="4" borderId="0" xfId="34" applyNumberFormat="1" applyFont="1" applyFill="1" applyBorder="1" applyAlignment="1">
      <alignment horizontal="center"/>
    </xf>
    <xf numFmtId="171" fontId="27" fillId="4" borderId="0" xfId="34" applyNumberFormat="1" applyFont="1" applyFill="1" applyBorder="1" applyAlignment="1">
      <alignment horizontal="center" vertical="center"/>
    </xf>
    <xf numFmtId="0" fontId="27" fillId="16" borderId="0" xfId="20" applyFont="1" applyFill="1"/>
    <xf numFmtId="44" fontId="4" fillId="0" borderId="0" xfId="8" applyFont="1" applyFill="1" applyBorder="1"/>
    <xf numFmtId="10" fontId="4" fillId="60" borderId="0" xfId="18" applyNumberFormat="1" applyFont="1" applyFill="1"/>
    <xf numFmtId="42" fontId="4" fillId="60" borderId="11" xfId="20" applyNumberFormat="1" applyFont="1" applyFill="1" applyBorder="1"/>
    <xf numFmtId="42" fontId="4" fillId="60" borderId="0" xfId="20" applyNumberFormat="1" applyFont="1" applyFill="1"/>
    <xf numFmtId="42" fontId="4" fillId="60" borderId="0" xfId="20" applyNumberFormat="1" applyFont="1" applyFill="1" applyAlignment="1">
      <alignment vertical="center"/>
    </xf>
    <xf numFmtId="10" fontId="4" fillId="60" borderId="0" xfId="20" applyNumberFormat="1" applyFont="1" applyFill="1" applyAlignment="1">
      <alignment horizontal="center"/>
    </xf>
    <xf numFmtId="168" fontId="3" fillId="4" borderId="4" xfId="14" applyNumberFormat="1" applyFont="1" applyFill="1" applyBorder="1"/>
    <xf numFmtId="10" fontId="4" fillId="60" borderId="0" xfId="20" applyNumberFormat="1" applyFont="1" applyFill="1"/>
    <xf numFmtId="10" fontId="4" fillId="4" borderId="0" xfId="20" applyNumberFormat="1" applyFont="1" applyFill="1"/>
    <xf numFmtId="177" fontId="4" fillId="0" borderId="0" xfId="20" applyNumberFormat="1" applyFont="1"/>
    <xf numFmtId="44" fontId="3" fillId="3" borderId="4" xfId="14" applyFont="1" applyFill="1" applyBorder="1"/>
    <xf numFmtId="4" fontId="4" fillId="23" borderId="0" xfId="0" applyNumberFormat="1" applyFont="1" applyFill="1" applyAlignment="1">
      <alignment horizontal="left"/>
    </xf>
    <xf numFmtId="0" fontId="4" fillId="23" borderId="0" xfId="0" applyFont="1" applyFill="1" applyAlignment="1">
      <alignment horizontal="left"/>
    </xf>
    <xf numFmtId="0" fontId="4" fillId="23" borderId="4" xfId="0" applyFont="1" applyFill="1" applyBorder="1" applyAlignment="1">
      <alignment horizontal="left"/>
    </xf>
    <xf numFmtId="10" fontId="4" fillId="23" borderId="0" xfId="20" applyNumberFormat="1" applyFont="1" applyFill="1"/>
    <xf numFmtId="170" fontId="4" fillId="4" borderId="0" xfId="0" applyNumberFormat="1" applyFont="1" applyFill="1"/>
    <xf numFmtId="0" fontId="0" fillId="0" borderId="0" xfId="0" applyAlignment="1">
      <alignment horizontal="center" wrapText="1"/>
    </xf>
    <xf numFmtId="0" fontId="106" fillId="0" borderId="7" xfId="0" applyFont="1" applyBorder="1"/>
    <xf numFmtId="0" fontId="107" fillId="0" borderId="8" xfId="0" applyFont="1" applyBorder="1" applyAlignment="1">
      <alignment horizontal="center"/>
    </xf>
    <xf numFmtId="0" fontId="107" fillId="0" borderId="8" xfId="0" applyFont="1" applyBorder="1" applyAlignment="1">
      <alignment horizontal="center" wrapText="1"/>
    </xf>
    <xf numFmtId="0" fontId="107" fillId="0" borderId="8" xfId="0" applyFont="1" applyBorder="1"/>
    <xf numFmtId="0" fontId="107" fillId="0" borderId="9" xfId="0" applyFont="1" applyBorder="1"/>
    <xf numFmtId="0" fontId="106" fillId="0" borderId="3" xfId="0" applyFont="1" applyBorder="1"/>
    <xf numFmtId="14" fontId="108" fillId="0" borderId="0" xfId="0" applyNumberFormat="1" applyFont="1" applyAlignment="1">
      <alignment horizontal="left"/>
    </xf>
    <xf numFmtId="14" fontId="108" fillId="0" borderId="0" xfId="0" applyNumberFormat="1" applyFont="1" applyAlignment="1">
      <alignment horizontal="center" wrapText="1"/>
    </xf>
    <xf numFmtId="0" fontId="107" fillId="0" borderId="0" xfId="0" applyFont="1" applyAlignment="1">
      <alignment horizontal="center"/>
    </xf>
    <xf numFmtId="0" fontId="107" fillId="0" borderId="0" xfId="0" applyFont="1"/>
    <xf numFmtId="0" fontId="107" fillId="0" borderId="4" xfId="0" applyFont="1" applyBorder="1"/>
    <xf numFmtId="0" fontId="47" fillId="0" borderId="3" xfId="0" applyFont="1" applyBorder="1"/>
    <xf numFmtId="0" fontId="109" fillId="13" borderId="71" xfId="0" applyFont="1" applyFill="1" applyBorder="1" applyAlignment="1">
      <alignment horizontal="center"/>
    </xf>
    <xf numFmtId="0" fontId="109" fillId="13" borderId="71" xfId="0" applyFont="1" applyFill="1" applyBorder="1" applyAlignment="1">
      <alignment horizontal="center" wrapText="1"/>
    </xf>
    <xf numFmtId="0" fontId="109" fillId="61" borderId="71" xfId="0" applyFont="1" applyFill="1" applyBorder="1" applyAlignment="1">
      <alignment horizontal="center"/>
    </xf>
    <xf numFmtId="0" fontId="109" fillId="61" borderId="38" xfId="0" applyFont="1" applyFill="1" applyBorder="1" applyAlignment="1">
      <alignment horizontal="center"/>
    </xf>
    <xf numFmtId="0" fontId="109" fillId="61" borderId="38" xfId="0" applyFont="1" applyFill="1" applyBorder="1" applyAlignment="1">
      <alignment horizontal="center" wrapText="1"/>
    </xf>
    <xf numFmtId="0" fontId="109" fillId="0" borderId="38" xfId="0" applyFont="1" applyBorder="1" applyAlignment="1">
      <alignment horizontal="center" wrapText="1"/>
    </xf>
    <xf numFmtId="0" fontId="109" fillId="0" borderId="23" xfId="0" applyFont="1" applyBorder="1" applyAlignment="1">
      <alignment horizontal="right"/>
    </xf>
    <xf numFmtId="178" fontId="109" fillId="0" borderId="36" xfId="0" applyNumberFormat="1" applyFont="1" applyBorder="1" applyAlignment="1">
      <alignment horizontal="center"/>
    </xf>
    <xf numFmtId="178" fontId="109" fillId="0" borderId="56" xfId="0" applyNumberFormat="1" applyFont="1" applyBorder="1" applyAlignment="1">
      <alignment horizontal="center"/>
    </xf>
    <xf numFmtId="10" fontId="31" fillId="0" borderId="27" xfId="0" applyNumberFormat="1" applyFont="1" applyBorder="1" applyAlignment="1">
      <alignment horizontal="center"/>
    </xf>
    <xf numFmtId="0" fontId="109" fillId="0" borderId="40" xfId="0" applyFont="1" applyBorder="1" applyAlignment="1">
      <alignment horizontal="right"/>
    </xf>
    <xf numFmtId="178" fontId="31" fillId="0" borderId="111" xfId="0" applyNumberFormat="1" applyFont="1" applyBorder="1" applyAlignment="1">
      <alignment horizontal="center"/>
    </xf>
    <xf numFmtId="178" fontId="31" fillId="0" borderId="27" xfId="0" applyNumberFormat="1" applyFont="1" applyBorder="1" applyAlignment="1">
      <alignment horizontal="center"/>
    </xf>
    <xf numFmtId="5" fontId="31" fillId="0" borderId="27" xfId="8" applyNumberFormat="1" applyFont="1" applyFill="1" applyBorder="1" applyAlignment="1">
      <alignment horizontal="center"/>
    </xf>
    <xf numFmtId="5" fontId="31" fillId="0" borderId="25" xfId="8" applyNumberFormat="1" applyFont="1" applyFill="1" applyBorder="1" applyAlignment="1">
      <alignment horizontal="center"/>
    </xf>
    <xf numFmtId="10" fontId="109" fillId="0" borderId="25" xfId="0" applyNumberFormat="1" applyFont="1" applyBorder="1" applyAlignment="1">
      <alignment horizontal="center"/>
    </xf>
    <xf numFmtId="0" fontId="109" fillId="0" borderId="19" xfId="0" applyFont="1" applyBorder="1"/>
    <xf numFmtId="0" fontId="109" fillId="0" borderId="3" xfId="0" applyFont="1" applyBorder="1" applyAlignment="1">
      <alignment horizontal="right"/>
    </xf>
    <xf numFmtId="178" fontId="31" fillId="0" borderId="71" xfId="0" applyNumberFormat="1" applyFont="1" applyBorder="1" applyAlignment="1">
      <alignment horizontal="center"/>
    </xf>
    <xf numFmtId="10" fontId="109" fillId="0" borderId="13" xfId="0" applyNumberFormat="1" applyFont="1" applyBorder="1" applyAlignment="1">
      <alignment horizontal="center"/>
    </xf>
    <xf numFmtId="37" fontId="31" fillId="0" borderId="71" xfId="34" applyNumberFormat="1" applyFont="1" applyBorder="1" applyAlignment="1">
      <alignment horizontal="center"/>
    </xf>
    <xf numFmtId="10" fontId="47" fillId="0" borderId="13" xfId="0" applyNumberFormat="1" applyFont="1" applyBorder="1" applyAlignment="1">
      <alignment horizontal="center"/>
    </xf>
    <xf numFmtId="0" fontId="47" fillId="0" borderId="19" xfId="0" applyFont="1" applyBorder="1"/>
    <xf numFmtId="0" fontId="109" fillId="0" borderId="71" xfId="0" applyFont="1" applyBorder="1" applyAlignment="1">
      <alignment horizontal="right"/>
    </xf>
    <xf numFmtId="177" fontId="109" fillId="0" borderId="71" xfId="0" applyNumberFormat="1" applyFont="1" applyBorder="1" applyAlignment="1">
      <alignment horizontal="center"/>
    </xf>
    <xf numFmtId="0" fontId="47" fillId="0" borderId="13" xfId="0" applyFont="1" applyBorder="1"/>
    <xf numFmtId="0" fontId="110" fillId="0" borderId="38" xfId="0" applyFont="1" applyBorder="1" applyAlignment="1">
      <alignment horizontal="center"/>
    </xf>
    <xf numFmtId="7" fontId="110" fillId="0" borderId="71" xfId="8" applyNumberFormat="1" applyFont="1" applyFill="1" applyBorder="1" applyAlignment="1">
      <alignment horizontal="center"/>
    </xf>
    <xf numFmtId="7" fontId="110" fillId="0" borderId="35" xfId="8" applyNumberFormat="1" applyFont="1" applyFill="1" applyBorder="1" applyAlignment="1">
      <alignment horizontal="center"/>
    </xf>
    <xf numFmtId="0" fontId="47" fillId="0" borderId="4" xfId="0" applyFont="1" applyBorder="1"/>
    <xf numFmtId="0" fontId="31" fillId="0" borderId="5" xfId="0" applyFont="1" applyBorder="1" applyAlignment="1">
      <alignment horizontal="center"/>
    </xf>
    <xf numFmtId="10" fontId="0" fillId="0" borderId="79" xfId="26" applyNumberFormat="1" applyFont="1" applyBorder="1" applyAlignment="1">
      <alignment horizontal="center"/>
    </xf>
    <xf numFmtId="0" fontId="0" fillId="0" borderId="4" xfId="0" applyBorder="1"/>
    <xf numFmtId="0" fontId="0" fillId="0" borderId="3" xfId="0" applyBorder="1"/>
    <xf numFmtId="0" fontId="0" fillId="0" borderId="5" xfId="0" applyBorder="1"/>
    <xf numFmtId="0" fontId="0" fillId="0" borderId="12" xfId="0" applyBorder="1" applyAlignment="1">
      <alignment horizontal="center"/>
    </xf>
    <xf numFmtId="0" fontId="0" fillId="0" borderId="12" xfId="0" applyBorder="1" applyAlignment="1">
      <alignment horizontal="center" wrapText="1"/>
    </xf>
    <xf numFmtId="0" fontId="0" fillId="0" borderId="12" xfId="0" applyBorder="1"/>
    <xf numFmtId="0" fontId="0" fillId="0" borderId="6" xfId="0" applyBorder="1"/>
    <xf numFmtId="0" fontId="47" fillId="13" borderId="0" xfId="0" applyFont="1" applyFill="1"/>
    <xf numFmtId="0" fontId="0" fillId="13" borderId="0" xfId="0" applyFill="1" applyAlignment="1">
      <alignment horizontal="center"/>
    </xf>
    <xf numFmtId="0" fontId="0" fillId="13" borderId="0" xfId="0" applyFill="1" applyAlignment="1">
      <alignment horizontal="center" wrapText="1"/>
    </xf>
    <xf numFmtId="0" fontId="0" fillId="61" borderId="0" xfId="0" applyFill="1"/>
    <xf numFmtId="0" fontId="0" fillId="61" borderId="0" xfId="0" applyFill="1" applyAlignment="1">
      <alignment horizontal="center"/>
    </xf>
    <xf numFmtId="0" fontId="111" fillId="62" borderId="7" xfId="98" applyFont="1" applyFill="1" applyBorder="1"/>
    <xf numFmtId="0" fontId="111" fillId="62" borderId="8" xfId="98" applyFont="1" applyFill="1" applyBorder="1"/>
    <xf numFmtId="0" fontId="111" fillId="62" borderId="8" xfId="98" applyFont="1" applyFill="1" applyBorder="1" applyAlignment="1">
      <alignment horizontal="center"/>
    </xf>
    <xf numFmtId="164" fontId="111" fillId="62" borderId="9" xfId="98" applyNumberFormat="1" applyFont="1" applyFill="1" applyBorder="1" applyAlignment="1">
      <alignment horizontal="center"/>
    </xf>
    <xf numFmtId="0" fontId="112" fillId="62" borderId="3" xfId="98" applyFont="1" applyFill="1" applyBorder="1"/>
    <xf numFmtId="0" fontId="112" fillId="62" borderId="0" xfId="98" applyFont="1" applyFill="1" applyAlignment="1">
      <alignment horizontal="right"/>
    </xf>
    <xf numFmtId="0" fontId="113" fillId="62" borderId="0" xfId="98" applyFont="1" applyFill="1" applyAlignment="1">
      <alignment horizontal="center"/>
    </xf>
    <xf numFmtId="0" fontId="112" fillId="62" borderId="4" xfId="98" applyFont="1" applyFill="1" applyBorder="1" applyAlignment="1">
      <alignment horizontal="center"/>
    </xf>
    <xf numFmtId="0" fontId="114" fillId="0" borderId="0" xfId="0" applyFont="1"/>
    <xf numFmtId="0" fontId="112" fillId="62" borderId="10" xfId="98" applyFont="1" applyFill="1" applyBorder="1"/>
    <xf numFmtId="0" fontId="112" fillId="62" borderId="11" xfId="98" applyFont="1" applyFill="1" applyBorder="1" applyAlignment="1">
      <alignment horizontal="right"/>
    </xf>
    <xf numFmtId="1" fontId="113" fillId="62" borderId="11" xfId="98" applyNumberFormat="1" applyFont="1" applyFill="1" applyBorder="1" applyAlignment="1">
      <alignment horizontal="center"/>
    </xf>
    <xf numFmtId="1" fontId="112" fillId="62" borderId="17" xfId="98" applyNumberFormat="1" applyFont="1" applyFill="1" applyBorder="1" applyAlignment="1">
      <alignment horizontal="center"/>
    </xf>
    <xf numFmtId="0" fontId="114" fillId="0" borderId="0" xfId="0" applyFont="1" applyAlignment="1">
      <alignment horizontal="left"/>
    </xf>
    <xf numFmtId="0" fontId="112" fillId="62" borderId="10" xfId="98" applyFont="1" applyFill="1" applyBorder="1" applyAlignment="1">
      <alignment horizontal="left"/>
    </xf>
    <xf numFmtId="0" fontId="115" fillId="62" borderId="11" xfId="98" applyFont="1" applyFill="1" applyBorder="1" applyAlignment="1">
      <alignment horizontal="right"/>
    </xf>
    <xf numFmtId="0" fontId="112" fillId="62" borderId="17" xfId="98" applyFont="1" applyFill="1" applyBorder="1" applyAlignment="1">
      <alignment horizontal="center"/>
    </xf>
    <xf numFmtId="0" fontId="112" fillId="62" borderId="0" xfId="98" applyFont="1" applyFill="1"/>
    <xf numFmtId="1" fontId="112" fillId="62" borderId="4" xfId="98" applyNumberFormat="1" applyFont="1" applyFill="1" applyBorder="1" applyAlignment="1">
      <alignment horizontal="center"/>
    </xf>
    <xf numFmtId="0" fontId="112" fillId="62" borderId="5" xfId="98" applyFont="1" applyFill="1" applyBorder="1"/>
    <xf numFmtId="0" fontId="112" fillId="62" borderId="12" xfId="98" applyFont="1" applyFill="1" applyBorder="1"/>
    <xf numFmtId="0" fontId="112" fillId="62" borderId="12" xfId="98" applyFont="1" applyFill="1" applyBorder="1" applyAlignment="1">
      <alignment horizontal="right"/>
    </xf>
    <xf numFmtId="1" fontId="112" fillId="62" borderId="6" xfId="98" applyNumberFormat="1" applyFont="1" applyFill="1" applyBorder="1" applyAlignment="1">
      <alignment horizontal="center"/>
    </xf>
    <xf numFmtId="0" fontId="112" fillId="62" borderId="6" xfId="98" applyFont="1" applyFill="1" applyBorder="1" applyAlignment="1">
      <alignment horizontal="center"/>
    </xf>
    <xf numFmtId="177" fontId="0" fillId="0" borderId="0" xfId="0" applyNumberFormat="1" applyAlignment="1">
      <alignment horizontal="center"/>
    </xf>
    <xf numFmtId="182" fontId="0" fillId="0" borderId="0" xfId="0" applyNumberFormat="1" applyAlignment="1">
      <alignment horizontal="center"/>
    </xf>
    <xf numFmtId="170" fontId="4" fillId="0" borderId="0" xfId="0" applyNumberFormat="1" applyFont="1"/>
    <xf numFmtId="42" fontId="41" fillId="4" borderId="0" xfId="0" applyNumberFormat="1" applyFont="1" applyFill="1" applyAlignment="1">
      <alignment horizontal="center"/>
    </xf>
    <xf numFmtId="4" fontId="3" fillId="4" borderId="13" xfId="20" applyNumberFormat="1" applyFont="1" applyFill="1" applyBorder="1"/>
    <xf numFmtId="44" fontId="4" fillId="24" borderId="0" xfId="20" applyNumberFormat="1" applyFont="1" applyFill="1" applyAlignment="1">
      <alignment horizontal="right"/>
    </xf>
    <xf numFmtId="44" fontId="10" fillId="0" borderId="4" xfId="8" applyFont="1" applyFill="1" applyBorder="1" applyAlignment="1">
      <alignment horizontal="left"/>
    </xf>
    <xf numFmtId="44" fontId="4" fillId="4" borderId="4" xfId="8" applyFont="1" applyFill="1" applyBorder="1"/>
    <xf numFmtId="168" fontId="4" fillId="4" borderId="4" xfId="20" applyNumberFormat="1" applyFont="1" applyFill="1" applyBorder="1" applyAlignment="1">
      <alignment horizontal="right"/>
    </xf>
    <xf numFmtId="177" fontId="4" fillId="4" borderId="0" xfId="0" applyNumberFormat="1" applyFont="1" applyFill="1"/>
    <xf numFmtId="0" fontId="4" fillId="0" borderId="0" xfId="0" applyFont="1"/>
    <xf numFmtId="168" fontId="3" fillId="4" borderId="19" xfId="14" applyNumberFormat="1" applyFont="1" applyFill="1" applyBorder="1" applyAlignment="1">
      <alignment horizontal="right"/>
    </xf>
    <xf numFmtId="0" fontId="4" fillId="24" borderId="0" xfId="20" applyFont="1" applyFill="1"/>
    <xf numFmtId="0" fontId="4" fillId="4" borderId="11" xfId="20" applyFont="1" applyFill="1" applyBorder="1"/>
    <xf numFmtId="168" fontId="3" fillId="4" borderId="17" xfId="14" applyNumberFormat="1" applyFont="1" applyFill="1" applyBorder="1"/>
    <xf numFmtId="0" fontId="4" fillId="4" borderId="38" xfId="20" applyFont="1" applyFill="1" applyBorder="1"/>
    <xf numFmtId="0" fontId="4" fillId="4" borderId="24" xfId="20" applyFont="1" applyFill="1" applyBorder="1"/>
    <xf numFmtId="44" fontId="4" fillId="4" borderId="0" xfId="8" applyFont="1" applyFill="1"/>
    <xf numFmtId="10" fontId="4" fillId="0" borderId="0" xfId="26" applyNumberFormat="1" applyFont="1"/>
    <xf numFmtId="4" fontId="4" fillId="4" borderId="4" xfId="20" applyNumberFormat="1" applyFont="1" applyFill="1" applyBorder="1"/>
    <xf numFmtId="4" fontId="4" fillId="4" borderId="12" xfId="0" applyNumberFormat="1" applyFont="1" applyFill="1" applyBorder="1" applyAlignment="1">
      <alignment horizontal="center"/>
    </xf>
    <xf numFmtId="0" fontId="4" fillId="4" borderId="6" xfId="20" applyFont="1" applyFill="1" applyBorder="1"/>
    <xf numFmtId="42" fontId="4" fillId="4" borderId="4" xfId="20" applyNumberFormat="1" applyFont="1" applyFill="1" applyBorder="1" applyAlignment="1">
      <alignment horizontal="center"/>
    </xf>
    <xf numFmtId="44" fontId="4" fillId="4" borderId="11" xfId="20" applyNumberFormat="1" applyFont="1" applyFill="1" applyBorder="1" applyAlignment="1">
      <alignment horizontal="right"/>
    </xf>
    <xf numFmtId="44" fontId="4" fillId="4" borderId="24" xfId="14" applyFont="1" applyFill="1" applyBorder="1"/>
    <xf numFmtId="0" fontId="3" fillId="4" borderId="14" xfId="20" applyFont="1" applyFill="1" applyBorder="1"/>
    <xf numFmtId="0" fontId="3" fillId="4" borderId="38" xfId="20" applyFont="1" applyFill="1" applyBorder="1"/>
    <xf numFmtId="0" fontId="3" fillId="4" borderId="24" xfId="20" applyFont="1" applyFill="1" applyBorder="1"/>
    <xf numFmtId="0" fontId="4" fillId="14" borderId="7" xfId="20" applyFont="1" applyFill="1" applyBorder="1"/>
    <xf numFmtId="0" fontId="4" fillId="14" borderId="8" xfId="20" applyFont="1" applyFill="1" applyBorder="1" applyAlignment="1">
      <alignment horizontal="center"/>
    </xf>
    <xf numFmtId="164" fontId="4" fillId="14" borderId="9" xfId="20" applyNumberFormat="1" applyFont="1" applyFill="1" applyBorder="1" applyAlignment="1">
      <alignment horizontal="center"/>
    </xf>
    <xf numFmtId="164" fontId="4" fillId="4" borderId="0" xfId="20" applyNumberFormat="1" applyFont="1" applyFill="1" applyAlignment="1">
      <alignment horizontal="center"/>
    </xf>
    <xf numFmtId="0" fontId="4" fillId="4" borderId="8" xfId="20" applyFont="1" applyFill="1" applyBorder="1" applyAlignment="1">
      <alignment horizontal="right"/>
    </xf>
    <xf numFmtId="3" fontId="4" fillId="4" borderId="9" xfId="20" applyNumberFormat="1" applyFont="1" applyFill="1" applyBorder="1"/>
    <xf numFmtId="0" fontId="79" fillId="4" borderId="8" xfId="0" applyFont="1" applyFill="1" applyBorder="1" applyAlignment="1">
      <alignment horizontal="center" wrapText="1"/>
    </xf>
    <xf numFmtId="0" fontId="79" fillId="4" borderId="9" xfId="20" applyFont="1" applyFill="1" applyBorder="1"/>
    <xf numFmtId="0" fontId="4" fillId="4" borderId="11" xfId="20" applyFont="1" applyFill="1" applyBorder="1" applyAlignment="1">
      <alignment wrapText="1"/>
    </xf>
    <xf numFmtId="0" fontId="79" fillId="4" borderId="0" xfId="0" applyFont="1" applyFill="1" applyAlignment="1">
      <alignment horizontal="center"/>
    </xf>
    <xf numFmtId="0" fontId="79" fillId="4" borderId="4" xfId="20" applyFont="1" applyFill="1" applyBorder="1"/>
    <xf numFmtId="0" fontId="4" fillId="4" borderId="4" xfId="20" applyFont="1" applyFill="1" applyBorder="1" applyAlignment="1">
      <alignment horizontal="center"/>
    </xf>
    <xf numFmtId="4" fontId="79" fillId="4" borderId="0" xfId="0" applyNumberFormat="1" applyFont="1" applyFill="1"/>
    <xf numFmtId="4" fontId="79" fillId="4" borderId="0" xfId="0" applyNumberFormat="1" applyFont="1" applyFill="1" applyAlignment="1">
      <alignment horizontal="center"/>
    </xf>
    <xf numFmtId="0" fontId="4" fillId="0" borderId="3" xfId="0" applyFont="1" applyBorder="1"/>
    <xf numFmtId="168" fontId="4" fillId="4" borderId="19" xfId="14" applyNumberFormat="1" applyFont="1" applyFill="1" applyBorder="1" applyAlignment="1">
      <alignment horizontal="right"/>
    </xf>
    <xf numFmtId="44" fontId="4" fillId="4" borderId="11" xfId="20" applyNumberFormat="1" applyFont="1" applyFill="1" applyBorder="1"/>
    <xf numFmtId="44" fontId="4" fillId="4" borderId="17" xfId="14" applyFont="1" applyFill="1" applyBorder="1"/>
    <xf numFmtId="0" fontId="4" fillId="4" borderId="21" xfId="20" applyFont="1" applyFill="1" applyBorder="1"/>
    <xf numFmtId="42" fontId="4" fillId="4" borderId="22" xfId="20" applyNumberFormat="1" applyFont="1" applyFill="1" applyBorder="1" applyAlignment="1">
      <alignment horizontal="right"/>
    </xf>
    <xf numFmtId="0" fontId="79" fillId="0" borderId="3" xfId="20" applyFont="1" applyBorder="1"/>
    <xf numFmtId="16" fontId="79" fillId="4" borderId="0" xfId="20" quotePrefix="1" applyNumberFormat="1" applyFont="1" applyFill="1" applyAlignment="1">
      <alignment horizontal="center"/>
    </xf>
    <xf numFmtId="0" fontId="79" fillId="4" borderId="0" xfId="20" quotePrefix="1" applyFont="1" applyFill="1" applyAlignment="1">
      <alignment horizontal="center"/>
    </xf>
    <xf numFmtId="49" fontId="79" fillId="4" borderId="0" xfId="20" quotePrefix="1" applyNumberFormat="1" applyFont="1" applyFill="1" applyAlignment="1">
      <alignment horizontal="center"/>
    </xf>
    <xf numFmtId="3" fontId="4" fillId="4" borderId="4" xfId="20" applyNumberFormat="1" applyFont="1" applyFill="1" applyBorder="1"/>
    <xf numFmtId="44" fontId="4" fillId="0" borderId="3" xfId="20" applyNumberFormat="1" applyFont="1" applyBorder="1" applyAlignment="1">
      <alignment horizontal="left"/>
    </xf>
    <xf numFmtId="44" fontId="4" fillId="0" borderId="4" xfId="20" applyNumberFormat="1" applyFont="1" applyBorder="1"/>
    <xf numFmtId="44" fontId="4" fillId="0" borderId="0" xfId="20" applyNumberFormat="1" applyFont="1" applyAlignment="1">
      <alignment horizontal="right"/>
    </xf>
    <xf numFmtId="168" fontId="4" fillId="0" borderId="4" xfId="20" applyNumberFormat="1" applyFont="1" applyBorder="1" applyAlignment="1">
      <alignment horizontal="right"/>
    </xf>
    <xf numFmtId="42" fontId="4" fillId="23" borderId="0" xfId="20" applyNumberFormat="1" applyFont="1" applyFill="1"/>
    <xf numFmtId="44" fontId="4" fillId="23" borderId="0" xfId="20" applyNumberFormat="1" applyFont="1" applyFill="1" applyAlignment="1">
      <alignment horizontal="right"/>
    </xf>
    <xf numFmtId="0" fontId="4" fillId="23" borderId="3" xfId="20" applyFont="1" applyFill="1" applyBorder="1"/>
    <xf numFmtId="10" fontId="4" fillId="23" borderId="0" xfId="18" applyNumberFormat="1" applyFont="1" applyFill="1"/>
    <xf numFmtId="168" fontId="4" fillId="4" borderId="22" xfId="20" applyNumberFormat="1" applyFont="1" applyFill="1" applyBorder="1" applyAlignment="1">
      <alignment horizontal="right"/>
    </xf>
    <xf numFmtId="10" fontId="4" fillId="23" borderId="0" xfId="20" applyNumberFormat="1" applyFont="1" applyFill="1" applyAlignment="1">
      <alignment horizontal="right"/>
    </xf>
    <xf numFmtId="44" fontId="3" fillId="3" borderId="35" xfId="20" applyNumberFormat="1" applyFont="1" applyFill="1" applyBorder="1"/>
    <xf numFmtId="164" fontId="27" fillId="4" borderId="0" xfId="20" applyNumberFormat="1" applyFont="1" applyFill="1" applyAlignment="1">
      <alignment horizontal="center"/>
    </xf>
    <xf numFmtId="0" fontId="27" fillId="4" borderId="0" xfId="20" applyFont="1" applyFill="1" applyAlignment="1">
      <alignment horizontal="center"/>
    </xf>
    <xf numFmtId="165" fontId="27" fillId="4" borderId="0" xfId="28" applyNumberFormat="1" applyFont="1" applyFill="1" applyBorder="1" applyAlignment="1">
      <alignment horizontal="center"/>
    </xf>
    <xf numFmtId="0" fontId="27" fillId="4" borderId="8" xfId="0" applyFont="1" applyFill="1" applyBorder="1" applyAlignment="1">
      <alignment horizontal="center"/>
    </xf>
    <xf numFmtId="0" fontId="27" fillId="4" borderId="0" xfId="0" applyFont="1" applyFill="1"/>
    <xf numFmtId="42" fontId="27" fillId="24" borderId="0" xfId="0" applyNumberFormat="1" applyFont="1" applyFill="1"/>
    <xf numFmtId="10" fontId="27" fillId="24" borderId="0" xfId="0" applyNumberFormat="1" applyFont="1" applyFill="1"/>
    <xf numFmtId="0" fontId="27" fillId="4" borderId="0" xfId="0" applyFont="1" applyFill="1" applyAlignment="1">
      <alignment horizontal="center"/>
    </xf>
    <xf numFmtId="4" fontId="58" fillId="4" borderId="0" xfId="0" applyNumberFormat="1" applyFont="1" applyFill="1"/>
    <xf numFmtId="4" fontId="27" fillId="4" borderId="0" xfId="0" applyNumberFormat="1" applyFont="1" applyFill="1"/>
    <xf numFmtId="44" fontId="27" fillId="23" borderId="0" xfId="8" applyFont="1" applyFill="1" applyBorder="1"/>
    <xf numFmtId="0" fontId="27" fillId="0" borderId="0" xfId="0" applyFont="1"/>
    <xf numFmtId="0" fontId="27" fillId="4" borderId="0" xfId="20" applyFont="1" applyFill="1" applyAlignment="1">
      <alignment wrapText="1"/>
    </xf>
    <xf numFmtId="0" fontId="4" fillId="0" borderId="4" xfId="20" applyFont="1" applyBorder="1" applyAlignment="1">
      <alignment horizontal="center"/>
    </xf>
    <xf numFmtId="0" fontId="4" fillId="0" borderId="17" xfId="20" applyFont="1" applyBorder="1" applyAlignment="1">
      <alignment horizontal="center"/>
    </xf>
    <xf numFmtId="0" fontId="4" fillId="0" borderId="0" xfId="20" applyFont="1" applyAlignment="1">
      <alignment horizontal="right"/>
    </xf>
    <xf numFmtId="0" fontId="4" fillId="0" borderId="5" xfId="20" applyFont="1" applyBorder="1"/>
    <xf numFmtId="0" fontId="4" fillId="0" borderId="12" xfId="20" applyFont="1" applyBorder="1" applyAlignment="1">
      <alignment horizontal="right"/>
    </xf>
    <xf numFmtId="165" fontId="4" fillId="0" borderId="6" xfId="28" applyNumberFormat="1" applyFont="1" applyFill="1" applyBorder="1" applyAlignment="1">
      <alignment horizontal="center"/>
    </xf>
    <xf numFmtId="0" fontId="58" fillId="0" borderId="8" xfId="0" applyFont="1" applyBorder="1" applyAlignment="1">
      <alignment horizontal="center"/>
    </xf>
    <xf numFmtId="42" fontId="27" fillId="0" borderId="0" xfId="0" applyNumberFormat="1" applyFont="1"/>
    <xf numFmtId="0" fontId="4" fillId="0" borderId="3" xfId="0" applyFont="1" applyBorder="1" applyAlignment="1">
      <alignment vertical="center"/>
    </xf>
    <xf numFmtId="0" fontId="10" fillId="0" borderId="3" xfId="20" applyFont="1" applyBorder="1"/>
    <xf numFmtId="0" fontId="58" fillId="0" borderId="0" xfId="0" applyFont="1" applyAlignment="1">
      <alignment horizontal="center"/>
    </xf>
    <xf numFmtId="10" fontId="27" fillId="0" borderId="0" xfId="26" applyNumberFormat="1" applyFont="1" applyFill="1" applyBorder="1"/>
    <xf numFmtId="0" fontId="27" fillId="0" borderId="0" xfId="0" applyFont="1" applyAlignment="1">
      <alignment horizontal="center"/>
    </xf>
    <xf numFmtId="4" fontId="58" fillId="0" borderId="0" xfId="0" applyNumberFormat="1" applyFont="1" applyAlignment="1">
      <alignment horizontal="center"/>
    </xf>
    <xf numFmtId="170" fontId="27" fillId="0" borderId="0" xfId="0" applyNumberFormat="1" applyFont="1"/>
    <xf numFmtId="0" fontId="4" fillId="0" borderId="3" xfId="20" applyFont="1" applyBorder="1" applyAlignment="1">
      <alignment wrapText="1"/>
    </xf>
    <xf numFmtId="168" fontId="27" fillId="0" borderId="0" xfId="8" applyNumberFormat="1" applyFont="1" applyFill="1" applyBorder="1"/>
    <xf numFmtId="169" fontId="4" fillId="0" borderId="0" xfId="20" applyNumberFormat="1" applyFont="1"/>
    <xf numFmtId="0" fontId="3" fillId="0" borderId="0" xfId="20" applyFont="1"/>
    <xf numFmtId="0" fontId="4" fillId="0" borderId="3" xfId="20" applyFont="1" applyBorder="1" applyAlignment="1">
      <alignment vertical="center"/>
    </xf>
    <xf numFmtId="0" fontId="4" fillId="0" borderId="0" xfId="20" applyFont="1" applyAlignment="1">
      <alignment horizontal="center"/>
    </xf>
    <xf numFmtId="0" fontId="4" fillId="0" borderId="4" xfId="20" applyFont="1" applyBorder="1"/>
    <xf numFmtId="0" fontId="4" fillId="0" borderId="7" xfId="0" applyFont="1" applyBorder="1"/>
    <xf numFmtId="0" fontId="3" fillId="0" borderId="10" xfId="20" applyFont="1" applyBorder="1"/>
    <xf numFmtId="0" fontId="3" fillId="0" borderId="11" xfId="20" applyFont="1" applyBorder="1" applyAlignment="1">
      <alignment horizontal="center"/>
    </xf>
    <xf numFmtId="0" fontId="3" fillId="0" borderId="17" xfId="20" applyFont="1" applyBorder="1" applyAlignment="1">
      <alignment horizontal="center"/>
    </xf>
    <xf numFmtId="0" fontId="4" fillId="0" borderId="8" xfId="0" applyFont="1" applyBorder="1"/>
    <xf numFmtId="0" fontId="4" fillId="0" borderId="9" xfId="20" applyFont="1" applyBorder="1"/>
    <xf numFmtId="4" fontId="4" fillId="0" borderId="0" xfId="0" applyNumberFormat="1" applyFont="1" applyAlignment="1">
      <alignment horizontal="center"/>
    </xf>
    <xf numFmtId="42" fontId="4" fillId="0" borderId="0" xfId="0" applyNumberFormat="1" applyFont="1"/>
    <xf numFmtId="166" fontId="4" fillId="0" borderId="0" xfId="20" applyNumberFormat="1" applyFont="1"/>
    <xf numFmtId="42" fontId="4" fillId="0" borderId="0" xfId="20" applyNumberFormat="1" applyFont="1"/>
    <xf numFmtId="4" fontId="4" fillId="0" borderId="0" xfId="20" applyNumberFormat="1" applyFont="1"/>
    <xf numFmtId="42" fontId="4" fillId="0" borderId="4" xfId="20" applyNumberFormat="1" applyFont="1" applyBorder="1"/>
    <xf numFmtId="2" fontId="4" fillId="0" borderId="0" xfId="20" applyNumberFormat="1" applyFont="1"/>
    <xf numFmtId="180" fontId="4" fillId="0" borderId="0" xfId="20" applyNumberFormat="1" applyFont="1"/>
    <xf numFmtId="0" fontId="4" fillId="0" borderId="4" xfId="20" applyFont="1" applyBorder="1" applyAlignment="1">
      <alignment wrapText="1"/>
    </xf>
    <xf numFmtId="0" fontId="4" fillId="0" borderId="4" xfId="20" applyFont="1" applyBorder="1" applyAlignment="1">
      <alignment horizontal="left" wrapText="1"/>
    </xf>
    <xf numFmtId="4" fontId="4" fillId="0" borderId="0" xfId="0" applyNumberFormat="1" applyFont="1" applyAlignment="1">
      <alignment horizontal="center" vertical="center"/>
    </xf>
    <xf numFmtId="0" fontId="3" fillId="0" borderId="20" xfId="20" applyFont="1" applyBorder="1"/>
    <xf numFmtId="0" fontId="3" fillId="0" borderId="13" xfId="20" applyFont="1" applyBorder="1"/>
    <xf numFmtId="42" fontId="3" fillId="0" borderId="19" xfId="20" applyNumberFormat="1" applyFont="1" applyBorder="1"/>
    <xf numFmtId="42" fontId="4" fillId="0" borderId="4" xfId="20" applyNumberFormat="1" applyFont="1" applyBorder="1" applyAlignment="1">
      <alignment horizontal="right"/>
    </xf>
    <xf numFmtId="44" fontId="3" fillId="0" borderId="13" xfId="20" applyNumberFormat="1" applyFont="1" applyBorder="1"/>
    <xf numFmtId="42" fontId="3" fillId="0" borderId="19" xfId="20" applyNumberFormat="1" applyFont="1" applyBorder="1" applyAlignment="1">
      <alignment horizontal="right"/>
    </xf>
    <xf numFmtId="0" fontId="3" fillId="0" borderId="11" xfId="20" applyFont="1" applyBorder="1"/>
    <xf numFmtId="44" fontId="3" fillId="0" borderId="11" xfId="20" applyNumberFormat="1" applyFont="1" applyBorder="1" applyAlignment="1">
      <alignment horizontal="center"/>
    </xf>
    <xf numFmtId="42" fontId="3" fillId="0" borderId="17" xfId="20" applyNumberFormat="1" applyFont="1" applyBorder="1" applyAlignment="1">
      <alignment horizontal="center"/>
    </xf>
    <xf numFmtId="10" fontId="4" fillId="0" borderId="0" xfId="26" applyNumberFormat="1" applyFont="1" applyFill="1" applyBorder="1"/>
    <xf numFmtId="2" fontId="4" fillId="0" borderId="0" xfId="20" applyNumberFormat="1" applyFont="1" applyAlignment="1">
      <alignment horizontal="right"/>
    </xf>
    <xf numFmtId="0" fontId="4" fillId="0" borderId="0" xfId="0" applyFont="1" applyAlignment="1">
      <alignment horizontal="center"/>
    </xf>
    <xf numFmtId="0" fontId="4" fillId="0" borderId="13" xfId="20" applyFont="1" applyBorder="1"/>
    <xf numFmtId="4" fontId="4" fillId="0" borderId="4" xfId="20" applyNumberFormat="1" applyFont="1" applyBorder="1"/>
    <xf numFmtId="4" fontId="4" fillId="0" borderId="0" xfId="0" applyNumberFormat="1" applyFont="1"/>
    <xf numFmtId="44" fontId="4" fillId="0" borderId="11" xfId="20" applyNumberFormat="1" applyFont="1" applyBorder="1" applyAlignment="1">
      <alignment horizontal="right"/>
    </xf>
    <xf numFmtId="168" fontId="3" fillId="0" borderId="19" xfId="14" applyNumberFormat="1" applyFont="1" applyFill="1" applyBorder="1" applyAlignment="1">
      <alignment horizontal="right"/>
    </xf>
    <xf numFmtId="168" fontId="4" fillId="0" borderId="0" xfId="8" applyNumberFormat="1" applyFont="1" applyFill="1" applyBorder="1"/>
    <xf numFmtId="168" fontId="3" fillId="0" borderId="19" xfId="14" applyNumberFormat="1" applyFont="1" applyFill="1" applyBorder="1"/>
    <xf numFmtId="0" fontId="4" fillId="0" borderId="4" xfId="0" applyFont="1" applyBorder="1" applyAlignment="1">
      <alignment horizontal="left"/>
    </xf>
    <xf numFmtId="44" fontId="4" fillId="0" borderId="0" xfId="14" applyFont="1" applyFill="1" applyBorder="1"/>
    <xf numFmtId="44" fontId="4" fillId="0" borderId="4" xfId="14" applyFont="1" applyFill="1" applyBorder="1"/>
    <xf numFmtId="10" fontId="4" fillId="0" borderId="0" xfId="31" applyNumberFormat="1" applyFont="1" applyFill="1" applyBorder="1" applyAlignment="1">
      <alignment horizontal="right"/>
    </xf>
    <xf numFmtId="10" fontId="4" fillId="0" borderId="0" xfId="20" applyNumberFormat="1" applyFont="1"/>
    <xf numFmtId="0" fontId="3" fillId="0" borderId="21" xfId="20" applyFont="1" applyBorder="1"/>
    <xf numFmtId="0" fontId="4" fillId="0" borderId="14" xfId="20" applyFont="1" applyBorder="1"/>
    <xf numFmtId="42" fontId="3" fillId="0" borderId="22" xfId="20" applyNumberFormat="1" applyFont="1" applyBorder="1" applyAlignment="1">
      <alignment horizontal="right"/>
    </xf>
    <xf numFmtId="0" fontId="4" fillId="0" borderId="4" xfId="0" applyFont="1" applyBorder="1"/>
    <xf numFmtId="10" fontId="4" fillId="0" borderId="0" xfId="20" applyNumberFormat="1" applyFont="1" applyAlignment="1">
      <alignment horizontal="right"/>
    </xf>
    <xf numFmtId="168" fontId="4" fillId="0" borderId="22" xfId="14" applyNumberFormat="1" applyFont="1" applyFill="1" applyBorder="1" applyAlignment="1">
      <alignment horizontal="right"/>
    </xf>
    <xf numFmtId="2" fontId="4" fillId="0" borderId="0" xfId="34" applyNumberFormat="1" applyFont="1" applyFill="1"/>
    <xf numFmtId="0" fontId="4" fillId="0" borderId="0" xfId="20" applyFont="1" applyAlignment="1">
      <alignment horizontal="left"/>
    </xf>
    <xf numFmtId="0" fontId="4" fillId="0" borderId="4" xfId="20" applyFont="1" applyBorder="1" applyAlignment="1">
      <alignment horizontal="left"/>
    </xf>
    <xf numFmtId="44" fontId="4" fillId="0" borderId="12" xfId="14" applyFont="1" applyFill="1" applyBorder="1"/>
    <xf numFmtId="4" fontId="4" fillId="0" borderId="4" xfId="0" applyNumberFormat="1" applyFont="1" applyBorder="1" applyAlignment="1">
      <alignment horizontal="left"/>
    </xf>
    <xf numFmtId="9" fontId="4" fillId="0" borderId="0" xfId="20" applyNumberFormat="1" applyFont="1"/>
    <xf numFmtId="4" fontId="4" fillId="0" borderId="0" xfId="0" applyNumberFormat="1" applyFont="1" applyAlignment="1">
      <alignment horizontal="left"/>
    </xf>
    <xf numFmtId="4" fontId="4" fillId="0" borderId="4" xfId="0" applyNumberFormat="1" applyFont="1" applyBorder="1" applyAlignment="1">
      <alignment horizontal="left" vertical="center"/>
    </xf>
    <xf numFmtId="4" fontId="4" fillId="0" borderId="0" xfId="20" applyNumberFormat="1" applyFont="1" applyAlignment="1">
      <alignment horizontal="center"/>
    </xf>
    <xf numFmtId="4" fontId="4" fillId="0" borderId="12" xfId="0" applyNumberFormat="1" applyFont="1" applyBorder="1" applyAlignment="1">
      <alignment horizontal="center"/>
    </xf>
    <xf numFmtId="4" fontId="4" fillId="0" borderId="6" xfId="0" applyNumberFormat="1" applyFont="1" applyBorder="1" applyAlignment="1">
      <alignment horizontal="left"/>
    </xf>
    <xf numFmtId="166" fontId="4" fillId="0" borderId="0" xfId="20" applyNumberFormat="1" applyFont="1" applyAlignment="1">
      <alignment vertical="center"/>
    </xf>
    <xf numFmtId="42" fontId="4" fillId="0" borderId="4" xfId="20" applyNumberFormat="1" applyFont="1" applyBorder="1" applyAlignment="1">
      <alignment vertical="center"/>
    </xf>
    <xf numFmtId="168" fontId="4" fillId="0" borderId="4" xfId="14" applyNumberFormat="1" applyFont="1" applyFill="1" applyBorder="1" applyAlignment="1">
      <alignment horizontal="right"/>
    </xf>
    <xf numFmtId="168" fontId="4" fillId="0" borderId="4" xfId="14" applyNumberFormat="1" applyFont="1" applyFill="1" applyBorder="1"/>
    <xf numFmtId="0" fontId="4" fillId="0" borderId="38" xfId="20" applyFont="1" applyBorder="1"/>
    <xf numFmtId="9" fontId="4" fillId="0" borderId="24" xfId="20" applyNumberFormat="1" applyFont="1" applyBorder="1"/>
    <xf numFmtId="0" fontId="4" fillId="0" borderId="24" xfId="20" applyFont="1" applyBorder="1"/>
    <xf numFmtId="44" fontId="4" fillId="0" borderId="24" xfId="14" applyFont="1" applyFill="1" applyBorder="1"/>
    <xf numFmtId="0" fontId="4" fillId="0" borderId="4" xfId="20" applyFont="1" applyBorder="1" applyAlignment="1">
      <alignment horizontal="right"/>
    </xf>
    <xf numFmtId="9" fontId="4" fillId="0" borderId="12" xfId="20" applyNumberFormat="1" applyFont="1" applyBorder="1"/>
    <xf numFmtId="177" fontId="4" fillId="0" borderId="4" xfId="20" applyNumberFormat="1" applyFont="1" applyBorder="1" applyAlignment="1">
      <alignment horizontal="right"/>
    </xf>
    <xf numFmtId="177" fontId="4" fillId="0" borderId="4" xfId="20" applyNumberFormat="1" applyFont="1" applyBorder="1"/>
    <xf numFmtId="42" fontId="4" fillId="0" borderId="22" xfId="20" applyNumberFormat="1" applyFont="1" applyBorder="1" applyAlignment="1">
      <alignment horizontal="right"/>
    </xf>
    <xf numFmtId="0" fontId="3" fillId="0" borderId="5" xfId="20" applyFont="1" applyBorder="1"/>
    <xf numFmtId="0" fontId="3" fillId="0" borderId="14" xfId="20" applyFont="1" applyBorder="1"/>
    <xf numFmtId="0" fontId="3" fillId="0" borderId="12" xfId="20" applyFont="1" applyBorder="1"/>
    <xf numFmtId="44" fontId="3" fillId="0" borderId="12" xfId="14" applyFont="1" applyFill="1" applyBorder="1"/>
    <xf numFmtId="0" fontId="79" fillId="0" borderId="0" xfId="20" applyFont="1"/>
    <xf numFmtId="0" fontId="4" fillId="0" borderId="7" xfId="20" applyFont="1" applyBorder="1"/>
    <xf numFmtId="0" fontId="4" fillId="0" borderId="8" xfId="20" applyFont="1" applyBorder="1" applyAlignment="1">
      <alignment horizontal="center"/>
    </xf>
    <xf numFmtId="164" fontId="4" fillId="0" borderId="9" xfId="20" applyNumberFormat="1" applyFont="1" applyBorder="1" applyAlignment="1">
      <alignment horizontal="center"/>
    </xf>
    <xf numFmtId="164" fontId="4" fillId="0" borderId="0" xfId="20" applyNumberFormat="1" applyFont="1" applyAlignment="1">
      <alignment horizontal="center"/>
    </xf>
    <xf numFmtId="165" fontId="4" fillId="0" borderId="0" xfId="28" applyNumberFormat="1" applyFont="1" applyFill="1" applyBorder="1" applyAlignment="1">
      <alignment horizontal="center"/>
    </xf>
    <xf numFmtId="0" fontId="4" fillId="0" borderId="8" xfId="20" applyFont="1" applyBorder="1"/>
    <xf numFmtId="0" fontId="4" fillId="0" borderId="8" xfId="20" applyFont="1" applyBorder="1" applyAlignment="1">
      <alignment horizontal="right"/>
    </xf>
    <xf numFmtId="3" fontId="4" fillId="0" borderId="9" xfId="20" applyNumberFormat="1" applyFont="1" applyBorder="1"/>
    <xf numFmtId="0" fontId="79" fillId="0" borderId="8" xfId="0" applyFont="1" applyBorder="1" applyAlignment="1">
      <alignment horizontal="center" wrapText="1"/>
    </xf>
    <xf numFmtId="0" fontId="79" fillId="0" borderId="8" xfId="0" applyFont="1" applyBorder="1" applyAlignment="1">
      <alignment horizontal="center" vertical="center" wrapText="1"/>
    </xf>
    <xf numFmtId="0" fontId="79" fillId="0" borderId="9" xfId="20" applyFont="1" applyBorder="1"/>
    <xf numFmtId="0" fontId="4" fillId="0" borderId="10" xfId="20" applyFont="1" applyBorder="1"/>
    <xf numFmtId="0" fontId="4" fillId="0" borderId="11" xfId="20" applyFont="1" applyBorder="1" applyAlignment="1">
      <alignment wrapText="1"/>
    </xf>
    <xf numFmtId="0" fontId="4" fillId="0" borderId="11" xfId="20" applyFont="1" applyBorder="1" applyAlignment="1">
      <alignment horizontal="center"/>
    </xf>
    <xf numFmtId="0" fontId="79" fillId="0" borderId="8" xfId="0" applyFont="1" applyBorder="1" applyAlignment="1">
      <alignment horizontal="center"/>
    </xf>
    <xf numFmtId="0" fontId="4" fillId="0" borderId="20" xfId="20" applyFont="1" applyBorder="1"/>
    <xf numFmtId="4" fontId="4" fillId="0" borderId="13" xfId="20" applyNumberFormat="1" applyFont="1" applyBorder="1"/>
    <xf numFmtId="42" fontId="4" fillId="0" borderId="19" xfId="20" applyNumberFormat="1" applyFont="1" applyBorder="1"/>
    <xf numFmtId="42" fontId="10" fillId="0" borderId="0" xfId="0" applyNumberFormat="1" applyFont="1"/>
    <xf numFmtId="44" fontId="4" fillId="0" borderId="13" xfId="20" applyNumberFormat="1" applyFont="1" applyBorder="1"/>
    <xf numFmtId="42" fontId="4" fillId="0" borderId="19" xfId="20" applyNumberFormat="1" applyFont="1" applyBorder="1" applyAlignment="1">
      <alignment horizontal="right"/>
    </xf>
    <xf numFmtId="0" fontId="79" fillId="0" borderId="0" xfId="0" applyFont="1" applyAlignment="1">
      <alignment horizontal="center"/>
    </xf>
    <xf numFmtId="0" fontId="4" fillId="0" borderId="11" xfId="20" applyFont="1" applyBorder="1"/>
    <xf numFmtId="44" fontId="4" fillId="0" borderId="11" xfId="20" applyNumberFormat="1" applyFont="1" applyBorder="1" applyAlignment="1">
      <alignment horizontal="center"/>
    </xf>
    <xf numFmtId="42" fontId="4" fillId="0" borderId="17" xfId="20" applyNumberFormat="1" applyFont="1" applyBorder="1" applyAlignment="1">
      <alignment horizontal="center"/>
    </xf>
    <xf numFmtId="4" fontId="79" fillId="0" borderId="0" xfId="0" applyNumberFormat="1" applyFont="1"/>
    <xf numFmtId="4" fontId="79" fillId="0" borderId="0" xfId="0" applyNumberFormat="1" applyFont="1" applyAlignment="1">
      <alignment horizontal="center"/>
    </xf>
    <xf numFmtId="0" fontId="10" fillId="0" borderId="3" xfId="0" applyFont="1" applyBorder="1"/>
    <xf numFmtId="0" fontId="10" fillId="0" borderId="0" xfId="0" applyFont="1"/>
    <xf numFmtId="44" fontId="10" fillId="0" borderId="0" xfId="8" applyFont="1" applyFill="1" applyBorder="1"/>
    <xf numFmtId="168" fontId="4" fillId="0" borderId="19" xfId="14" applyNumberFormat="1" applyFont="1" applyFill="1" applyBorder="1" applyAlignment="1">
      <alignment horizontal="right"/>
    </xf>
    <xf numFmtId="168" fontId="4" fillId="0" borderId="19" xfId="14" applyNumberFormat="1" applyFont="1" applyFill="1" applyBorder="1"/>
    <xf numFmtId="0" fontId="4" fillId="0" borderId="21" xfId="20" applyFont="1" applyBorder="1"/>
    <xf numFmtId="0" fontId="79" fillId="0" borderId="0" xfId="20" applyFont="1" applyAlignment="1">
      <alignment horizontal="center"/>
    </xf>
    <xf numFmtId="0" fontId="79" fillId="0" borderId="4" xfId="20" applyFont="1" applyBorder="1" applyAlignment="1">
      <alignment horizontal="left"/>
    </xf>
    <xf numFmtId="44" fontId="4" fillId="0" borderId="0" xfId="14" applyFont="1" applyFill="1" applyBorder="1" applyAlignment="1">
      <alignment horizontal="right"/>
    </xf>
    <xf numFmtId="4" fontId="4" fillId="0" borderId="4" xfId="20" applyNumberFormat="1" applyFont="1" applyBorder="1" applyAlignment="1">
      <alignment horizontal="left"/>
    </xf>
    <xf numFmtId="0" fontId="79" fillId="0" borderId="4" xfId="20" applyFont="1" applyBorder="1" applyAlignment="1">
      <alignment horizontal="right"/>
    </xf>
    <xf numFmtId="44" fontId="4" fillId="0" borderId="35" xfId="14" applyFont="1" applyFill="1" applyBorder="1" applyAlignment="1">
      <alignment horizontal="right"/>
    </xf>
    <xf numFmtId="44" fontId="4" fillId="0" borderId="6" xfId="14" applyFont="1" applyFill="1" applyBorder="1" applyAlignment="1">
      <alignment horizontal="right"/>
    </xf>
    <xf numFmtId="168" fontId="4" fillId="0" borderId="19" xfId="20" applyNumberFormat="1" applyFont="1" applyBorder="1" applyAlignment="1">
      <alignment horizontal="right"/>
    </xf>
    <xf numFmtId="177" fontId="4" fillId="0" borderId="6" xfId="14" applyNumberFormat="1" applyFont="1" applyFill="1" applyBorder="1" applyAlignment="1">
      <alignment horizontal="right"/>
    </xf>
    <xf numFmtId="177" fontId="4" fillId="0" borderId="0" xfId="14" applyNumberFormat="1" applyFont="1" applyFill="1" applyBorder="1" applyAlignment="1">
      <alignment horizontal="right"/>
    </xf>
    <xf numFmtId="10" fontId="4" fillId="60" borderId="0" xfId="26" applyNumberFormat="1" applyFont="1" applyFill="1" applyBorder="1"/>
    <xf numFmtId="10" fontId="27" fillId="60" borderId="0" xfId="26" applyNumberFormat="1" applyFont="1" applyFill="1" applyBorder="1"/>
    <xf numFmtId="42" fontId="27" fillId="60" borderId="0" xfId="0" applyNumberFormat="1" applyFont="1" applyFill="1"/>
    <xf numFmtId="42" fontId="27" fillId="60" borderId="0" xfId="0" applyNumberFormat="1" applyFont="1" applyFill="1" applyAlignment="1">
      <alignment vertical="center"/>
    </xf>
    <xf numFmtId="10" fontId="4" fillId="60" borderId="0" xfId="20" applyNumberFormat="1" applyFont="1" applyFill="1" applyAlignment="1">
      <alignment horizontal="right"/>
    </xf>
    <xf numFmtId="168" fontId="3" fillId="0" borderId="17" xfId="14" applyNumberFormat="1" applyFont="1" applyFill="1" applyBorder="1" applyAlignment="1">
      <alignment horizontal="right"/>
    </xf>
    <xf numFmtId="168" fontId="4" fillId="0" borderId="22" xfId="20" applyNumberFormat="1" applyFont="1" applyBorder="1" applyAlignment="1">
      <alignment horizontal="right"/>
    </xf>
    <xf numFmtId="10" fontId="122" fillId="0" borderId="0" xfId="26" applyNumberFormat="1" applyFont="1" applyFill="1" applyAlignment="1">
      <alignment horizontal="left"/>
    </xf>
    <xf numFmtId="178" fontId="4" fillId="0" borderId="22" xfId="20" applyNumberFormat="1" applyFont="1" applyBorder="1" applyAlignment="1">
      <alignment horizontal="right"/>
    </xf>
    <xf numFmtId="0" fontId="6" fillId="4" borderId="8" xfId="0" applyFont="1" applyFill="1" applyBorder="1" applyAlignment="1">
      <alignment horizontal="center"/>
    </xf>
    <xf numFmtId="0" fontId="41" fillId="0" borderId="10" xfId="0" applyFont="1" applyBorder="1"/>
    <xf numFmtId="0" fontId="41" fillId="0" borderId="11" xfId="0" applyFont="1" applyBorder="1"/>
    <xf numFmtId="44" fontId="41" fillId="0" borderId="11" xfId="8" applyFont="1" applyFill="1" applyBorder="1"/>
    <xf numFmtId="10" fontId="7" fillId="33" borderId="0" xfId="20" applyNumberFormat="1" applyFont="1" applyFill="1"/>
    <xf numFmtId="10" fontId="9" fillId="33" borderId="12" xfId="26" applyNumberFormat="1" applyFont="1" applyFill="1" applyBorder="1"/>
    <xf numFmtId="0" fontId="7" fillId="33" borderId="3" xfId="20" applyFont="1" applyFill="1" applyBorder="1"/>
    <xf numFmtId="0" fontId="7" fillId="33" borderId="5" xfId="0" applyFont="1" applyFill="1" applyBorder="1"/>
    <xf numFmtId="0" fontId="21" fillId="0" borderId="4" xfId="20" applyFont="1" applyBorder="1"/>
    <xf numFmtId="10" fontId="8" fillId="33" borderId="0" xfId="31" applyNumberFormat="1" applyFont="1" applyFill="1" applyBorder="1" applyAlignment="1">
      <alignment horizontal="right"/>
    </xf>
    <xf numFmtId="42" fontId="8" fillId="33" borderId="0" xfId="20" applyNumberFormat="1" applyFont="1" applyFill="1" applyAlignment="1">
      <alignment vertical="center"/>
    </xf>
    <xf numFmtId="42" fontId="8" fillId="33" borderId="0" xfId="20" applyNumberFormat="1" applyFont="1" applyFill="1"/>
    <xf numFmtId="10" fontId="8" fillId="33" borderId="0" xfId="18" applyNumberFormat="1" applyFont="1" applyFill="1"/>
    <xf numFmtId="0" fontId="7" fillId="33" borderId="0" xfId="20" applyFont="1" applyFill="1"/>
    <xf numFmtId="10" fontId="9" fillId="33" borderId="0" xfId="20" applyNumberFormat="1" applyFont="1" applyFill="1" applyAlignment="1">
      <alignment horizontal="right"/>
    </xf>
    <xf numFmtId="0" fontId="57" fillId="4" borderId="8" xfId="0" applyFont="1" applyFill="1" applyBorder="1" applyAlignment="1">
      <alignment horizontal="center" vertical="center"/>
    </xf>
    <xf numFmtId="42" fontId="27" fillId="33" borderId="0" xfId="0" applyNumberFormat="1" applyFont="1" applyFill="1"/>
    <xf numFmtId="42" fontId="27" fillId="33" borderId="0" xfId="0" applyNumberFormat="1" applyFont="1" applyFill="1" applyAlignment="1">
      <alignment vertical="center"/>
    </xf>
    <xf numFmtId="4" fontId="9" fillId="3" borderId="0" xfId="20" applyNumberFormat="1" applyFont="1" applyFill="1"/>
    <xf numFmtId="10" fontId="7" fillId="33" borderId="0" xfId="26" applyNumberFormat="1" applyFont="1" applyFill="1" applyBorder="1" applyAlignment="1">
      <alignment horizontal="right"/>
    </xf>
    <xf numFmtId="10" fontId="9" fillId="33" borderId="0" xfId="26" applyNumberFormat="1" applyFont="1" applyFill="1" applyBorder="1"/>
    <xf numFmtId="0" fontId="7" fillId="33" borderId="3" xfId="0" applyFont="1" applyFill="1" applyBorder="1"/>
    <xf numFmtId="4" fontId="9" fillId="33" borderId="0" xfId="20" applyNumberFormat="1" applyFont="1" applyFill="1"/>
    <xf numFmtId="10" fontId="9" fillId="4" borderId="4" xfId="26" applyNumberFormat="1" applyFont="1" applyFill="1" applyBorder="1"/>
    <xf numFmtId="178" fontId="27" fillId="0" borderId="8" xfId="0" applyNumberFormat="1" applyFont="1" applyBorder="1" applyAlignment="1">
      <alignment horizontal="center"/>
    </xf>
    <xf numFmtId="42" fontId="27" fillId="4" borderId="0" xfId="0" applyNumberFormat="1" applyFont="1" applyFill="1" applyAlignment="1">
      <alignment vertical="center"/>
    </xf>
    <xf numFmtId="42" fontId="13" fillId="33" borderId="0" xfId="0" applyNumberFormat="1" applyFont="1" applyFill="1" applyAlignment="1">
      <alignment vertical="center"/>
    </xf>
    <xf numFmtId="42" fontId="13" fillId="33" borderId="0" xfId="0" applyNumberFormat="1" applyFont="1" applyFill="1"/>
    <xf numFmtId="0" fontId="13" fillId="33" borderId="0" xfId="0" applyFont="1" applyFill="1"/>
    <xf numFmtId="42" fontId="51" fillId="33" borderId="0" xfId="0" applyNumberFormat="1" applyFont="1" applyFill="1"/>
    <xf numFmtId="168" fontId="6" fillId="4" borderId="4" xfId="14" applyNumberFormat="1" applyFont="1" applyFill="1" applyBorder="1" applyAlignment="1">
      <alignment horizontal="right"/>
    </xf>
    <xf numFmtId="0" fontId="21" fillId="0" borderId="3" xfId="20" applyFont="1" applyBorder="1"/>
    <xf numFmtId="0" fontId="29" fillId="12" borderId="38" xfId="20" applyFont="1" applyFill="1" applyBorder="1" applyAlignment="1">
      <alignment horizontal="left"/>
    </xf>
    <xf numFmtId="0" fontId="63" fillId="0" borderId="71" xfId="0" applyFont="1" applyBorder="1" applyAlignment="1">
      <alignment horizontal="center" vertical="center"/>
    </xf>
    <xf numFmtId="0" fontId="63" fillId="0" borderId="35" xfId="0" applyFont="1" applyBorder="1" applyAlignment="1">
      <alignment horizontal="center" vertical="center"/>
    </xf>
    <xf numFmtId="0" fontId="75" fillId="0" borderId="79" xfId="0" applyFont="1" applyBorder="1" applyAlignment="1">
      <alignment vertical="center"/>
    </xf>
    <xf numFmtId="8" fontId="75" fillId="0" borderId="6" xfId="0" applyNumberFormat="1" applyFont="1" applyBorder="1" applyAlignment="1">
      <alignment horizontal="center" vertical="center"/>
    </xf>
    <xf numFmtId="0" fontId="75" fillId="0" borderId="6" xfId="0" applyFont="1" applyBorder="1" applyAlignment="1">
      <alignment horizontal="center" vertical="center"/>
    </xf>
    <xf numFmtId="8" fontId="61" fillId="0" borderId="6" xfId="0" applyNumberFormat="1" applyFont="1" applyBorder="1" applyAlignment="1">
      <alignment horizontal="center" vertical="center"/>
    </xf>
    <xf numFmtId="44" fontId="6" fillId="3" borderId="52" xfId="14" applyFont="1" applyFill="1" applyBorder="1" applyAlignment="1">
      <alignment horizontal="right"/>
    </xf>
    <xf numFmtId="177" fontId="6" fillId="3" borderId="52" xfId="14" applyNumberFormat="1" applyFont="1" applyFill="1" applyBorder="1" applyAlignment="1">
      <alignment horizontal="right"/>
    </xf>
    <xf numFmtId="8" fontId="61" fillId="0" borderId="12" xfId="0" applyNumberFormat="1" applyFont="1" applyBorder="1" applyAlignment="1">
      <alignment horizontal="center" vertical="center"/>
    </xf>
    <xf numFmtId="0" fontId="75" fillId="0" borderId="79" xfId="0" applyFont="1" applyBorder="1" applyAlignment="1">
      <alignment horizontal="left" vertical="center" indent="4"/>
    </xf>
    <xf numFmtId="0" fontId="61" fillId="0" borderId="9" xfId="0" applyFont="1" applyBorder="1" applyAlignment="1">
      <alignment horizontal="center" vertical="center"/>
    </xf>
    <xf numFmtId="0" fontId="61" fillId="0" borderId="73" xfId="0" applyFont="1" applyBorder="1" applyAlignment="1">
      <alignment horizontal="center" vertical="center"/>
    </xf>
    <xf numFmtId="8" fontId="61" fillId="0" borderId="116" xfId="0" applyNumberFormat="1" applyFont="1" applyBorder="1" applyAlignment="1">
      <alignment horizontal="center" vertical="center"/>
    </xf>
    <xf numFmtId="10" fontId="0" fillId="0" borderId="116" xfId="26" applyNumberFormat="1" applyFont="1" applyBorder="1"/>
    <xf numFmtId="42" fontId="4" fillId="4" borderId="3" xfId="20" applyNumberFormat="1" applyFont="1" applyFill="1" applyBorder="1"/>
    <xf numFmtId="4" fontId="17" fillId="4" borderId="0" xfId="20" applyNumberFormat="1" applyFill="1"/>
    <xf numFmtId="0" fontId="29" fillId="12" borderId="24" xfId="20" applyFont="1" applyFill="1" applyBorder="1" applyAlignment="1">
      <alignment horizontal="center"/>
    </xf>
    <xf numFmtId="0" fontId="29" fillId="12" borderId="35" xfId="20" applyFont="1" applyFill="1" applyBorder="1" applyAlignment="1">
      <alignment horizontal="center"/>
    </xf>
    <xf numFmtId="0" fontId="4" fillId="5" borderId="3" xfId="0" applyFont="1" applyFill="1" applyBorder="1"/>
    <xf numFmtId="9" fontId="4" fillId="4" borderId="0" xfId="26" applyFont="1" applyFill="1" applyBorder="1" applyAlignment="1">
      <alignment horizontal="center" wrapText="1"/>
    </xf>
    <xf numFmtId="4" fontId="4" fillId="5" borderId="0" xfId="0" applyNumberFormat="1" applyFont="1" applyFill="1" applyAlignment="1">
      <alignment horizontal="center"/>
    </xf>
    <xf numFmtId="42" fontId="41" fillId="5" borderId="0" xfId="0" applyNumberFormat="1" applyFont="1" applyFill="1"/>
    <xf numFmtId="4" fontId="4" fillId="4" borderId="3" xfId="20" applyNumberFormat="1" applyFont="1" applyFill="1" applyBorder="1"/>
    <xf numFmtId="0" fontId="4" fillId="5" borderId="3" xfId="20" applyFont="1" applyFill="1" applyBorder="1"/>
    <xf numFmtId="0" fontId="87" fillId="0" borderId="0" xfId="0" applyFont="1" applyAlignment="1">
      <alignment horizontal="center"/>
    </xf>
    <xf numFmtId="0" fontId="87" fillId="0" borderId="16" xfId="0" applyFont="1" applyBorder="1" applyAlignment="1">
      <alignment horizontal="center"/>
    </xf>
    <xf numFmtId="0" fontId="87" fillId="0" borderId="16" xfId="0" applyFont="1" applyBorder="1" applyAlignment="1">
      <alignment horizontal="right"/>
    </xf>
    <xf numFmtId="0" fontId="123" fillId="0" borderId="0" xfId="0" applyFont="1" applyAlignment="1">
      <alignment horizontal="center"/>
    </xf>
    <xf numFmtId="178" fontId="87" fillId="0" borderId="16" xfId="0" applyNumberFormat="1" applyFont="1" applyBorder="1" applyAlignment="1">
      <alignment horizontal="right"/>
    </xf>
    <xf numFmtId="178" fontId="87" fillId="0" borderId="0" xfId="0" applyNumberFormat="1" applyFont="1" applyAlignment="1">
      <alignment horizontal="right"/>
    </xf>
    <xf numFmtId="2" fontId="87" fillId="0" borderId="0" xfId="0" applyNumberFormat="1" applyFont="1" applyAlignment="1">
      <alignment horizontal="center"/>
    </xf>
    <xf numFmtId="178" fontId="123" fillId="0" borderId="13" xfId="0" applyNumberFormat="1" applyFont="1" applyBorder="1" applyAlignment="1">
      <alignment horizontal="right"/>
    </xf>
    <xf numFmtId="2" fontId="123" fillId="0" borderId="13" xfId="0" applyNumberFormat="1" applyFont="1" applyBorder="1" applyAlignment="1">
      <alignment horizontal="center"/>
    </xf>
    <xf numFmtId="0" fontId="123" fillId="0" borderId="13" xfId="0" applyFont="1" applyBorder="1" applyAlignment="1">
      <alignment horizontal="center"/>
    </xf>
    <xf numFmtId="0" fontId="123" fillId="0" borderId="16" xfId="0" applyFont="1" applyBorder="1" applyAlignment="1">
      <alignment horizontal="center"/>
    </xf>
    <xf numFmtId="3" fontId="87" fillId="0" borderId="0" xfId="0" applyNumberFormat="1" applyFont="1" applyAlignment="1">
      <alignment horizontal="center"/>
    </xf>
    <xf numFmtId="177" fontId="124" fillId="0" borderId="0" xfId="0" applyNumberFormat="1" applyFont="1" applyAlignment="1">
      <alignment horizontal="center"/>
    </xf>
    <xf numFmtId="0" fontId="124" fillId="0" borderId="0" xfId="0" applyFont="1" applyAlignment="1">
      <alignment horizontal="center"/>
    </xf>
    <xf numFmtId="0" fontId="123" fillId="0" borderId="14" xfId="0" applyFont="1" applyBorder="1" applyAlignment="1">
      <alignment horizontal="center"/>
    </xf>
    <xf numFmtId="10" fontId="124" fillId="0" borderId="0" xfId="0" applyNumberFormat="1" applyFont="1" applyAlignment="1">
      <alignment horizontal="center"/>
    </xf>
    <xf numFmtId="10" fontId="123" fillId="0" borderId="13" xfId="0" applyNumberFormat="1" applyFont="1" applyBorder="1" applyAlignment="1">
      <alignment horizontal="center"/>
    </xf>
    <xf numFmtId="177" fontId="87" fillId="0" borderId="0" xfId="0" applyNumberFormat="1" applyFont="1" applyAlignment="1">
      <alignment horizontal="center"/>
    </xf>
    <xf numFmtId="183" fontId="87" fillId="0" borderId="0" xfId="34" applyNumberFormat="1" applyFont="1" applyAlignment="1">
      <alignment horizontal="center"/>
    </xf>
    <xf numFmtId="10" fontId="87" fillId="0" borderId="0" xfId="261" applyNumberFormat="1" applyFont="1" applyAlignment="1">
      <alignment horizontal="center"/>
    </xf>
    <xf numFmtId="184" fontId="87" fillId="0" borderId="0" xfId="0" applyNumberFormat="1" applyFont="1" applyAlignment="1">
      <alignment horizontal="center"/>
    </xf>
    <xf numFmtId="0" fontId="4" fillId="5" borderId="0" xfId="20" applyFont="1" applyFill="1"/>
    <xf numFmtId="42" fontId="4" fillId="5" borderId="0" xfId="20" applyNumberFormat="1" applyFont="1" applyFill="1"/>
    <xf numFmtId="44" fontId="4" fillId="5" borderId="0" xfId="8" applyFont="1" applyFill="1" applyBorder="1"/>
    <xf numFmtId="0" fontId="4" fillId="4" borderId="6" xfId="20" applyFont="1" applyFill="1" applyBorder="1" applyAlignment="1">
      <alignment wrapText="1"/>
    </xf>
    <xf numFmtId="0" fontId="3" fillId="4" borderId="12" xfId="20" applyFont="1" applyFill="1" applyBorder="1"/>
    <xf numFmtId="0" fontId="27" fillId="4" borderId="12" xfId="20" applyFont="1" applyFill="1" applyBorder="1"/>
    <xf numFmtId="43" fontId="4" fillId="0" borderId="0" xfId="34" applyFont="1" applyFill="1" applyBorder="1"/>
    <xf numFmtId="0" fontId="4" fillId="5" borderId="3" xfId="20" applyFont="1" applyFill="1" applyBorder="1" applyAlignment="1">
      <alignment horizontal="left"/>
    </xf>
    <xf numFmtId="0" fontId="4" fillId="5" borderId="3" xfId="20" applyFont="1" applyFill="1" applyBorder="1" applyAlignment="1">
      <alignment horizontal="left" vertical="center"/>
    </xf>
    <xf numFmtId="4" fontId="4" fillId="5" borderId="0" xfId="20" applyNumberFormat="1" applyFont="1" applyFill="1"/>
    <xf numFmtId="44" fontId="122" fillId="0" borderId="4" xfId="0" applyNumberFormat="1" applyFont="1" applyBorder="1"/>
    <xf numFmtId="0" fontId="122" fillId="0" borderId="3" xfId="0" applyFont="1" applyBorder="1"/>
    <xf numFmtId="44" fontId="122" fillId="0" borderId="0" xfId="8" applyFont="1" applyFill="1" applyBorder="1" applyAlignment="1">
      <alignment horizontal="center"/>
    </xf>
    <xf numFmtId="44" fontId="3" fillId="0" borderId="0" xfId="8" applyFont="1" applyFill="1" applyBorder="1"/>
    <xf numFmtId="0" fontId="87" fillId="0" borderId="9" xfId="0" applyFont="1" applyBorder="1" applyAlignment="1">
      <alignment horizontal="center"/>
    </xf>
    <xf numFmtId="0" fontId="87" fillId="0" borderId="18" xfId="0" applyFont="1" applyBorder="1" applyAlignment="1">
      <alignment horizontal="left"/>
    </xf>
    <xf numFmtId="0" fontId="87" fillId="0" borderId="58" xfId="0" applyFont="1" applyBorder="1" applyAlignment="1">
      <alignment horizontal="center"/>
    </xf>
    <xf numFmtId="0" fontId="87" fillId="0" borderId="3" xfId="0" applyFont="1" applyBorder="1" applyAlignment="1">
      <alignment horizontal="left"/>
    </xf>
    <xf numFmtId="0" fontId="123" fillId="0" borderId="4" xfId="0" applyFont="1" applyBorder="1" applyAlignment="1">
      <alignment horizontal="center"/>
    </xf>
    <xf numFmtId="178" fontId="87" fillId="0" borderId="58" xfId="0" applyNumberFormat="1" applyFont="1" applyBorder="1" applyAlignment="1">
      <alignment horizontal="right"/>
    </xf>
    <xf numFmtId="178" fontId="87" fillId="0" borderId="4" xfId="0" applyNumberFormat="1" applyFont="1" applyBorder="1" applyAlignment="1">
      <alignment horizontal="right"/>
    </xf>
    <xf numFmtId="0" fontId="123" fillId="0" borderId="20" xfId="0" applyFont="1" applyBorder="1" applyAlignment="1">
      <alignment horizontal="left"/>
    </xf>
    <xf numFmtId="178" fontId="123" fillId="0" borderId="19" xfId="0" applyNumberFormat="1" applyFont="1" applyBorder="1" applyAlignment="1">
      <alignment horizontal="right"/>
    </xf>
    <xf numFmtId="0" fontId="123" fillId="0" borderId="3" xfId="0" applyFont="1" applyBorder="1" applyAlignment="1">
      <alignment horizontal="left"/>
    </xf>
    <xf numFmtId="178" fontId="123" fillId="0" borderId="4" xfId="0" applyNumberFormat="1" applyFont="1" applyBorder="1" applyAlignment="1">
      <alignment horizontal="right"/>
    </xf>
    <xf numFmtId="178" fontId="87" fillId="0" borderId="3" xfId="0" applyNumberFormat="1" applyFont="1" applyBorder="1" applyAlignment="1">
      <alignment horizontal="left"/>
    </xf>
    <xf numFmtId="178" fontId="124" fillId="0" borderId="3" xfId="0" applyNumberFormat="1" applyFont="1" applyBorder="1" applyAlignment="1">
      <alignment horizontal="left"/>
    </xf>
    <xf numFmtId="178" fontId="124" fillId="0" borderId="4" xfId="0" applyNumberFormat="1" applyFont="1" applyBorder="1" applyAlignment="1">
      <alignment horizontal="right"/>
    </xf>
    <xf numFmtId="0" fontId="123" fillId="0" borderId="21" xfId="0" applyFont="1" applyBorder="1" applyAlignment="1">
      <alignment horizontal="left"/>
    </xf>
    <xf numFmtId="178" fontId="123" fillId="0" borderId="22" xfId="0" applyNumberFormat="1" applyFont="1" applyBorder="1" applyAlignment="1">
      <alignment horizontal="right"/>
    </xf>
    <xf numFmtId="0" fontId="87" fillId="0" borderId="5" xfId="0" applyFont="1" applyBorder="1" applyAlignment="1">
      <alignment horizontal="left"/>
    </xf>
    <xf numFmtId="0" fontId="87" fillId="0" borderId="12" xfId="0" applyFont="1" applyBorder="1" applyAlignment="1">
      <alignment horizontal="center"/>
    </xf>
    <xf numFmtId="177" fontId="123" fillId="3" borderId="6" xfId="0" applyNumberFormat="1" applyFont="1" applyFill="1" applyBorder="1" applyAlignment="1">
      <alignment horizontal="right"/>
    </xf>
    <xf numFmtId="0" fontId="29" fillId="63" borderId="38" xfId="20" applyFont="1" applyFill="1" applyBorder="1" applyAlignment="1">
      <alignment horizontal="left"/>
    </xf>
    <xf numFmtId="0" fontId="87" fillId="63" borderId="4" xfId="0" applyFont="1" applyFill="1" applyBorder="1" applyAlignment="1">
      <alignment horizontal="center"/>
    </xf>
    <xf numFmtId="4" fontId="3" fillId="15" borderId="13" xfId="20" applyNumberFormat="1" applyFont="1" applyFill="1" applyBorder="1"/>
    <xf numFmtId="170" fontId="4" fillId="3" borderId="0" xfId="20" applyNumberFormat="1" applyFont="1" applyFill="1"/>
    <xf numFmtId="44" fontId="4" fillId="3" borderId="0" xfId="20" applyNumberFormat="1" applyFont="1" applyFill="1" applyAlignment="1">
      <alignment horizontal="right"/>
    </xf>
    <xf numFmtId="49" fontId="125" fillId="0" borderId="4" xfId="0" applyNumberFormat="1" applyFont="1" applyBorder="1"/>
    <xf numFmtId="6" fontId="27" fillId="4" borderId="0" xfId="0" applyNumberFormat="1" applyFont="1" applyFill="1"/>
    <xf numFmtId="6" fontId="27" fillId="3" borderId="0" xfId="20" applyNumberFormat="1" applyFont="1" applyFill="1"/>
    <xf numFmtId="6" fontId="4" fillId="4" borderId="0" xfId="0" applyNumberFormat="1" applyFont="1" applyFill="1"/>
    <xf numFmtId="44" fontId="4" fillId="4" borderId="0" xfId="0" applyNumberFormat="1" applyFont="1" applyFill="1" applyAlignment="1">
      <alignment horizontal="left"/>
    </xf>
    <xf numFmtId="6" fontId="8" fillId="4" borderId="0" xfId="0" applyNumberFormat="1" applyFont="1" applyFill="1"/>
    <xf numFmtId="44" fontId="4" fillId="0" borderId="17" xfId="20" applyNumberFormat="1" applyFont="1" applyBorder="1"/>
    <xf numFmtId="6" fontId="8" fillId="4" borderId="0" xfId="20" applyNumberFormat="1" applyFont="1" applyFill="1" applyAlignment="1">
      <alignment vertical="center"/>
    </xf>
    <xf numFmtId="6" fontId="8" fillId="4" borderId="0" xfId="20" applyNumberFormat="1" applyFont="1" applyFill="1"/>
    <xf numFmtId="8" fontId="75" fillId="0" borderId="79" xfId="0" applyNumberFormat="1" applyFont="1" applyBorder="1" applyAlignment="1">
      <alignment horizontal="center" vertical="center"/>
    </xf>
    <xf numFmtId="0" fontId="75" fillId="0" borderId="79" xfId="0" applyFont="1" applyBorder="1" applyAlignment="1">
      <alignment horizontal="center" vertical="center"/>
    </xf>
    <xf numFmtId="8" fontId="61" fillId="0" borderId="79" xfId="0" applyNumberFormat="1" applyFont="1" applyBorder="1" applyAlignment="1">
      <alignment horizontal="center" vertical="center"/>
    </xf>
    <xf numFmtId="0" fontId="63" fillId="0" borderId="8" xfId="0" applyFont="1" applyBorder="1" applyAlignment="1">
      <alignment horizontal="center" vertical="center"/>
    </xf>
    <xf numFmtId="8" fontId="61" fillId="0" borderId="0" xfId="0" applyNumberFormat="1" applyFont="1" applyAlignment="1">
      <alignment horizontal="center" vertical="center"/>
    </xf>
    <xf numFmtId="171" fontId="0" fillId="0" borderId="0" xfId="34" applyNumberFormat="1" applyFont="1"/>
    <xf numFmtId="171" fontId="31" fillId="0" borderId="0" xfId="34" applyNumberFormat="1" applyFont="1" applyAlignment="1">
      <alignment horizontal="center"/>
    </xf>
    <xf numFmtId="171" fontId="63" fillId="0" borderId="0" xfId="34" applyNumberFormat="1" applyFont="1" applyFill="1" applyBorder="1" applyAlignment="1">
      <alignment horizontal="center" vertical="center"/>
    </xf>
    <xf numFmtId="44" fontId="31" fillId="0" borderId="0" xfId="8" applyFont="1" applyAlignment="1">
      <alignment horizontal="center"/>
    </xf>
    <xf numFmtId="44" fontId="63" fillId="0" borderId="0" xfId="8" applyFont="1" applyFill="1" applyBorder="1" applyAlignment="1">
      <alignment horizontal="center" vertical="center"/>
    </xf>
    <xf numFmtId="171" fontId="40" fillId="0" borderId="0" xfId="0" applyNumberFormat="1" applyFont="1"/>
    <xf numFmtId="10" fontId="0" fillId="0" borderId="0" xfId="26" applyNumberFormat="1" applyFont="1"/>
    <xf numFmtId="171" fontId="0" fillId="0" borderId="117" xfId="34" applyNumberFormat="1" applyFont="1" applyBorder="1"/>
    <xf numFmtId="44" fontId="0" fillId="0" borderId="11" xfId="8" applyFont="1" applyBorder="1"/>
    <xf numFmtId="0" fontId="0" fillId="0" borderId="11" xfId="0" applyBorder="1"/>
    <xf numFmtId="10" fontId="0" fillId="8" borderId="0" xfId="26" applyNumberFormat="1" applyFont="1" applyFill="1"/>
    <xf numFmtId="10" fontId="0" fillId="0" borderId="11" xfId="26" applyNumberFormat="1" applyFont="1" applyBorder="1"/>
    <xf numFmtId="42" fontId="41" fillId="0" borderId="0" xfId="0" applyNumberFormat="1" applyFont="1"/>
    <xf numFmtId="43" fontId="4" fillId="4" borderId="0" xfId="34" applyFont="1" applyFill="1" applyBorder="1"/>
    <xf numFmtId="10" fontId="31" fillId="0" borderId="0" xfId="26" applyNumberFormat="1" applyFont="1"/>
    <xf numFmtId="6" fontId="4" fillId="3" borderId="0" xfId="20" applyNumberFormat="1" applyFont="1" applyFill="1"/>
    <xf numFmtId="44" fontId="4" fillId="0" borderId="0" xfId="8" applyFont="1" applyFill="1"/>
    <xf numFmtId="178" fontId="8" fillId="4" borderId="0" xfId="20" applyNumberFormat="1" applyFont="1" applyFill="1"/>
    <xf numFmtId="168" fontId="31" fillId="0" borderId="0" xfId="8" applyNumberFormat="1" applyFont="1"/>
    <xf numFmtId="171" fontId="31" fillId="0" borderId="0" xfId="34" applyNumberFormat="1" applyFont="1"/>
    <xf numFmtId="44" fontId="31" fillId="0" borderId="0" xfId="8" applyFont="1"/>
    <xf numFmtId="168" fontId="31" fillId="0" borderId="14" xfId="8" applyNumberFormat="1" applyFont="1" applyBorder="1"/>
    <xf numFmtId="0" fontId="31" fillId="0" borderId="14" xfId="0" applyFont="1" applyBorder="1"/>
    <xf numFmtId="10" fontId="31" fillId="0" borderId="14" xfId="26" applyNumberFormat="1" applyFont="1" applyBorder="1"/>
    <xf numFmtId="0" fontId="4" fillId="0" borderId="0" xfId="206" applyAlignment="1">
      <alignment horizontal="left"/>
    </xf>
    <xf numFmtId="0" fontId="126" fillId="0" borderId="0" xfId="206" applyFont="1"/>
    <xf numFmtId="44" fontId="4" fillId="0" borderId="0" xfId="206" applyNumberFormat="1"/>
    <xf numFmtId="0" fontId="4" fillId="0" borderId="0" xfId="206"/>
    <xf numFmtId="0" fontId="35" fillId="0" borderId="0" xfId="206" applyFont="1" applyAlignment="1">
      <alignment horizontal="left"/>
    </xf>
    <xf numFmtId="0" fontId="127" fillId="0" borderId="0" xfId="206" applyFont="1" applyAlignment="1">
      <alignment horizontal="left" wrapText="1"/>
    </xf>
    <xf numFmtId="185" fontId="35" fillId="0" borderId="0" xfId="206" applyNumberFormat="1" applyFont="1" applyAlignment="1">
      <alignment horizontal="center" wrapText="1"/>
    </xf>
    <xf numFmtId="17" fontId="35" fillId="0" borderId="0" xfId="206" applyNumberFormat="1" applyFont="1" applyAlignment="1">
      <alignment horizontal="center"/>
    </xf>
    <xf numFmtId="0" fontId="4" fillId="2" borderId="0" xfId="206" applyFill="1" applyAlignment="1">
      <alignment horizontal="left"/>
    </xf>
    <xf numFmtId="0" fontId="4" fillId="2" borderId="0" xfId="206" applyFill="1"/>
    <xf numFmtId="44" fontId="4" fillId="2" borderId="0" xfId="206" applyNumberFormat="1" applyFill="1"/>
    <xf numFmtId="44" fontId="4" fillId="16" borderId="0" xfId="206" applyNumberFormat="1" applyFill="1"/>
    <xf numFmtId="0" fontId="3" fillId="0" borderId="0" xfId="206" applyFont="1"/>
    <xf numFmtId="168" fontId="4" fillId="0" borderId="0" xfId="1" applyNumberFormat="1" applyFont="1" applyFill="1" applyAlignment="1">
      <alignment horizontal="center"/>
    </xf>
    <xf numFmtId="168" fontId="4" fillId="0" borderId="0" xfId="206" applyNumberFormat="1"/>
    <xf numFmtId="168" fontId="4" fillId="0" borderId="0" xfId="1" applyNumberFormat="1" applyFont="1" applyAlignment="1">
      <alignment horizontal="center"/>
    </xf>
    <xf numFmtId="168" fontId="4" fillId="0" borderId="53" xfId="206" applyNumberFormat="1" applyBorder="1"/>
    <xf numFmtId="168" fontId="126" fillId="0" borderId="0" xfId="206" applyNumberFormat="1" applyFont="1"/>
    <xf numFmtId="168" fontId="126" fillId="0" borderId="0" xfId="206" applyNumberFormat="1" applyFont="1" applyAlignment="1">
      <alignment horizontal="right"/>
    </xf>
    <xf numFmtId="0" fontId="4" fillId="0" borderId="53" xfId="206" applyBorder="1"/>
    <xf numFmtId="0" fontId="3" fillId="0" borderId="0" xfId="206" applyFont="1" applyAlignment="1">
      <alignment horizontal="left"/>
    </xf>
    <xf numFmtId="168" fontId="4" fillId="0" borderId="0" xfId="206" applyNumberFormat="1" applyAlignment="1">
      <alignment horizontal="center"/>
    </xf>
    <xf numFmtId="168" fontId="4" fillId="0" borderId="118" xfId="206" applyNumberFormat="1" applyBorder="1" applyAlignment="1">
      <alignment horizontal="center"/>
    </xf>
    <xf numFmtId="0" fontId="128" fillId="0" borderId="0" xfId="206" applyFont="1"/>
    <xf numFmtId="168" fontId="4" fillId="0" borderId="118" xfId="1" applyNumberFormat="1" applyFont="1" applyFill="1" applyBorder="1" applyAlignment="1">
      <alignment horizontal="center"/>
    </xf>
    <xf numFmtId="168" fontId="4" fillId="0" borderId="0" xfId="1" applyNumberFormat="1" applyFont="1" applyFill="1" applyAlignment="1">
      <alignment horizontal="right"/>
    </xf>
    <xf numFmtId="168" fontId="126" fillId="0" borderId="0" xfId="13" applyNumberFormat="1" applyFont="1" applyFill="1" applyAlignment="1">
      <alignment horizontal="center"/>
    </xf>
    <xf numFmtId="168" fontId="4" fillId="0" borderId="0" xfId="1" applyNumberFormat="1" applyFont="1" applyFill="1" applyAlignment="1"/>
    <xf numFmtId="168" fontId="4" fillId="0" borderId="11" xfId="1" applyNumberFormat="1" applyFont="1" applyFill="1" applyBorder="1" applyAlignment="1">
      <alignment horizontal="center"/>
    </xf>
    <xf numFmtId="168" fontId="4" fillId="0" borderId="11" xfId="1" applyNumberFormat="1" applyFont="1" applyBorder="1" applyAlignment="1">
      <alignment horizontal="center"/>
    </xf>
    <xf numFmtId="168" fontId="4" fillId="0" borderId="11" xfId="206" applyNumberFormat="1" applyBorder="1"/>
    <xf numFmtId="168" fontId="4" fillId="0" borderId="56" xfId="206" applyNumberFormat="1" applyBorder="1"/>
    <xf numFmtId="168" fontId="3" fillId="0" borderId="0" xfId="206" applyNumberFormat="1" applyFont="1"/>
    <xf numFmtId="168" fontId="3" fillId="0" borderId="53" xfId="206" applyNumberFormat="1" applyFont="1" applyBorder="1"/>
    <xf numFmtId="2" fontId="21" fillId="0" borderId="0" xfId="20" applyNumberFormat="1" applyFont="1"/>
    <xf numFmtId="44" fontId="21" fillId="0" borderId="0" xfId="20" applyNumberFormat="1" applyFont="1"/>
    <xf numFmtId="10" fontId="87" fillId="3" borderId="0" xfId="0" applyNumberFormat="1" applyFont="1" applyFill="1" applyAlignment="1">
      <alignment horizontal="center"/>
    </xf>
    <xf numFmtId="0" fontId="0" fillId="0" borderId="7" xfId="0" applyBorder="1"/>
    <xf numFmtId="0" fontId="0" fillId="0" borderId="8" xfId="0" applyBorder="1"/>
    <xf numFmtId="171" fontId="0" fillId="0" borderId="8" xfId="34" applyNumberFormat="1" applyFont="1" applyBorder="1"/>
    <xf numFmtId="44" fontId="0" fillId="0" borderId="8" xfId="8" applyFont="1" applyBorder="1"/>
    <xf numFmtId="0" fontId="0" fillId="0" borderId="9" xfId="0" applyBorder="1"/>
    <xf numFmtId="171" fontId="0" fillId="0" borderId="0" xfId="34" applyNumberFormat="1" applyFont="1" applyBorder="1"/>
    <xf numFmtId="44" fontId="0" fillId="0" borderId="0" xfId="8" applyFont="1" applyBorder="1"/>
    <xf numFmtId="171" fontId="0" fillId="0" borderId="12" xfId="34" applyNumberFormat="1" applyFont="1" applyBorder="1"/>
    <xf numFmtId="44" fontId="0" fillId="0" borderId="12" xfId="8" applyFont="1" applyBorder="1"/>
    <xf numFmtId="43" fontId="31" fillId="0" borderId="0" xfId="34" applyFont="1"/>
    <xf numFmtId="43" fontId="0" fillId="0" borderId="11" xfId="34" applyFont="1" applyBorder="1"/>
    <xf numFmtId="43" fontId="31" fillId="0" borderId="14" xfId="34" applyFont="1" applyBorder="1"/>
    <xf numFmtId="43" fontId="0" fillId="0" borderId="8" xfId="34" applyFont="1" applyBorder="1"/>
    <xf numFmtId="43" fontId="0" fillId="0" borderId="12" xfId="34" applyFont="1" applyBorder="1"/>
    <xf numFmtId="43" fontId="0" fillId="0" borderId="0" xfId="34" applyFont="1" applyBorder="1"/>
    <xf numFmtId="0" fontId="63" fillId="0" borderId="24" xfId="0" applyFont="1" applyBorder="1" applyAlignment="1">
      <alignment horizontal="center" vertical="center" wrapText="1"/>
    </xf>
    <xf numFmtId="171" fontId="31" fillId="0" borderId="24" xfId="34" applyNumberFormat="1" applyFont="1" applyBorder="1"/>
    <xf numFmtId="43" fontId="31" fillId="0" borderId="24" xfId="34" applyFont="1" applyBorder="1"/>
    <xf numFmtId="10" fontId="31" fillId="0" borderId="35" xfId="26" applyNumberFormat="1" applyFont="1" applyBorder="1"/>
    <xf numFmtId="168" fontId="31" fillId="0" borderId="24" xfId="8" applyNumberFormat="1" applyFont="1" applyBorder="1"/>
    <xf numFmtId="0" fontId="0" fillId="0" borderId="35" xfId="0" applyBorder="1"/>
    <xf numFmtId="43" fontId="31" fillId="0" borderId="0" xfId="34" applyFont="1" applyAlignment="1">
      <alignment horizontal="center"/>
    </xf>
    <xf numFmtId="43" fontId="0" fillId="0" borderId="0" xfId="0" applyNumberFormat="1"/>
    <xf numFmtId="43" fontId="0" fillId="0" borderId="11" xfId="0" applyNumberFormat="1" applyBorder="1"/>
    <xf numFmtId="43" fontId="31" fillId="0" borderId="0" xfId="0" applyNumberFormat="1" applyFont="1"/>
    <xf numFmtId="0" fontId="129" fillId="0" borderId="76" xfId="0" applyFont="1" applyBorder="1"/>
    <xf numFmtId="0" fontId="129" fillId="0" borderId="79" xfId="0" applyFont="1" applyBorder="1"/>
    <xf numFmtId="0" fontId="130" fillId="0" borderId="71" xfId="0" applyFont="1" applyBorder="1"/>
    <xf numFmtId="0" fontId="131" fillId="0" borderId="5" xfId="0" applyFont="1" applyBorder="1"/>
    <xf numFmtId="0" fontId="130" fillId="0" borderId="0" xfId="0" applyFont="1"/>
    <xf numFmtId="10" fontId="0" fillId="0" borderId="0" xfId="26" applyNumberFormat="1" applyFont="1" applyBorder="1"/>
    <xf numFmtId="44" fontId="0" fillId="60" borderId="4" xfId="8" applyFont="1" applyFill="1" applyBorder="1"/>
    <xf numFmtId="173" fontId="0" fillId="0" borderId="0" xfId="26" applyNumberFormat="1" applyFont="1"/>
    <xf numFmtId="0" fontId="31" fillId="0" borderId="0" xfId="0" applyFont="1" applyAlignment="1">
      <alignment horizontal="center" wrapText="1"/>
    </xf>
    <xf numFmtId="44" fontId="0" fillId="0" borderId="6" xfId="8" applyFont="1" applyFill="1" applyBorder="1"/>
    <xf numFmtId="44" fontId="17" fillId="60" borderId="4" xfId="8" applyFont="1" applyFill="1" applyBorder="1"/>
    <xf numFmtId="44" fontId="17" fillId="0" borderId="0" xfId="8" applyFont="1" applyFill="1" applyBorder="1"/>
    <xf numFmtId="44" fontId="3" fillId="3" borderId="35" xfId="14" applyFont="1" applyFill="1" applyBorder="1"/>
    <xf numFmtId="44" fontId="3" fillId="3" borderId="6" xfId="20" applyNumberFormat="1" applyFont="1" applyFill="1" applyBorder="1"/>
    <xf numFmtId="177" fontId="3" fillId="3" borderId="6" xfId="14" applyNumberFormat="1" applyFont="1" applyFill="1" applyBorder="1"/>
    <xf numFmtId="43" fontId="0" fillId="0" borderId="14" xfId="34" applyFont="1" applyBorder="1"/>
    <xf numFmtId="0" fontId="14" fillId="2" borderId="8" xfId="206" applyFont="1" applyFill="1" applyBorder="1"/>
    <xf numFmtId="0" fontId="15" fillId="2" borderId="9" xfId="206" applyFont="1" applyFill="1" applyBorder="1"/>
    <xf numFmtId="0" fontId="15" fillId="2" borderId="0" xfId="206" applyFont="1" applyFill="1"/>
    <xf numFmtId="0" fontId="3" fillId="2" borderId="4" xfId="206" applyFont="1" applyFill="1" applyBorder="1"/>
    <xf numFmtId="0" fontId="33" fillId="2" borderId="12" xfId="206" applyFont="1" applyFill="1" applyBorder="1"/>
    <xf numFmtId="0" fontId="3" fillId="2" borderId="6" xfId="206" applyFont="1" applyFill="1" applyBorder="1"/>
    <xf numFmtId="0" fontId="34" fillId="64" borderId="0" xfId="206" applyFont="1" applyFill="1" applyAlignment="1">
      <alignment horizontal="center"/>
    </xf>
    <xf numFmtId="14" fontId="3" fillId="0" borderId="0" xfId="206" applyNumberFormat="1" applyFont="1"/>
    <xf numFmtId="166" fontId="4" fillId="0" borderId="0" xfId="206" applyNumberFormat="1"/>
    <xf numFmtId="2" fontId="4" fillId="0" borderId="0" xfId="206" applyNumberFormat="1"/>
    <xf numFmtId="167" fontId="4" fillId="0" borderId="0" xfId="206" applyNumberFormat="1"/>
    <xf numFmtId="166" fontId="4" fillId="0" borderId="92" xfId="206" applyNumberFormat="1" applyBorder="1"/>
    <xf numFmtId="166" fontId="4" fillId="0" borderId="119" xfId="206" applyNumberFormat="1" applyBorder="1"/>
    <xf numFmtId="10" fontId="3" fillId="3" borderId="54" xfId="93" applyNumberFormat="1" applyFont="1" applyFill="1" applyBorder="1" applyAlignment="1">
      <alignment horizontal="center"/>
    </xf>
    <xf numFmtId="0" fontId="0" fillId="0" borderId="0" xfId="296" applyFont="1"/>
    <xf numFmtId="0" fontId="132" fillId="0" borderId="0" xfId="296" applyFont="1" applyAlignment="1">
      <alignment horizontal="center"/>
    </xf>
    <xf numFmtId="0" fontId="109" fillId="0" borderId="0" xfId="296" applyFont="1" applyAlignment="1">
      <alignment horizontal="center"/>
    </xf>
    <xf numFmtId="0" fontId="17" fillId="0" borderId="0" xfId="296"/>
    <xf numFmtId="0" fontId="17" fillId="0" borderId="0" xfId="296" applyAlignment="1">
      <alignment wrapText="1"/>
    </xf>
    <xf numFmtId="0" fontId="130" fillId="0" borderId="0" xfId="296" applyFont="1" applyAlignment="1">
      <alignment horizontal="center"/>
    </xf>
    <xf numFmtId="0" fontId="31" fillId="0" borderId="0" xfId="296" applyFont="1" applyAlignment="1">
      <alignment horizontal="center"/>
    </xf>
    <xf numFmtId="181" fontId="130" fillId="0" borderId="0" xfId="296" applyNumberFormat="1" applyFont="1" applyAlignment="1">
      <alignment horizontal="left" vertical="top"/>
    </xf>
    <xf numFmtId="0" fontId="129" fillId="0" borderId="0" xfId="296" applyFont="1"/>
    <xf numFmtId="0" fontId="129" fillId="0" borderId="0" xfId="296" applyFont="1" applyAlignment="1">
      <alignment wrapText="1"/>
    </xf>
    <xf numFmtId="0" fontId="130" fillId="0" borderId="0" xfId="296" applyFont="1"/>
    <xf numFmtId="9" fontId="130" fillId="0" borderId="0" xfId="296" applyNumberFormat="1" applyFont="1" applyAlignment="1">
      <alignment horizontal="center" wrapText="1"/>
    </xf>
    <xf numFmtId="9" fontId="130" fillId="0" borderId="0" xfId="296" applyNumberFormat="1" applyFont="1" applyAlignment="1">
      <alignment horizontal="center"/>
    </xf>
    <xf numFmtId="0" fontId="130" fillId="0" borderId="0" xfId="296" applyFont="1" applyAlignment="1">
      <alignment horizontal="left" wrapText="1"/>
    </xf>
    <xf numFmtId="0" fontId="129" fillId="0" borderId="7" xfId="296" applyFont="1" applyBorder="1"/>
    <xf numFmtId="177" fontId="129" fillId="0" borderId="48" xfId="296" applyNumberFormat="1" applyFont="1" applyBorder="1" applyAlignment="1">
      <alignment horizontal="center"/>
    </xf>
    <xf numFmtId="177" fontId="17" fillId="0" borderId="37" xfId="296" applyNumberFormat="1" applyBorder="1"/>
    <xf numFmtId="177" fontId="17" fillId="0" borderId="0" xfId="296" applyNumberFormat="1"/>
    <xf numFmtId="0" fontId="129" fillId="0" borderId="5" xfId="296" applyFont="1" applyBorder="1"/>
    <xf numFmtId="178" fontId="129" fillId="0" borderId="12" xfId="296" applyNumberFormat="1" applyFont="1" applyBorder="1" applyAlignment="1">
      <alignment horizontal="center"/>
    </xf>
    <xf numFmtId="178" fontId="17" fillId="0" borderId="79" xfId="296" applyNumberFormat="1" applyBorder="1"/>
    <xf numFmtId="0" fontId="129" fillId="0" borderId="8" xfId="296" applyFont="1" applyBorder="1"/>
    <xf numFmtId="0" fontId="129" fillId="0" borderId="3" xfId="296" applyFont="1" applyBorder="1"/>
    <xf numFmtId="177" fontId="56" fillId="0" borderId="0" xfId="296" applyNumberFormat="1" applyFont="1"/>
    <xf numFmtId="0" fontId="129" fillId="0" borderId="12" xfId="296" applyFont="1" applyBorder="1"/>
    <xf numFmtId="0" fontId="129" fillId="0" borderId="7" xfId="296" applyFont="1" applyBorder="1" applyAlignment="1">
      <alignment wrapText="1"/>
    </xf>
    <xf numFmtId="0" fontId="129" fillId="0" borderId="5" xfId="296" applyFont="1" applyBorder="1" applyAlignment="1">
      <alignment wrapText="1"/>
    </xf>
    <xf numFmtId="178" fontId="17" fillId="0" borderId="76" xfId="296" applyNumberFormat="1" applyBorder="1"/>
    <xf numFmtId="177" fontId="17" fillId="0" borderId="76" xfId="296" applyNumberFormat="1" applyBorder="1"/>
    <xf numFmtId="0" fontId="134" fillId="0" borderId="0" xfId="296" applyFont="1" applyAlignment="1">
      <alignment horizontal="right" wrapText="1"/>
    </xf>
    <xf numFmtId="178" fontId="134" fillId="0" borderId="0" xfId="296" applyNumberFormat="1" applyFont="1"/>
    <xf numFmtId="0" fontId="134" fillId="0" borderId="0" xfId="296" applyFont="1"/>
    <xf numFmtId="0" fontId="134" fillId="0" borderId="0" xfId="296" applyFont="1" applyAlignment="1">
      <alignment wrapText="1"/>
    </xf>
    <xf numFmtId="0" fontId="134" fillId="0" borderId="0" xfId="296" applyFont="1" applyAlignment="1">
      <alignment horizontal="right"/>
    </xf>
    <xf numFmtId="42" fontId="4" fillId="0" borderId="11" xfId="20" applyNumberFormat="1" applyFont="1" applyBorder="1"/>
    <xf numFmtId="10" fontId="4" fillId="0" borderId="0" xfId="18" applyNumberFormat="1" applyFont="1"/>
    <xf numFmtId="186" fontId="3" fillId="4" borderId="11" xfId="20" applyNumberFormat="1" applyFont="1" applyFill="1" applyBorder="1"/>
    <xf numFmtId="10" fontId="4" fillId="0" borderId="11" xfId="18" applyNumberFormat="1" applyFont="1" applyBorder="1"/>
    <xf numFmtId="6" fontId="4" fillId="4" borderId="0" xfId="20" applyNumberFormat="1" applyFont="1" applyFill="1"/>
    <xf numFmtId="10" fontId="4" fillId="0" borderId="0" xfId="0" applyNumberFormat="1" applyFont="1"/>
    <xf numFmtId="44" fontId="4" fillId="0" borderId="4" xfId="8" applyFont="1" applyFill="1" applyBorder="1" applyAlignment="1">
      <alignment horizontal="left"/>
    </xf>
    <xf numFmtId="42" fontId="4" fillId="0" borderId="0" xfId="20" applyNumberFormat="1" applyFont="1" applyAlignment="1">
      <alignment vertical="center"/>
    </xf>
    <xf numFmtId="42" fontId="4" fillId="0" borderId="0" xfId="0" applyNumberFormat="1" applyFont="1" applyAlignment="1">
      <alignment vertical="center"/>
    </xf>
    <xf numFmtId="42" fontId="8" fillId="0" borderId="0" xfId="20" applyNumberFormat="1" applyFont="1" applyAlignment="1">
      <alignment vertical="center"/>
    </xf>
    <xf numFmtId="10" fontId="8" fillId="0" borderId="0" xfId="31" applyNumberFormat="1" applyFont="1" applyFill="1" applyBorder="1" applyAlignment="1">
      <alignment horizontal="right"/>
    </xf>
    <xf numFmtId="2" fontId="41" fillId="0" borderId="11" xfId="0" applyNumberFormat="1" applyFont="1" applyBorder="1"/>
    <xf numFmtId="44" fontId="4" fillId="0" borderId="0" xfId="8" applyFont="1" applyFill="1" applyBorder="1" applyAlignment="1">
      <alignment horizontal="center"/>
    </xf>
    <xf numFmtId="10" fontId="9" fillId="0" borderId="0" xfId="26" applyNumberFormat="1" applyFont="1" applyFill="1" applyBorder="1"/>
    <xf numFmtId="0" fontId="47" fillId="0" borderId="0" xfId="20" applyFont="1"/>
    <xf numFmtId="44" fontId="3" fillId="0" borderId="0" xfId="20" applyNumberFormat="1" applyFont="1" applyAlignment="1">
      <alignment horizontal="right"/>
    </xf>
    <xf numFmtId="4" fontId="9" fillId="0" borderId="0" xfId="20" applyNumberFormat="1" applyFont="1"/>
    <xf numFmtId="44" fontId="7" fillId="4" borderId="4" xfId="20" applyNumberFormat="1" applyFont="1" applyFill="1" applyBorder="1"/>
    <xf numFmtId="44" fontId="7" fillId="4" borderId="4" xfId="20" applyNumberFormat="1" applyFont="1" applyFill="1" applyBorder="1" applyAlignment="1">
      <alignment vertical="center"/>
    </xf>
    <xf numFmtId="168" fontId="7" fillId="4" borderId="4" xfId="20" applyNumberFormat="1" applyFont="1" applyFill="1" applyBorder="1" applyAlignment="1">
      <alignment vertical="center"/>
    </xf>
    <xf numFmtId="168" fontId="6" fillId="4" borderId="19" xfId="20" applyNumberFormat="1" applyFont="1" applyFill="1" applyBorder="1"/>
    <xf numFmtId="168" fontId="24" fillId="4" borderId="4" xfId="20" applyNumberFormat="1" applyFont="1" applyFill="1" applyBorder="1"/>
    <xf numFmtId="168" fontId="6" fillId="4" borderId="19" xfId="20" applyNumberFormat="1" applyFont="1" applyFill="1" applyBorder="1" applyAlignment="1">
      <alignment horizontal="right"/>
    </xf>
    <xf numFmtId="168" fontId="6" fillId="4" borderId="4" xfId="20" applyNumberFormat="1" applyFont="1" applyFill="1" applyBorder="1" applyAlignment="1">
      <alignment horizontal="right"/>
    </xf>
    <xf numFmtId="168" fontId="6" fillId="4" borderId="17" xfId="20" applyNumberFormat="1" applyFont="1" applyFill="1" applyBorder="1" applyAlignment="1">
      <alignment horizontal="center"/>
    </xf>
    <xf numFmtId="168" fontId="7" fillId="4" borderId="22" xfId="20" applyNumberFormat="1" applyFont="1" applyFill="1" applyBorder="1" applyAlignment="1">
      <alignment horizontal="right"/>
    </xf>
    <xf numFmtId="10" fontId="7" fillId="0" borderId="0" xfId="26" applyNumberFormat="1" applyFont="1" applyFill="1" applyBorder="1" applyAlignment="1">
      <alignment horizontal="right"/>
    </xf>
    <xf numFmtId="10" fontId="4" fillId="4" borderId="4" xfId="26" applyNumberFormat="1" applyFont="1" applyFill="1" applyBorder="1"/>
    <xf numFmtId="10" fontId="0" fillId="0" borderId="0" xfId="34" applyNumberFormat="1" applyFont="1"/>
    <xf numFmtId="0" fontId="14" fillId="2" borderId="8" xfId="314" applyFont="1" applyFill="1" applyBorder="1"/>
    <xf numFmtId="0" fontId="15" fillId="2" borderId="9" xfId="314" applyFont="1" applyFill="1" applyBorder="1"/>
    <xf numFmtId="0" fontId="135" fillId="0" borderId="0" xfId="314"/>
    <xf numFmtId="0" fontId="15" fillId="2" borderId="0" xfId="314" applyFont="1" applyFill="1"/>
    <xf numFmtId="0" fontId="3" fillId="2" borderId="4" xfId="314" applyFont="1" applyFill="1" applyBorder="1"/>
    <xf numFmtId="0" fontId="33" fillId="2" borderId="12" xfId="314" applyFont="1" applyFill="1" applyBorder="1"/>
    <xf numFmtId="0" fontId="3" fillId="2" borderId="6" xfId="314" applyFont="1" applyFill="1" applyBorder="1"/>
    <xf numFmtId="0" fontId="3" fillId="0" borderId="0" xfId="314" applyFont="1"/>
    <xf numFmtId="0" fontId="34" fillId="64" borderId="0" xfId="314" applyFont="1" applyFill="1" applyAlignment="1">
      <alignment horizontal="center"/>
    </xf>
    <xf numFmtId="0" fontId="34" fillId="65" borderId="0" xfId="314" applyFont="1" applyFill="1" applyAlignment="1">
      <alignment horizontal="center"/>
    </xf>
    <xf numFmtId="14" fontId="3" fillId="0" borderId="0" xfId="314" applyNumberFormat="1" applyFont="1"/>
    <xf numFmtId="166" fontId="135" fillId="0" borderId="0" xfId="314" applyNumberFormat="1"/>
    <xf numFmtId="2" fontId="135" fillId="0" borderId="0" xfId="314" applyNumberFormat="1"/>
    <xf numFmtId="167" fontId="135" fillId="0" borderId="0" xfId="314" applyNumberFormat="1"/>
    <xf numFmtId="0" fontId="3" fillId="0" borderId="0" xfId="23" applyFont="1" applyAlignment="1">
      <alignment horizontal="center"/>
    </xf>
    <xf numFmtId="14" fontId="3" fillId="0" borderId="0" xfId="314" applyNumberFormat="1" applyFont="1" applyAlignment="1">
      <alignment horizontal="center"/>
    </xf>
    <xf numFmtId="166" fontId="135" fillId="0" borderId="92" xfId="314" applyNumberFormat="1" applyBorder="1"/>
    <xf numFmtId="166" fontId="3" fillId="0" borderId="0" xfId="314" applyNumberFormat="1" applyFont="1" applyAlignment="1">
      <alignment horizontal="center"/>
    </xf>
    <xf numFmtId="166" fontId="135" fillId="0" borderId="120" xfId="314" applyNumberFormat="1" applyBorder="1"/>
    <xf numFmtId="177" fontId="129" fillId="0" borderId="0" xfId="296" applyNumberFormat="1" applyFont="1"/>
    <xf numFmtId="17" fontId="133" fillId="0" borderId="0" xfId="296" applyNumberFormat="1" applyFont="1" applyAlignment="1">
      <alignment horizontal="center"/>
    </xf>
    <xf numFmtId="9" fontId="129" fillId="0" borderId="48" xfId="93" applyFont="1" applyBorder="1" applyAlignment="1">
      <alignment horizontal="center"/>
    </xf>
    <xf numFmtId="9" fontId="129" fillId="0" borderId="51" xfId="93" applyFont="1" applyBorder="1" applyAlignment="1">
      <alignment horizontal="center"/>
    </xf>
    <xf numFmtId="178" fontId="129" fillId="0" borderId="0" xfId="296" applyNumberFormat="1" applyFont="1" applyAlignment="1">
      <alignment horizontal="center"/>
    </xf>
    <xf numFmtId="9" fontId="129" fillId="0" borderId="16" xfId="93" applyFont="1" applyBorder="1" applyAlignment="1">
      <alignment horizontal="center"/>
    </xf>
    <xf numFmtId="177" fontId="129" fillId="0" borderId="8" xfId="296" applyNumberFormat="1" applyFont="1" applyBorder="1" applyAlignment="1">
      <alignment horizontal="center"/>
    </xf>
    <xf numFmtId="178" fontId="129" fillId="0" borderId="8" xfId="296" applyNumberFormat="1" applyFont="1" applyBorder="1" applyAlignment="1">
      <alignment horizontal="center"/>
    </xf>
    <xf numFmtId="9" fontId="129" fillId="0" borderId="8" xfId="93" applyFont="1" applyBorder="1" applyAlignment="1">
      <alignment horizontal="center"/>
    </xf>
    <xf numFmtId="9" fontId="129" fillId="0" borderId="12" xfId="93" applyFont="1" applyBorder="1" applyAlignment="1">
      <alignment horizontal="center"/>
    </xf>
    <xf numFmtId="177" fontId="129" fillId="0" borderId="0" xfId="296" applyNumberFormat="1" applyFont="1" applyAlignment="1">
      <alignment horizontal="center"/>
    </xf>
    <xf numFmtId="9" fontId="129" fillId="0" borderId="0" xfId="93" applyFont="1" applyFill="1" applyBorder="1" applyAlignment="1">
      <alignment horizontal="center"/>
    </xf>
    <xf numFmtId="9" fontId="129" fillId="0" borderId="12" xfId="93" applyFont="1" applyFill="1" applyBorder="1" applyAlignment="1">
      <alignment horizontal="center"/>
    </xf>
    <xf numFmtId="9" fontId="129" fillId="0" borderId="0" xfId="93" applyFont="1" applyBorder="1" applyAlignment="1">
      <alignment horizontal="center"/>
    </xf>
    <xf numFmtId="10" fontId="134" fillId="0" borderId="0" xfId="26" applyNumberFormat="1" applyFont="1"/>
    <xf numFmtId="9" fontId="134" fillId="0" borderId="0" xfId="26" applyFont="1"/>
    <xf numFmtId="0" fontId="17" fillId="3" borderId="0" xfId="296" applyFill="1" applyAlignment="1">
      <alignment horizontal="right"/>
    </xf>
    <xf numFmtId="178" fontId="17" fillId="3" borderId="0" xfId="296" applyNumberFormat="1" applyFill="1"/>
    <xf numFmtId="0" fontId="17" fillId="3" borderId="0" xfId="296" applyFill="1"/>
    <xf numFmtId="170" fontId="4" fillId="0" borderId="0" xfId="20" applyNumberFormat="1" applyFont="1"/>
    <xf numFmtId="0" fontId="137" fillId="0" borderId="3" xfId="222" applyFont="1" applyBorder="1"/>
    <xf numFmtId="0" fontId="18" fillId="0" borderId="0" xfId="222"/>
    <xf numFmtId="49" fontId="125" fillId="0" borderId="4" xfId="0" applyNumberFormat="1" applyFont="1" applyBorder="1" applyAlignment="1">
      <alignment wrapText="1"/>
    </xf>
    <xf numFmtId="0" fontId="4" fillId="0" borderId="5" xfId="0" applyFont="1" applyBorder="1"/>
    <xf numFmtId="10" fontId="4" fillId="0" borderId="12" xfId="20" applyNumberFormat="1" applyFont="1" applyBorder="1"/>
    <xf numFmtId="0" fontId="58" fillId="4" borderId="8" xfId="0" applyFont="1" applyFill="1" applyBorder="1" applyAlignment="1">
      <alignment horizontal="center"/>
    </xf>
    <xf numFmtId="171" fontId="31" fillId="33" borderId="0" xfId="34" applyNumberFormat="1" applyFont="1" applyFill="1" applyAlignment="1">
      <alignment horizontal="center"/>
    </xf>
    <xf numFmtId="171" fontId="63" fillId="33" borderId="0" xfId="34" applyNumberFormat="1" applyFont="1" applyFill="1" applyBorder="1" applyAlignment="1">
      <alignment horizontal="center" vertical="center"/>
    </xf>
    <xf numFmtId="171" fontId="0" fillId="33" borderId="0" xfId="34" applyNumberFormat="1" applyFont="1" applyFill="1"/>
    <xf numFmtId="2" fontId="87" fillId="0" borderId="0" xfId="0" applyNumberFormat="1" applyFont="1"/>
    <xf numFmtId="171" fontId="31" fillId="0" borderId="14" xfId="34" applyNumberFormat="1" applyFont="1" applyBorder="1"/>
    <xf numFmtId="0" fontId="139" fillId="4" borderId="121" xfId="0" applyFont="1" applyFill="1" applyBorder="1"/>
    <xf numFmtId="0" fontId="125" fillId="4" borderId="121" xfId="0" applyFont="1" applyFill="1" applyBorder="1"/>
    <xf numFmtId="0" fontId="125" fillId="4" borderId="0" xfId="0" applyFont="1" applyFill="1"/>
    <xf numFmtId="171" fontId="0" fillId="4" borderId="0" xfId="34" applyNumberFormat="1" applyFont="1" applyFill="1"/>
    <xf numFmtId="0" fontId="139" fillId="4" borderId="122" xfId="0" applyFont="1" applyFill="1" applyBorder="1"/>
    <xf numFmtId="0" fontId="125" fillId="4" borderId="123" xfId="0" applyFont="1" applyFill="1" applyBorder="1"/>
    <xf numFmtId="0" fontId="139" fillId="4" borderId="38" xfId="0" applyFont="1" applyFill="1" applyBorder="1" applyAlignment="1">
      <alignment horizontal="center" vertical="center"/>
    </xf>
    <xf numFmtId="0" fontId="139" fillId="4" borderId="125" xfId="0" applyFont="1" applyFill="1" applyBorder="1" applyAlignment="1">
      <alignment horizontal="center" vertical="center"/>
    </xf>
    <xf numFmtId="0" fontId="139" fillId="4" borderId="125" xfId="0" applyFont="1" applyFill="1" applyBorder="1" applyAlignment="1">
      <alignment horizontal="center" vertical="center" wrapText="1"/>
    </xf>
    <xf numFmtId="0" fontId="139" fillId="4" borderId="24" xfId="0" applyFont="1" applyFill="1" applyBorder="1" applyAlignment="1">
      <alignment horizontal="center" vertical="center" wrapText="1"/>
    </xf>
    <xf numFmtId="0" fontId="139" fillId="4" borderId="35" xfId="0" applyFont="1" applyFill="1" applyBorder="1" applyAlignment="1">
      <alignment horizontal="center" vertical="center" wrapText="1"/>
    </xf>
    <xf numFmtId="171" fontId="114" fillId="4" borderId="9" xfId="34" applyNumberFormat="1" applyFont="1" applyFill="1" applyBorder="1" applyAlignment="1">
      <alignment horizontal="right"/>
    </xf>
    <xf numFmtId="0" fontId="125" fillId="4" borderId="3" xfId="0" applyFont="1" applyFill="1" applyBorder="1"/>
    <xf numFmtId="0" fontId="125" fillId="4" borderId="126" xfId="0" applyFont="1" applyFill="1" applyBorder="1"/>
    <xf numFmtId="171" fontId="125" fillId="4" borderId="126" xfId="0" applyNumberFormat="1" applyFont="1" applyFill="1" applyBorder="1"/>
    <xf numFmtId="171" fontId="125" fillId="4" borderId="0" xfId="0" applyNumberFormat="1" applyFont="1" applyFill="1"/>
    <xf numFmtId="171" fontId="140" fillId="4" borderId="4" xfId="34" applyNumberFormat="1" applyFont="1" applyFill="1" applyBorder="1"/>
    <xf numFmtId="0" fontId="125" fillId="4" borderId="127" xfId="0" applyFont="1" applyFill="1" applyBorder="1"/>
    <xf numFmtId="0" fontId="125" fillId="4" borderId="122" xfId="0" applyFont="1" applyFill="1" applyBorder="1"/>
    <xf numFmtId="171" fontId="125" fillId="4" borderId="122" xfId="0" applyNumberFormat="1" applyFont="1" applyFill="1" applyBorder="1"/>
    <xf numFmtId="171" fontId="125" fillId="4" borderId="124" xfId="0" applyNumberFormat="1" applyFont="1" applyFill="1" applyBorder="1"/>
    <xf numFmtId="0" fontId="125" fillId="4" borderId="128" xfId="0" applyFont="1" applyFill="1" applyBorder="1"/>
    <xf numFmtId="0" fontId="125" fillId="4" borderId="129" xfId="0" applyFont="1" applyFill="1" applyBorder="1"/>
    <xf numFmtId="0" fontId="125" fillId="4" borderId="130" xfId="0" applyFont="1" applyFill="1" applyBorder="1"/>
    <xf numFmtId="171" fontId="125" fillId="4" borderId="130" xfId="0" applyNumberFormat="1" applyFont="1" applyFill="1" applyBorder="1"/>
    <xf numFmtId="171" fontId="125" fillId="4" borderId="131" xfId="0" applyNumberFormat="1" applyFont="1" applyFill="1" applyBorder="1"/>
    <xf numFmtId="171" fontId="140" fillId="4" borderId="6" xfId="34" applyNumberFormat="1" applyFont="1" applyFill="1" applyBorder="1"/>
    <xf numFmtId="0" fontId="139" fillId="4" borderId="132" xfId="0" applyFont="1" applyFill="1" applyBorder="1" applyAlignment="1">
      <alignment horizontal="right"/>
    </xf>
    <xf numFmtId="0" fontId="125" fillId="4" borderId="133" xfId="0" applyFont="1" applyFill="1" applyBorder="1"/>
    <xf numFmtId="171" fontId="139" fillId="4" borderId="132" xfId="0" applyNumberFormat="1" applyFont="1" applyFill="1" applyBorder="1"/>
    <xf numFmtId="171" fontId="139" fillId="4" borderId="134" xfId="0" applyNumberFormat="1" applyFont="1" applyFill="1" applyBorder="1"/>
    <xf numFmtId="171" fontId="140" fillId="4" borderId="0" xfId="34" applyNumberFormat="1" applyFont="1" applyFill="1"/>
    <xf numFmtId="0" fontId="125" fillId="0" borderId="121" xfId="0" applyFont="1" applyBorder="1"/>
    <xf numFmtId="0" fontId="125" fillId="0" borderId="0" xfId="0" applyFont="1"/>
    <xf numFmtId="0" fontId="125" fillId="0" borderId="122" xfId="0" applyFont="1" applyBorder="1"/>
    <xf numFmtId="0" fontId="125" fillId="0" borderId="128" xfId="0" applyFont="1" applyBorder="1"/>
    <xf numFmtId="0" fontId="125" fillId="0" borderId="135" xfId="0" applyFont="1" applyBorder="1"/>
    <xf numFmtId="0" fontId="125" fillId="66" borderId="136" xfId="0" applyFont="1" applyFill="1" applyBorder="1"/>
    <xf numFmtId="0" fontId="125" fillId="66" borderId="123" xfId="0" applyFont="1" applyFill="1" applyBorder="1"/>
    <xf numFmtId="0" fontId="139" fillId="66" borderId="122" xfId="0" applyFont="1" applyFill="1" applyBorder="1" applyAlignment="1">
      <alignment horizontal="right"/>
    </xf>
    <xf numFmtId="0" fontId="139" fillId="66" borderId="128" xfId="0" applyFont="1" applyFill="1" applyBorder="1" applyAlignment="1">
      <alignment horizontal="right"/>
    </xf>
    <xf numFmtId="0" fontId="139" fillId="66" borderId="122" xfId="0" applyFont="1" applyFill="1" applyBorder="1" applyAlignment="1">
      <alignment horizontal="right" wrapText="1"/>
    </xf>
    <xf numFmtId="0" fontId="139" fillId="66" borderId="128" xfId="0" applyFont="1" applyFill="1" applyBorder="1" applyAlignment="1">
      <alignment horizontal="right" wrapText="1"/>
    </xf>
    <xf numFmtId="0" fontId="139" fillId="66" borderId="137" xfId="0" applyFont="1" applyFill="1" applyBorder="1" applyAlignment="1">
      <alignment horizontal="right"/>
    </xf>
    <xf numFmtId="0" fontId="139" fillId="0" borderId="0" xfId="0" applyFont="1"/>
    <xf numFmtId="0" fontId="139" fillId="66" borderId="122" xfId="0" applyFont="1" applyFill="1" applyBorder="1"/>
    <xf numFmtId="0" fontId="139" fillId="66" borderId="124" xfId="0" applyFont="1" applyFill="1" applyBorder="1" applyAlignment="1">
      <alignment horizontal="right" wrapText="1"/>
    </xf>
    <xf numFmtId="0" fontId="139" fillId="66" borderId="136" xfId="0" applyFont="1" applyFill="1" applyBorder="1"/>
    <xf numFmtId="0" fontId="139" fillId="66" borderId="138" xfId="0" applyFont="1" applyFill="1" applyBorder="1"/>
    <xf numFmtId="0" fontId="139" fillId="66" borderId="0" xfId="0" applyFont="1" applyFill="1" applyAlignment="1">
      <alignment horizontal="right"/>
    </xf>
    <xf numFmtId="171" fontId="125" fillId="0" borderId="122" xfId="0" applyNumberFormat="1" applyFont="1" applyBorder="1"/>
    <xf numFmtId="171" fontId="125" fillId="0" borderId="124" xfId="0" applyNumberFormat="1" applyFont="1" applyBorder="1"/>
    <xf numFmtId="171" fontId="125" fillId="0" borderId="137" xfId="0" applyNumberFormat="1" applyFont="1" applyBorder="1"/>
    <xf numFmtId="9" fontId="125" fillId="0" borderId="0" xfId="26" applyFont="1"/>
    <xf numFmtId="0" fontId="125" fillId="0" borderId="136" xfId="0" applyFont="1" applyBorder="1"/>
    <xf numFmtId="0" fontId="125" fillId="0" borderId="126" xfId="0" applyFont="1" applyBorder="1"/>
    <xf numFmtId="171" fontId="125" fillId="0" borderId="126" xfId="0" applyNumberFormat="1" applyFont="1" applyBorder="1"/>
    <xf numFmtId="171" fontId="125" fillId="0" borderId="0" xfId="0" applyNumberFormat="1" applyFont="1"/>
    <xf numFmtId="171" fontId="125" fillId="0" borderId="139" xfId="0" applyNumberFormat="1" applyFont="1" applyBorder="1"/>
    <xf numFmtId="0" fontId="139" fillId="0" borderId="0" xfId="0" applyFont="1" applyAlignment="1">
      <alignment horizontal="right"/>
    </xf>
    <xf numFmtId="0" fontId="139" fillId="5" borderId="122" xfId="0" applyFont="1" applyFill="1" applyBorder="1"/>
    <xf numFmtId="0" fontId="139" fillId="5" borderId="128" xfId="0" applyFont="1" applyFill="1" applyBorder="1"/>
    <xf numFmtId="171" fontId="139" fillId="5" borderId="122" xfId="0" applyNumberFormat="1" applyFont="1" applyFill="1" applyBorder="1" applyAlignment="1">
      <alignment horizontal="right"/>
    </xf>
    <xf numFmtId="171" fontId="139" fillId="5" borderId="124" xfId="0" applyNumberFormat="1" applyFont="1" applyFill="1" applyBorder="1" applyAlignment="1">
      <alignment horizontal="right"/>
    </xf>
    <xf numFmtId="171" fontId="139" fillId="5" borderId="137" xfId="0" applyNumberFormat="1" applyFont="1" applyFill="1" applyBorder="1" applyAlignment="1">
      <alignment horizontal="right"/>
    </xf>
    <xf numFmtId="9" fontId="139" fillId="5" borderId="0" xfId="26" applyFont="1" applyFill="1"/>
    <xf numFmtId="171" fontId="139" fillId="5" borderId="122" xfId="0" applyNumberFormat="1" applyFont="1" applyFill="1" applyBorder="1"/>
    <xf numFmtId="171" fontId="139" fillId="5" borderId="124" xfId="0" applyNumberFormat="1" applyFont="1" applyFill="1" applyBorder="1"/>
    <xf numFmtId="171" fontId="139" fillId="5" borderId="137" xfId="0" applyNumberFormat="1" applyFont="1" applyFill="1" applyBorder="1"/>
    <xf numFmtId="0" fontId="139" fillId="0" borderId="140" xfId="0" applyFont="1" applyBorder="1"/>
    <xf numFmtId="0" fontId="139" fillId="0" borderId="141" xfId="0" applyFont="1" applyBorder="1"/>
    <xf numFmtId="171" fontId="139" fillId="0" borderId="140" xfId="0" applyNumberFormat="1" applyFont="1" applyBorder="1"/>
    <xf numFmtId="171" fontId="139" fillId="0" borderId="142" xfId="0" applyNumberFormat="1" applyFont="1" applyBorder="1"/>
    <xf numFmtId="171" fontId="139" fillId="0" borderId="121" xfId="0" applyNumberFormat="1" applyFont="1" applyBorder="1"/>
    <xf numFmtId="9" fontId="139" fillId="0" borderId="0" xfId="26" applyFont="1"/>
    <xf numFmtId="0" fontId="125" fillId="0" borderId="0" xfId="0" applyFont="1" applyAlignment="1">
      <alignment horizontal="right"/>
    </xf>
    <xf numFmtId="171" fontId="125" fillId="0" borderId="0" xfId="34" applyNumberFormat="1" applyFont="1"/>
    <xf numFmtId="43" fontId="125" fillId="0" borderId="0" xfId="34" applyFont="1"/>
    <xf numFmtId="171" fontId="139" fillId="0" borderId="0" xfId="34" applyNumberFormat="1" applyFont="1"/>
    <xf numFmtId="171" fontId="40" fillId="3" borderId="0" xfId="0" applyNumberFormat="1" applyFont="1" applyFill="1"/>
    <xf numFmtId="42" fontId="35" fillId="0" borderId="0" xfId="0" applyNumberFormat="1" applyFont="1"/>
    <xf numFmtId="0" fontId="4" fillId="0" borderId="53" xfId="23" applyBorder="1" applyAlignment="1">
      <alignment horizontal="right"/>
    </xf>
    <xf numFmtId="44" fontId="4" fillId="0" borderId="0" xfId="8" applyFont="1" applyFill="1" applyBorder="1" applyAlignment="1"/>
    <xf numFmtId="8" fontId="0" fillId="0" borderId="0" xfId="0" applyNumberFormat="1"/>
    <xf numFmtId="44" fontId="6" fillId="3" borderId="6" xfId="14" applyFont="1" applyFill="1" applyBorder="1"/>
    <xf numFmtId="9" fontId="7" fillId="0" borderId="0" xfId="20" applyNumberFormat="1" applyFont="1"/>
    <xf numFmtId="44" fontId="7" fillId="0" borderId="0" xfId="14" applyFont="1" applyFill="1" applyBorder="1"/>
    <xf numFmtId="0" fontId="0" fillId="3" borderId="0" xfId="296" applyFont="1" applyFill="1"/>
    <xf numFmtId="164" fontId="3" fillId="0" borderId="0" xfId="0" applyNumberFormat="1" applyFont="1" applyAlignment="1">
      <alignment horizontal="center"/>
    </xf>
    <xf numFmtId="0" fontId="5" fillId="0" borderId="0" xfId="0" applyFont="1"/>
    <xf numFmtId="0" fontId="33" fillId="0" borderId="0" xfId="0" applyFont="1"/>
    <xf numFmtId="0" fontId="3" fillId="0" borderId="7" xfId="20" applyFont="1" applyBorder="1"/>
    <xf numFmtId="0" fontId="3" fillId="0" borderId="8" xfId="20" applyFont="1" applyBorder="1"/>
    <xf numFmtId="0" fontId="3" fillId="0" borderId="8" xfId="20" applyFont="1" applyBorder="1" applyAlignment="1">
      <alignment horizontal="center"/>
    </xf>
    <xf numFmtId="164" fontId="3" fillId="0" borderId="9" xfId="20" applyNumberFormat="1" applyFont="1" applyBorder="1" applyAlignment="1">
      <alignment horizontal="center"/>
    </xf>
    <xf numFmtId="165" fontId="27" fillId="0" borderId="0" xfId="26" applyNumberFormat="1" applyFont="1" applyFill="1" applyBorder="1" applyAlignment="1">
      <alignment horizontal="center" wrapText="1"/>
    </xf>
    <xf numFmtId="165" fontId="4" fillId="0" borderId="0" xfId="26" applyNumberFormat="1" applyFont="1" applyFill="1" applyBorder="1" applyAlignment="1">
      <alignment horizontal="center" wrapText="1"/>
    </xf>
    <xf numFmtId="164" fontId="3" fillId="0" borderId="0" xfId="20" applyNumberFormat="1" applyFont="1" applyAlignment="1">
      <alignment horizontal="center" wrapText="1"/>
    </xf>
    <xf numFmtId="164" fontId="3" fillId="0" borderId="0" xfId="20" applyNumberFormat="1" applyFont="1" applyAlignment="1">
      <alignment horizontal="center"/>
    </xf>
    <xf numFmtId="0" fontId="29" fillId="0" borderId="38" xfId="20" applyFont="1" applyBorder="1" applyAlignment="1">
      <alignment horizontal="left"/>
    </xf>
    <xf numFmtId="0" fontId="29" fillId="0" borderId="24" xfId="20" applyFont="1" applyBorder="1" applyAlignment="1">
      <alignment horizontal="center"/>
    </xf>
    <xf numFmtId="0" fontId="29" fillId="0" borderId="35" xfId="20" applyFont="1" applyBorder="1" applyAlignment="1">
      <alignment horizontal="center"/>
    </xf>
    <xf numFmtId="0" fontId="4" fillId="0" borderId="0" xfId="20" applyFont="1" applyAlignment="1">
      <alignment horizontal="center" wrapText="1"/>
    </xf>
    <xf numFmtId="171" fontId="3" fillId="0" borderId="8" xfId="34" applyNumberFormat="1" applyFont="1" applyFill="1" applyBorder="1" applyAlignment="1">
      <alignment horizontal="center"/>
    </xf>
    <xf numFmtId="0" fontId="3" fillId="0" borderId="8" xfId="20" applyFont="1" applyBorder="1" applyAlignment="1">
      <alignment horizontal="right"/>
    </xf>
    <xf numFmtId="3" fontId="3" fillId="0" borderId="9" xfId="20" applyNumberFormat="1" applyFont="1" applyBorder="1"/>
    <xf numFmtId="171" fontId="3" fillId="0" borderId="0" xfId="34" applyNumberFormat="1" applyFont="1" applyFill="1" applyBorder="1"/>
    <xf numFmtId="0" fontId="3" fillId="0" borderId="11" xfId="20" applyFont="1" applyBorder="1" applyAlignment="1">
      <alignment wrapText="1"/>
    </xf>
    <xf numFmtId="0" fontId="3" fillId="0" borderId="0" xfId="20" applyFont="1" applyAlignment="1">
      <alignment wrapText="1"/>
    </xf>
    <xf numFmtId="0" fontId="3" fillId="0" borderId="0" xfId="20" applyFont="1" applyAlignment="1">
      <alignment horizontal="center"/>
    </xf>
    <xf numFmtId="0" fontId="3" fillId="0" borderId="4" xfId="20" applyFont="1" applyBorder="1" applyAlignment="1">
      <alignment horizontal="center"/>
    </xf>
    <xf numFmtId="9" fontId="4" fillId="0" borderId="0" xfId="26" applyFont="1" applyFill="1" applyBorder="1" applyAlignment="1">
      <alignment horizontal="center" wrapText="1"/>
    </xf>
    <xf numFmtId="0" fontId="3" fillId="0" borderId="3" xfId="0" applyFont="1" applyBorder="1"/>
    <xf numFmtId="0" fontId="4" fillId="0" borderId="3" xfId="0" applyFont="1" applyBorder="1" applyAlignment="1">
      <alignment horizontal="left"/>
    </xf>
    <xf numFmtId="166" fontId="4" fillId="0" borderId="11" xfId="20" applyNumberFormat="1" applyFont="1" applyBorder="1"/>
    <xf numFmtId="168" fontId="3" fillId="0" borderId="13" xfId="20" applyNumberFormat="1" applyFont="1" applyBorder="1"/>
    <xf numFmtId="173" fontId="4" fillId="0" borderId="0" xfId="26" applyNumberFormat="1" applyFont="1" applyFill="1"/>
    <xf numFmtId="164" fontId="4" fillId="0" borderId="3" xfId="20" applyNumberFormat="1" applyFont="1" applyBorder="1"/>
    <xf numFmtId="42" fontId="3" fillId="0" borderId="9" xfId="20" applyNumberFormat="1" applyFont="1" applyBorder="1" applyAlignment="1">
      <alignment horizontal="right"/>
    </xf>
    <xf numFmtId="4" fontId="4" fillId="0" borderId="3" xfId="20" applyNumberFormat="1" applyFont="1" applyBorder="1"/>
    <xf numFmtId="44" fontId="4" fillId="0" borderId="0" xfId="8" applyFont="1" applyFill="1" applyBorder="1" applyAlignment="1">
      <alignment horizontal="left"/>
    </xf>
    <xf numFmtId="44" fontId="3" fillId="0" borderId="11" xfId="20" applyNumberFormat="1" applyFont="1" applyBorder="1" applyAlignment="1">
      <alignment horizontal="right"/>
    </xf>
    <xf numFmtId="168" fontId="3" fillId="0" borderId="4" xfId="14" applyNumberFormat="1" applyFont="1" applyFill="1" applyBorder="1"/>
    <xf numFmtId="10" fontId="4" fillId="0" borderId="13" xfId="31" applyNumberFormat="1" applyFont="1" applyFill="1" applyBorder="1" applyAlignment="1">
      <alignment horizontal="center"/>
    </xf>
    <xf numFmtId="42" fontId="3" fillId="0" borderId="4" xfId="20" applyNumberFormat="1" applyFont="1" applyBorder="1" applyAlignment="1">
      <alignment horizontal="right"/>
    </xf>
    <xf numFmtId="10" fontId="4" fillId="0" borderId="0" xfId="20" applyNumberFormat="1" applyFont="1" applyAlignment="1">
      <alignment horizontal="center"/>
    </xf>
    <xf numFmtId="10" fontId="3" fillId="0" borderId="0" xfId="20" applyNumberFormat="1" applyFont="1" applyAlignment="1">
      <alignment horizontal="center"/>
    </xf>
    <xf numFmtId="168" fontId="3" fillId="0" borderId="4" xfId="14" applyNumberFormat="1" applyFont="1" applyFill="1" applyBorder="1" applyAlignment="1">
      <alignment horizontal="right"/>
    </xf>
    <xf numFmtId="44" fontId="3" fillId="0" borderId="0" xfId="14" applyFont="1" applyFill="1" applyBorder="1"/>
    <xf numFmtId="10" fontId="27" fillId="0" borderId="12" xfId="26" applyNumberFormat="1" applyFont="1" applyFill="1" applyBorder="1"/>
    <xf numFmtId="10" fontId="4" fillId="0" borderId="12" xfId="26" applyNumberFormat="1" applyFont="1" applyFill="1" applyBorder="1"/>
    <xf numFmtId="0" fontId="4" fillId="0" borderId="6" xfId="0" applyFont="1" applyBorder="1" applyAlignment="1">
      <alignment wrapText="1"/>
    </xf>
    <xf numFmtId="10" fontId="3" fillId="0" borderId="0" xfId="26" applyNumberFormat="1" applyFont="1" applyFill="1" applyBorder="1"/>
    <xf numFmtId="0" fontId="4" fillId="0" borderId="9" xfId="0" applyFont="1" applyBorder="1" applyAlignment="1">
      <alignment wrapText="1"/>
    </xf>
    <xf numFmtId="0" fontId="3" fillId="0" borderId="0" xfId="20" applyFont="1" applyAlignment="1">
      <alignment horizontal="center" vertical="center" wrapText="1"/>
    </xf>
    <xf numFmtId="0" fontId="27" fillId="0" borderId="0" xfId="20" applyFont="1" applyAlignment="1">
      <alignment horizontal="center" vertical="center" wrapText="1"/>
    </xf>
    <xf numFmtId="0" fontId="3" fillId="0" borderId="0" xfId="0" applyFont="1"/>
    <xf numFmtId="171" fontId="27" fillId="0" borderId="0" xfId="34" applyNumberFormat="1" applyFont="1" applyFill="1" applyBorder="1" applyAlignment="1">
      <alignment horizontal="center"/>
    </xf>
    <xf numFmtId="171" fontId="4" fillId="0" borderId="0" xfId="34" applyNumberFormat="1" applyFont="1" applyFill="1" applyBorder="1" applyAlignment="1">
      <alignment horizontal="center" vertical="center"/>
    </xf>
    <xf numFmtId="0" fontId="4" fillId="0" borderId="3" xfId="0" applyFont="1" applyBorder="1" applyAlignment="1">
      <alignment wrapText="1"/>
    </xf>
    <xf numFmtId="0" fontId="4" fillId="0" borderId="0" xfId="0" applyFont="1" applyAlignment="1">
      <alignment wrapText="1"/>
    </xf>
    <xf numFmtId="0" fontId="4" fillId="0" borderId="0" xfId="0" applyFont="1" applyAlignment="1">
      <alignment horizontal="left"/>
    </xf>
    <xf numFmtId="0" fontId="3" fillId="0" borderId="3" xfId="20" applyFont="1" applyBorder="1" applyAlignment="1">
      <alignment horizontal="right"/>
    </xf>
    <xf numFmtId="0" fontId="3" fillId="0" borderId="0" xfId="20" applyFont="1" applyAlignment="1">
      <alignment horizontal="right"/>
    </xf>
    <xf numFmtId="4" fontId="3" fillId="0" borderId="0" xfId="0" applyNumberFormat="1" applyFont="1" applyAlignment="1">
      <alignment horizontal="center"/>
    </xf>
    <xf numFmtId="3" fontId="27" fillId="0" borderId="0" xfId="0" applyNumberFormat="1" applyFont="1" applyAlignment="1">
      <alignment horizontal="right"/>
    </xf>
    <xf numFmtId="3" fontId="3" fillId="0" borderId="0" xfId="0" applyNumberFormat="1" applyFont="1" applyAlignment="1">
      <alignment horizontal="right"/>
    </xf>
    <xf numFmtId="0" fontId="4" fillId="0" borderId="0" xfId="20" applyFont="1" applyAlignment="1">
      <alignment vertical="center"/>
    </xf>
    <xf numFmtId="171" fontId="27" fillId="0" borderId="0" xfId="34" applyNumberFormat="1" applyFont="1" applyFill="1" applyBorder="1" applyAlignment="1">
      <alignment horizontal="center" vertical="center"/>
    </xf>
    <xf numFmtId="0" fontId="4" fillId="0" borderId="4" xfId="20" applyFont="1" applyBorder="1" applyAlignment="1">
      <alignment vertical="center" wrapText="1"/>
    </xf>
    <xf numFmtId="0" fontId="4" fillId="0" borderId="3" xfId="20" applyFont="1" applyBorder="1" applyAlignment="1">
      <alignment vertical="center" wrapText="1"/>
    </xf>
    <xf numFmtId="0" fontId="4" fillId="0" borderId="0" xfId="20" applyFont="1" applyAlignment="1">
      <alignment vertical="center" wrapText="1"/>
    </xf>
    <xf numFmtId="0" fontId="27" fillId="0" borderId="12" xfId="20" applyFont="1" applyBorder="1"/>
    <xf numFmtId="0" fontId="4" fillId="0" borderId="6" xfId="20" applyFont="1" applyBorder="1" applyAlignment="1">
      <alignment wrapText="1"/>
    </xf>
    <xf numFmtId="0" fontId="141" fillId="0" borderId="0" xfId="0" applyFont="1"/>
    <xf numFmtId="0" fontId="141" fillId="0" borderId="0" xfId="0" applyFont="1" applyAlignment="1">
      <alignment horizontal="right"/>
    </xf>
    <xf numFmtId="44" fontId="0" fillId="0" borderId="111" xfId="0" applyNumberFormat="1" applyBorder="1"/>
    <xf numFmtId="44" fontId="0" fillId="0" borderId="75" xfId="0" applyNumberFormat="1" applyBorder="1"/>
    <xf numFmtId="44" fontId="0" fillId="0" borderId="36" xfId="0" applyNumberFormat="1" applyBorder="1"/>
    <xf numFmtId="0" fontId="0" fillId="0" borderId="143" xfId="0" applyBorder="1"/>
    <xf numFmtId="0" fontId="0" fillId="67" borderId="143" xfId="0" applyFill="1" applyBorder="1"/>
    <xf numFmtId="0" fontId="0" fillId="0" borderId="144" xfId="0" applyBorder="1" applyAlignment="1">
      <alignment wrapText="1"/>
    </xf>
    <xf numFmtId="0" fontId="0" fillId="0" borderId="145" xfId="0" applyBorder="1" applyAlignment="1">
      <alignment wrapText="1"/>
    </xf>
    <xf numFmtId="0" fontId="0" fillId="0" borderId="143" xfId="0" applyBorder="1" applyAlignment="1">
      <alignment wrapText="1"/>
    </xf>
    <xf numFmtId="0" fontId="0" fillId="67" borderId="143" xfId="0" applyFill="1" applyBorder="1" applyAlignment="1">
      <alignment wrapText="1"/>
    </xf>
    <xf numFmtId="0" fontId="0" fillId="0" borderId="146" xfId="0" applyBorder="1"/>
    <xf numFmtId="44" fontId="0" fillId="0" borderId="143" xfId="0" applyNumberFormat="1" applyBorder="1"/>
    <xf numFmtId="44" fontId="0" fillId="67" borderId="75" xfId="0" applyNumberFormat="1" applyFill="1" applyBorder="1"/>
    <xf numFmtId="44" fontId="0" fillId="0" borderId="146" xfId="0" applyNumberFormat="1" applyBorder="1"/>
    <xf numFmtId="0" fontId="0" fillId="0" borderId="147" xfId="0" applyBorder="1"/>
    <xf numFmtId="44" fontId="0" fillId="0" borderId="144" xfId="0" applyNumberFormat="1" applyBorder="1"/>
    <xf numFmtId="44" fontId="0" fillId="8" borderId="75" xfId="0" applyNumberFormat="1" applyFill="1" applyBorder="1"/>
    <xf numFmtId="0" fontId="18" fillId="0" borderId="0" xfId="312"/>
    <xf numFmtId="0" fontId="18" fillId="0" borderId="0" xfId="313"/>
    <xf numFmtId="171" fontId="0" fillId="4" borderId="0" xfId="0" applyNumberFormat="1" applyFill="1"/>
    <xf numFmtId="10" fontId="3" fillId="0" borderId="0" xfId="20" applyNumberFormat="1" applyFont="1" applyAlignment="1">
      <alignment horizontal="right"/>
    </xf>
    <xf numFmtId="44" fontId="3" fillId="0" borderId="6" xfId="14" applyFont="1" applyFill="1" applyBorder="1"/>
    <xf numFmtId="10" fontId="3" fillId="0" borderId="0" xfId="26" applyNumberFormat="1" applyFont="1" applyFill="1" applyBorder="1" applyAlignment="1">
      <alignment horizontal="right"/>
    </xf>
    <xf numFmtId="44" fontId="3" fillId="0" borderId="35" xfId="20" applyNumberFormat="1" applyFont="1" applyBorder="1"/>
    <xf numFmtId="44" fontId="3" fillId="0" borderId="35" xfId="14" applyFont="1" applyFill="1" applyBorder="1"/>
    <xf numFmtId="42" fontId="51" fillId="4" borderId="0" xfId="0" applyNumberFormat="1" applyFont="1" applyFill="1"/>
    <xf numFmtId="170" fontId="51" fillId="4" borderId="0" xfId="0" applyNumberFormat="1" applyFont="1" applyFill="1"/>
    <xf numFmtId="0" fontId="27" fillId="4" borderId="8" xfId="20" applyFont="1" applyFill="1" applyBorder="1" applyAlignment="1">
      <alignment horizontal="center"/>
    </xf>
    <xf numFmtId="177" fontId="3" fillId="0" borderId="6" xfId="14" applyNumberFormat="1" applyFont="1" applyFill="1" applyBorder="1"/>
    <xf numFmtId="0" fontId="7" fillId="0" borderId="5" xfId="0" applyFont="1" applyBorder="1"/>
    <xf numFmtId="2" fontId="41" fillId="0" borderId="0" xfId="0" applyNumberFormat="1" applyFont="1"/>
    <xf numFmtId="0" fontId="41" fillId="0" borderId="0" xfId="0" applyFont="1"/>
    <xf numFmtId="0" fontId="35" fillId="0" borderId="3" xfId="0" applyFont="1" applyBorder="1"/>
    <xf numFmtId="177" fontId="6" fillId="3" borderId="6" xfId="14" applyNumberFormat="1" applyFont="1" applyFill="1" applyBorder="1" applyAlignment="1">
      <alignment horizontal="right"/>
    </xf>
    <xf numFmtId="177" fontId="6" fillId="0" borderId="6" xfId="14" applyNumberFormat="1" applyFont="1" applyFill="1" applyBorder="1"/>
    <xf numFmtId="0" fontId="47" fillId="4" borderId="0" xfId="20" applyFont="1" applyFill="1"/>
    <xf numFmtId="172" fontId="4" fillId="4" borderId="12" xfId="0" applyNumberFormat="1" applyFont="1" applyFill="1" applyBorder="1" applyAlignment="1">
      <alignment horizontal="center"/>
    </xf>
    <xf numFmtId="44" fontId="6" fillId="0" borderId="6" xfId="14" applyFont="1" applyFill="1" applyBorder="1" applyAlignment="1">
      <alignment horizontal="right"/>
    </xf>
    <xf numFmtId="178" fontId="4" fillId="4" borderId="4" xfId="20" applyNumberFormat="1" applyFont="1" applyFill="1" applyBorder="1" applyAlignment="1">
      <alignment horizontal="right"/>
    </xf>
    <xf numFmtId="0" fontId="47" fillId="0" borderId="4" xfId="20" applyFont="1" applyBorder="1"/>
    <xf numFmtId="0" fontId="47" fillId="0" borderId="3" xfId="20" applyFont="1" applyBorder="1"/>
    <xf numFmtId="178" fontId="3" fillId="4" borderId="22" xfId="20" applyNumberFormat="1" applyFont="1" applyFill="1" applyBorder="1" applyAlignment="1">
      <alignment horizontal="right"/>
    </xf>
    <xf numFmtId="178" fontId="4" fillId="4" borderId="4" xfId="20" applyNumberFormat="1" applyFont="1" applyFill="1" applyBorder="1"/>
    <xf numFmtId="2" fontId="87" fillId="0" borderId="16" xfId="0" applyNumberFormat="1" applyFont="1" applyBorder="1" applyAlignment="1">
      <alignment horizontal="center"/>
    </xf>
    <xf numFmtId="10" fontId="3" fillId="0" borderId="12" xfId="26" applyNumberFormat="1" applyFont="1" applyFill="1" applyBorder="1"/>
    <xf numFmtId="0" fontId="143" fillId="0" borderId="0" xfId="207" applyFont="1" applyAlignment="1">
      <alignment vertical="center"/>
    </xf>
    <xf numFmtId="0" fontId="17" fillId="0" borderId="0" xfId="211"/>
    <xf numFmtId="0" fontId="144" fillId="0" borderId="0" xfId="315"/>
    <xf numFmtId="0" fontId="17" fillId="0" borderId="0" xfId="207"/>
    <xf numFmtId="0" fontId="145" fillId="68" borderId="148" xfId="207" applyFont="1" applyFill="1" applyBorder="1" applyAlignment="1">
      <alignment horizontal="center" vertical="center"/>
    </xf>
    <xf numFmtId="0" fontId="145" fillId="68" borderId="149" xfId="207" applyFont="1" applyFill="1" applyBorder="1" applyAlignment="1">
      <alignment horizontal="center" vertical="center" wrapText="1"/>
    </xf>
    <xf numFmtId="0" fontId="145" fillId="68" borderId="150" xfId="207" applyFont="1" applyFill="1" applyBorder="1" applyAlignment="1">
      <alignment horizontal="center" vertical="center" wrapText="1"/>
    </xf>
    <xf numFmtId="0" fontId="145" fillId="68" borderId="151" xfId="207" applyFont="1" applyFill="1" applyBorder="1" applyAlignment="1">
      <alignment horizontal="center" vertical="center" wrapText="1"/>
    </xf>
    <xf numFmtId="0" fontId="145" fillId="68" borderId="152" xfId="207" applyFont="1" applyFill="1" applyBorder="1" applyAlignment="1">
      <alignment horizontal="center" vertical="center" wrapText="1"/>
    </xf>
    <xf numFmtId="0" fontId="145" fillId="68" borderId="153" xfId="207" applyFont="1" applyFill="1" applyBorder="1" applyAlignment="1">
      <alignment horizontal="center" vertical="center" wrapText="1"/>
    </xf>
    <xf numFmtId="0" fontId="148" fillId="0" borderId="151" xfId="207" applyFont="1" applyBorder="1" applyAlignment="1">
      <alignment horizontal="center" vertical="center" wrapText="1"/>
    </xf>
    <xf numFmtId="8" fontId="148" fillId="0" borderId="149" xfId="207" applyNumberFormat="1" applyFont="1" applyBorder="1" applyAlignment="1">
      <alignment horizontal="center" vertical="center" wrapText="1"/>
    </xf>
    <xf numFmtId="8" fontId="148" fillId="0" borderId="150" xfId="207" applyNumberFormat="1" applyFont="1" applyBorder="1" applyAlignment="1">
      <alignment horizontal="center" vertical="center" wrapText="1"/>
    </xf>
    <xf numFmtId="8" fontId="148" fillId="0" borderId="154" xfId="207" applyNumberFormat="1" applyFont="1" applyBorder="1" applyAlignment="1">
      <alignment horizontal="center" vertical="center" wrapText="1"/>
    </xf>
    <xf numFmtId="8" fontId="148" fillId="69" borderId="155" xfId="207" applyNumberFormat="1" applyFont="1" applyFill="1" applyBorder="1" applyAlignment="1">
      <alignment horizontal="center" vertical="center" wrapText="1"/>
    </xf>
    <xf numFmtId="8" fontId="148" fillId="69" borderId="156" xfId="207" applyNumberFormat="1" applyFont="1" applyFill="1" applyBorder="1" applyAlignment="1">
      <alignment horizontal="center" vertical="center" wrapText="1"/>
    </xf>
    <xf numFmtId="8" fontId="148" fillId="0" borderId="157" xfId="207" applyNumberFormat="1" applyFont="1" applyBorder="1" applyAlignment="1">
      <alignment horizontal="center" vertical="center" wrapText="1"/>
    </xf>
    <xf numFmtId="8" fontId="148" fillId="69" borderId="151" xfId="207" applyNumberFormat="1" applyFont="1" applyFill="1" applyBorder="1" applyAlignment="1">
      <alignment horizontal="center" vertical="center" wrapText="1"/>
    </xf>
    <xf numFmtId="8" fontId="148" fillId="69" borderId="153" xfId="207" applyNumberFormat="1" applyFont="1" applyFill="1" applyBorder="1" applyAlignment="1">
      <alignment horizontal="center" vertical="center" wrapText="1"/>
    </xf>
    <xf numFmtId="0" fontId="148" fillId="0" borderId="158" xfId="207" applyFont="1" applyBorder="1" applyAlignment="1">
      <alignment horizontal="center" vertical="center" wrapText="1"/>
    </xf>
    <xf numFmtId="8" fontId="148" fillId="0" borderId="159" xfId="207" applyNumberFormat="1" applyFont="1" applyBorder="1" applyAlignment="1">
      <alignment horizontal="center" vertical="center" wrapText="1"/>
    </xf>
    <xf numFmtId="8" fontId="148" fillId="0" borderId="160" xfId="207" applyNumberFormat="1" applyFont="1" applyBorder="1" applyAlignment="1">
      <alignment horizontal="center" vertical="center" wrapText="1"/>
    </xf>
    <xf numFmtId="8" fontId="148" fillId="0" borderId="161" xfId="207" applyNumberFormat="1" applyFont="1" applyBorder="1" applyAlignment="1">
      <alignment horizontal="center" vertical="center" wrapText="1"/>
    </xf>
    <xf numFmtId="8" fontId="148" fillId="69" borderId="158" xfId="207" applyNumberFormat="1" applyFont="1" applyFill="1" applyBorder="1" applyAlignment="1">
      <alignment horizontal="center" vertical="center" wrapText="1"/>
    </xf>
    <xf numFmtId="8" fontId="148" fillId="69" borderId="162" xfId="207" applyNumberFormat="1" applyFont="1" applyFill="1" applyBorder="1" applyAlignment="1">
      <alignment horizontal="center" vertical="center" wrapText="1"/>
    </xf>
    <xf numFmtId="8" fontId="148" fillId="0" borderId="163" xfId="207" applyNumberFormat="1" applyFont="1" applyBorder="1" applyAlignment="1">
      <alignment horizontal="center" vertical="center" wrapText="1"/>
    </xf>
    <xf numFmtId="0" fontId="47" fillId="0" borderId="0" xfId="207" applyFont="1"/>
    <xf numFmtId="0" fontId="109" fillId="0" borderId="8" xfId="207" applyFont="1" applyBorder="1"/>
    <xf numFmtId="0" fontId="109" fillId="0" borderId="164" xfId="207" applyFont="1" applyBorder="1"/>
    <xf numFmtId="8" fontId="109" fillId="0" borderId="164" xfId="207" applyNumberFormat="1" applyFont="1" applyBorder="1" applyAlignment="1">
      <alignment horizontal="center"/>
    </xf>
    <xf numFmtId="8" fontId="109" fillId="69" borderId="164" xfId="207" applyNumberFormat="1" applyFont="1" applyFill="1" applyBorder="1" applyAlignment="1">
      <alignment horizontal="center"/>
    </xf>
    <xf numFmtId="8" fontId="17" fillId="0" borderId="0" xfId="211" applyNumberFormat="1"/>
    <xf numFmtId="8" fontId="109" fillId="0" borderId="71" xfId="207" applyNumberFormat="1" applyFont="1" applyBorder="1"/>
    <xf numFmtId="0" fontId="109" fillId="0" borderId="71" xfId="207" applyFont="1" applyBorder="1" applyAlignment="1">
      <alignment horizontal="center"/>
    </xf>
    <xf numFmtId="8" fontId="109" fillId="0" borderId="54" xfId="207" applyNumberFormat="1" applyFont="1" applyBorder="1"/>
    <xf numFmtId="8" fontId="47" fillId="0" borderId="36" xfId="207" applyNumberFormat="1" applyFont="1" applyBorder="1"/>
    <xf numFmtId="10" fontId="47" fillId="0" borderId="36" xfId="262" applyNumberFormat="1" applyFont="1" applyBorder="1"/>
    <xf numFmtId="8" fontId="109" fillId="3" borderId="35" xfId="207" applyNumberFormat="1" applyFont="1" applyFill="1" applyBorder="1"/>
    <xf numFmtId="8" fontId="109" fillId="0" borderId="55" xfId="207" applyNumberFormat="1" applyFont="1" applyBorder="1"/>
    <xf numFmtId="8" fontId="109" fillId="0" borderId="26" xfId="207" applyNumberFormat="1" applyFont="1" applyBorder="1"/>
    <xf numFmtId="10" fontId="3" fillId="4" borderId="0" xfId="31" applyNumberFormat="1" applyFont="1" applyFill="1" applyBorder="1" applyAlignment="1">
      <alignment horizontal="right"/>
    </xf>
    <xf numFmtId="42" fontId="27" fillId="3" borderId="0" xfId="0" applyNumberFormat="1" applyFont="1" applyFill="1"/>
    <xf numFmtId="0" fontId="4" fillId="4" borderId="8" xfId="0" applyFont="1" applyFill="1" applyBorder="1" applyAlignment="1">
      <alignment horizontal="left" vertical="top" wrapText="1"/>
    </xf>
    <xf numFmtId="0" fontId="4" fillId="4" borderId="0" xfId="0" applyFont="1" applyFill="1" applyAlignment="1">
      <alignment horizontal="left" vertical="top" wrapText="1"/>
    </xf>
    <xf numFmtId="0" fontId="10" fillId="4" borderId="16" xfId="20" applyFont="1" applyFill="1" applyBorder="1" applyAlignment="1">
      <alignment horizontal="center" wrapText="1"/>
    </xf>
    <xf numFmtId="9" fontId="4" fillId="0" borderId="0" xfId="26" applyFont="1" applyFill="1" applyAlignment="1">
      <alignment wrapText="1"/>
    </xf>
    <xf numFmtId="0" fontId="4" fillId="4" borderId="5" xfId="0" applyFont="1" applyFill="1" applyBorder="1"/>
    <xf numFmtId="0" fontId="4" fillId="4" borderId="12" xfId="0" applyFont="1" applyFill="1" applyBorder="1"/>
    <xf numFmtId="44" fontId="18" fillId="4" borderId="24" xfId="222" applyNumberFormat="1" applyFill="1" applyBorder="1" applyAlignment="1">
      <alignment horizontal="left"/>
    </xf>
    <xf numFmtId="0" fontId="137" fillId="4" borderId="38" xfId="222" applyFont="1" applyFill="1" applyBorder="1" applyAlignment="1">
      <alignment horizontal="left"/>
    </xf>
    <xf numFmtId="0" fontId="18" fillId="4" borderId="0" xfId="222" applyFill="1"/>
    <xf numFmtId="0" fontId="18" fillId="4" borderId="24" xfId="222" applyFill="1" applyBorder="1"/>
    <xf numFmtId="0" fontId="18" fillId="4" borderId="35" xfId="222" applyFill="1" applyBorder="1"/>
    <xf numFmtId="0" fontId="137" fillId="4" borderId="3" xfId="222" applyFont="1" applyFill="1" applyBorder="1"/>
    <xf numFmtId="0" fontId="18" fillId="4" borderId="4" xfId="222" applyFill="1" applyBorder="1"/>
    <xf numFmtId="0" fontId="18" fillId="4" borderId="12" xfId="222" applyFill="1" applyBorder="1"/>
    <xf numFmtId="0" fontId="18" fillId="4" borderId="5" xfId="222" applyFill="1" applyBorder="1"/>
    <xf numFmtId="0" fontId="18" fillId="4" borderId="6" xfId="222" applyFill="1" applyBorder="1"/>
    <xf numFmtId="0" fontId="137" fillId="4" borderId="5" xfId="222" applyFont="1" applyFill="1" applyBorder="1"/>
    <xf numFmtId="168" fontId="138" fillId="4" borderId="12" xfId="222" applyNumberFormat="1" applyFont="1" applyFill="1" applyBorder="1"/>
    <xf numFmtId="44" fontId="18" fillId="4" borderId="12" xfId="222" applyNumberFormat="1" applyFill="1" applyBorder="1"/>
    <xf numFmtId="0" fontId="149" fillId="0" borderId="4" xfId="222" applyFont="1" applyBorder="1"/>
    <xf numFmtId="0" fontId="149" fillId="0" borderId="6" xfId="222" applyFont="1" applyBorder="1"/>
    <xf numFmtId="0" fontId="149" fillId="0" borderId="35" xfId="222" applyFont="1" applyBorder="1"/>
    <xf numFmtId="168" fontId="150" fillId="0" borderId="4" xfId="222" applyNumberFormat="1" applyFont="1" applyBorder="1"/>
    <xf numFmtId="44" fontId="4" fillId="0" borderId="0" xfId="20" applyNumberFormat="1" applyFont="1" applyAlignment="1">
      <alignment horizontal="center"/>
    </xf>
    <xf numFmtId="10" fontId="4" fillId="0" borderId="0" xfId="26" applyNumberFormat="1" applyFont="1" applyFill="1" applyAlignment="1">
      <alignment horizontal="center"/>
    </xf>
    <xf numFmtId="44" fontId="4" fillId="0" borderId="0" xfId="26" applyNumberFormat="1" applyFont="1" applyFill="1" applyAlignment="1">
      <alignment horizontal="center"/>
    </xf>
    <xf numFmtId="44" fontId="4" fillId="0" borderId="0" xfId="8" applyFont="1" applyFill="1" applyAlignment="1">
      <alignment horizontal="center"/>
    </xf>
    <xf numFmtId="43" fontId="4" fillId="0" borderId="0" xfId="34" applyFont="1" applyFill="1" applyAlignment="1">
      <alignment horizontal="center"/>
    </xf>
    <xf numFmtId="4" fontId="4" fillId="0" borderId="0" xfId="20" applyNumberFormat="1" applyFont="1" applyAlignment="1">
      <alignment horizontal="center" vertical="center"/>
    </xf>
    <xf numFmtId="43" fontId="17" fillId="4" borderId="0" xfId="34" applyFill="1"/>
    <xf numFmtId="0" fontId="17" fillId="4" borderId="0" xfId="20" applyFill="1" applyAlignment="1">
      <alignment horizontal="left"/>
    </xf>
    <xf numFmtId="0" fontId="17" fillId="4" borderId="0" xfId="20" applyFill="1" applyAlignment="1">
      <alignment horizontal="left" vertical="center"/>
    </xf>
    <xf numFmtId="0" fontId="28" fillId="4" borderId="0" xfId="20" applyFont="1" applyFill="1" applyAlignment="1">
      <alignment horizontal="left"/>
    </xf>
    <xf numFmtId="0" fontId="13" fillId="4" borderId="0" xfId="0" applyFont="1" applyFill="1" applyAlignment="1">
      <alignment horizontal="left"/>
    </xf>
    <xf numFmtId="0" fontId="4" fillId="4" borderId="0" xfId="0" applyFont="1" applyFill="1" applyAlignment="1">
      <alignment horizontal="left" vertical="center" wrapText="1"/>
    </xf>
    <xf numFmtId="0" fontId="7" fillId="4" borderId="0" xfId="0" applyFont="1" applyFill="1" applyAlignment="1">
      <alignment horizontal="left"/>
    </xf>
    <xf numFmtId="0" fontId="47" fillId="4" borderId="0" xfId="20" applyFont="1" applyFill="1" applyAlignment="1">
      <alignment horizontal="left"/>
    </xf>
    <xf numFmtId="0" fontId="17" fillId="0" borderId="0" xfId="20" applyAlignment="1">
      <alignment horizontal="left"/>
    </xf>
    <xf numFmtId="0" fontId="17" fillId="16" borderId="0" xfId="20" applyFill="1" applyAlignment="1">
      <alignment horizontal="left"/>
    </xf>
    <xf numFmtId="0" fontId="21" fillId="0" borderId="0" xfId="20" applyFont="1" applyAlignment="1">
      <alignment horizontal="left"/>
    </xf>
    <xf numFmtId="0" fontId="137" fillId="0" borderId="0" xfId="222" applyFont="1"/>
    <xf numFmtId="44" fontId="17" fillId="0" borderId="0" xfId="8"/>
    <xf numFmtId="4" fontId="4" fillId="0" borderId="0" xfId="20" applyNumberFormat="1" applyFont="1" applyAlignment="1">
      <alignment vertical="center"/>
    </xf>
    <xf numFmtId="9" fontId="4" fillId="0" borderId="0" xfId="26" applyFont="1" applyFill="1"/>
    <xf numFmtId="168" fontId="4" fillId="0" borderId="11" xfId="8" applyNumberFormat="1" applyFont="1" applyFill="1" applyBorder="1"/>
    <xf numFmtId="0" fontId="153" fillId="0" borderId="0" xfId="316" applyFont="1"/>
    <xf numFmtId="0" fontId="154" fillId="0" borderId="0" xfId="316" applyFont="1" applyAlignment="1">
      <alignment horizontal="center"/>
    </xf>
    <xf numFmtId="0" fontId="153" fillId="0" borderId="0" xfId="316" applyFont="1" applyAlignment="1">
      <alignment wrapText="1"/>
    </xf>
    <xf numFmtId="17" fontId="155" fillId="0" borderId="0" xfId="316" applyNumberFormat="1" applyFont="1" applyAlignment="1">
      <alignment horizontal="center"/>
    </xf>
    <xf numFmtId="181" fontId="156" fillId="0" borderId="0" xfId="316" applyNumberFormat="1" applyFont="1" applyAlignment="1">
      <alignment horizontal="left" vertical="top"/>
    </xf>
    <xf numFmtId="0" fontId="156" fillId="0" borderId="0" xfId="316" applyFont="1" applyAlignment="1">
      <alignment horizontal="center"/>
    </xf>
    <xf numFmtId="0" fontId="156" fillId="0" borderId="0" xfId="316" applyFont="1"/>
    <xf numFmtId="9" fontId="156" fillId="0" borderId="0" xfId="316" applyNumberFormat="1" applyFont="1" applyAlignment="1">
      <alignment horizontal="center" wrapText="1"/>
    </xf>
    <xf numFmtId="0" fontId="156" fillId="0" borderId="0" xfId="316" applyFont="1" applyAlignment="1">
      <alignment horizontal="left" wrapText="1"/>
    </xf>
    <xf numFmtId="0" fontId="157" fillId="0" borderId="7" xfId="316" applyFont="1" applyBorder="1"/>
    <xf numFmtId="177" fontId="153" fillId="0" borderId="48" xfId="316" applyNumberFormat="1" applyFont="1" applyBorder="1" applyAlignment="1">
      <alignment horizontal="center"/>
    </xf>
    <xf numFmtId="0" fontId="157" fillId="0" borderId="5" xfId="316" applyFont="1" applyBorder="1"/>
    <xf numFmtId="178" fontId="153" fillId="0" borderId="12" xfId="316" applyNumberFormat="1" applyFont="1" applyBorder="1" applyAlignment="1">
      <alignment horizontal="center"/>
    </xf>
    <xf numFmtId="0" fontId="153" fillId="0" borderId="7" xfId="316" applyFont="1" applyBorder="1"/>
    <xf numFmtId="0" fontId="153" fillId="0" borderId="8" xfId="316" applyFont="1" applyBorder="1"/>
    <xf numFmtId="0" fontId="153" fillId="0" borderId="3" xfId="316" applyFont="1" applyBorder="1"/>
    <xf numFmtId="178" fontId="153" fillId="0" borderId="0" xfId="316" applyNumberFormat="1" applyFont="1" applyAlignment="1">
      <alignment horizontal="center"/>
    </xf>
    <xf numFmtId="0" fontId="153" fillId="0" borderId="5" xfId="316" applyFont="1" applyBorder="1"/>
    <xf numFmtId="0" fontId="153" fillId="0" borderId="12" xfId="316" applyFont="1" applyBorder="1"/>
    <xf numFmtId="0" fontId="153" fillId="0" borderId="7" xfId="316" applyFont="1" applyBorder="1" applyAlignment="1">
      <alignment wrapText="1"/>
    </xf>
    <xf numFmtId="0" fontId="153" fillId="0" borderId="5" xfId="316" applyFont="1" applyBorder="1" applyAlignment="1">
      <alignment wrapText="1"/>
    </xf>
    <xf numFmtId="177" fontId="153" fillId="0" borderId="8" xfId="316" applyNumberFormat="1" applyFont="1" applyBorder="1" applyAlignment="1">
      <alignment horizontal="center"/>
    </xf>
    <xf numFmtId="177" fontId="153" fillId="0" borderId="0" xfId="316" applyNumberFormat="1" applyFont="1" applyAlignment="1">
      <alignment horizontal="center"/>
    </xf>
    <xf numFmtId="0" fontId="157" fillId="0" borderId="3" xfId="316" applyFont="1" applyBorder="1"/>
    <xf numFmtId="0" fontId="158" fillId="0" borderId="0" xfId="316" applyFont="1" applyAlignment="1">
      <alignment horizontal="right" wrapText="1"/>
    </xf>
    <xf numFmtId="0" fontId="153" fillId="0" borderId="0" xfId="316" applyFont="1" applyAlignment="1">
      <alignment horizontal="center"/>
    </xf>
    <xf numFmtId="0" fontId="153" fillId="0" borderId="0" xfId="316" applyFont="1" applyAlignment="1">
      <alignment horizontal="right"/>
    </xf>
    <xf numFmtId="10" fontId="153" fillId="0" borderId="0" xfId="283" applyNumberFormat="1" applyFont="1" applyAlignment="1">
      <alignment horizontal="center"/>
    </xf>
    <xf numFmtId="9" fontId="153" fillId="0" borderId="0" xfId="283" applyFont="1" applyAlignment="1">
      <alignment horizontal="center"/>
    </xf>
    <xf numFmtId="9" fontId="153" fillId="0" borderId="0" xfId="283" applyFont="1"/>
    <xf numFmtId="0" fontId="157" fillId="0" borderId="0" xfId="316" applyFont="1" applyAlignment="1">
      <alignment horizontal="right"/>
    </xf>
    <xf numFmtId="6" fontId="153" fillId="0" borderId="0" xfId="316" applyNumberFormat="1" applyFont="1" applyAlignment="1">
      <alignment horizontal="center"/>
    </xf>
    <xf numFmtId="0" fontId="156" fillId="0" borderId="0" xfId="316" applyFont="1" applyAlignment="1">
      <alignment horizontal="right"/>
    </xf>
    <xf numFmtId="0" fontId="156" fillId="0" borderId="0" xfId="316" applyFont="1" applyAlignment="1">
      <alignment horizontal="right" vertical="top"/>
    </xf>
    <xf numFmtId="0" fontId="3" fillId="0" borderId="0" xfId="317" applyFont="1" applyAlignment="1"/>
    <xf numFmtId="0" fontId="21" fillId="0" borderId="0" xfId="317" applyAlignment="1"/>
    <xf numFmtId="0" fontId="27" fillId="0" borderId="0" xfId="317" applyFont="1" applyAlignment="1"/>
    <xf numFmtId="0" fontId="51" fillId="0" borderId="0" xfId="317" applyFont="1" applyAlignment="1"/>
    <xf numFmtId="0" fontId="21" fillId="0" borderId="15" xfId="317" applyBorder="1" applyAlignment="1"/>
    <xf numFmtId="0" fontId="21" fillId="0" borderId="16" xfId="317" applyBorder="1" applyAlignment="1"/>
    <xf numFmtId="0" fontId="21" fillId="0" borderId="59" xfId="317" applyBorder="1" applyAlignment="1"/>
    <xf numFmtId="0" fontId="21" fillId="0" borderId="53" xfId="317" applyBorder="1" applyAlignment="1"/>
    <xf numFmtId="0" fontId="21" fillId="0" borderId="0" xfId="317" applyAlignment="1">
      <alignment horizontal="right"/>
    </xf>
    <xf numFmtId="0" fontId="3" fillId="0" borderId="0" xfId="317" applyFont="1" applyAlignment="1">
      <alignment horizontal="center"/>
    </xf>
    <xf numFmtId="0" fontId="21" fillId="0" borderId="54" xfId="317" applyBorder="1" applyAlignment="1"/>
    <xf numFmtId="14" fontId="3" fillId="0" borderId="0" xfId="206" applyNumberFormat="1" applyFont="1" applyAlignment="1">
      <alignment horizontal="center"/>
    </xf>
    <xf numFmtId="0" fontId="12" fillId="0" borderId="54" xfId="317" applyFont="1" applyBorder="1" applyAlignment="1">
      <alignment horizontal="center"/>
    </xf>
    <xf numFmtId="166" fontId="4" fillId="0" borderId="27" xfId="206" applyNumberFormat="1" applyBorder="1"/>
    <xf numFmtId="166" fontId="21" fillId="0" borderId="54" xfId="317" applyNumberFormat="1" applyBorder="1" applyAlignment="1">
      <alignment horizontal="center"/>
    </xf>
    <xf numFmtId="0" fontId="21" fillId="0" borderId="54" xfId="317" applyBorder="1" applyAlignment="1">
      <alignment horizontal="center"/>
    </xf>
    <xf numFmtId="0" fontId="21" fillId="0" borderId="53" xfId="317" applyBorder="1" applyAlignment="1">
      <alignment horizontal="right"/>
    </xf>
    <xf numFmtId="0" fontId="3" fillId="3" borderId="0" xfId="317" applyFont="1" applyFill="1" applyAlignment="1">
      <alignment horizontal="right"/>
    </xf>
    <xf numFmtId="0" fontId="21" fillId="0" borderId="56" xfId="317" applyBorder="1" applyAlignment="1"/>
    <xf numFmtId="0" fontId="21" fillId="0" borderId="11" xfId="317" applyBorder="1" applyAlignment="1"/>
    <xf numFmtId="0" fontId="21" fillId="0" borderId="55" xfId="317" applyBorder="1" applyAlignment="1"/>
    <xf numFmtId="0" fontId="10" fillId="4" borderId="4" xfId="0" applyFont="1" applyFill="1" applyBorder="1" applyAlignment="1">
      <alignment horizontal="left"/>
    </xf>
    <xf numFmtId="0" fontId="4" fillId="28" borderId="8" xfId="20" applyFont="1" applyFill="1" applyBorder="1"/>
    <xf numFmtId="0" fontId="4" fillId="28" borderId="0" xfId="20" applyFont="1" applyFill="1"/>
    <xf numFmtId="0" fontId="4" fillId="28" borderId="12" xfId="20" applyFont="1" applyFill="1" applyBorder="1"/>
    <xf numFmtId="0" fontId="4" fillId="0" borderId="10" xfId="0" applyFont="1" applyBorder="1"/>
    <xf numFmtId="10" fontId="4" fillId="0" borderId="11" xfId="26" applyNumberFormat="1" applyFont="1" applyFill="1" applyBorder="1"/>
    <xf numFmtId="0" fontId="4" fillId="3" borderId="8" xfId="0" applyFont="1" applyFill="1" applyBorder="1"/>
    <xf numFmtId="4" fontId="12" fillId="3" borderId="8" xfId="0" applyNumberFormat="1" applyFont="1" applyFill="1" applyBorder="1" applyAlignment="1">
      <alignment horizontal="center"/>
    </xf>
    <xf numFmtId="4" fontId="58" fillId="3" borderId="8" xfId="0" applyNumberFormat="1" applyFont="1" applyFill="1" applyBorder="1" applyAlignment="1">
      <alignment horizontal="center"/>
    </xf>
    <xf numFmtId="0" fontId="149" fillId="0" borderId="0" xfId="222" applyFont="1" applyAlignment="1">
      <alignment horizontal="left"/>
    </xf>
    <xf numFmtId="44" fontId="149" fillId="0" borderId="0" xfId="222" applyNumberFormat="1" applyFont="1" applyAlignment="1">
      <alignment horizontal="left"/>
    </xf>
    <xf numFmtId="0" fontId="149" fillId="0" borderId="0" xfId="222" applyFont="1"/>
    <xf numFmtId="168" fontId="150" fillId="0" borderId="0" xfId="222" applyNumberFormat="1" applyFont="1"/>
    <xf numFmtId="44" fontId="149" fillId="0" borderId="0" xfId="222" applyNumberFormat="1" applyFont="1"/>
    <xf numFmtId="0" fontId="151" fillId="4" borderId="0" xfId="20" applyFont="1" applyFill="1"/>
    <xf numFmtId="0" fontId="152" fillId="4" borderId="0" xfId="20" applyFont="1" applyFill="1"/>
    <xf numFmtId="0" fontId="137" fillId="0" borderId="0" xfId="222" applyFont="1" applyAlignment="1">
      <alignment horizontal="left"/>
    </xf>
    <xf numFmtId="44" fontId="18" fillId="0" borderId="0" xfId="222" applyNumberFormat="1" applyAlignment="1">
      <alignment horizontal="left"/>
    </xf>
    <xf numFmtId="168" fontId="138" fillId="0" borderId="0" xfId="222" applyNumberFormat="1" applyFont="1"/>
    <xf numFmtId="44" fontId="18" fillId="0" borderId="0" xfId="222" applyNumberFormat="1"/>
    <xf numFmtId="0" fontId="13" fillId="3" borderId="0" xfId="0" applyFont="1" applyFill="1"/>
    <xf numFmtId="0" fontId="163" fillId="0" borderId="79" xfId="0" applyFont="1" applyBorder="1" applyAlignment="1">
      <alignment horizontal="center" vertical="center"/>
    </xf>
    <xf numFmtId="168" fontId="31" fillId="0" borderId="0" xfId="0" applyNumberFormat="1" applyFont="1"/>
    <xf numFmtId="10" fontId="31" fillId="0" borderId="0" xfId="0" applyNumberFormat="1" applyFont="1"/>
    <xf numFmtId="0" fontId="3" fillId="4" borderId="11" xfId="20" applyFont="1" applyFill="1" applyBorder="1" applyAlignment="1">
      <alignment horizontal="right"/>
    </xf>
    <xf numFmtId="0" fontId="3" fillId="4" borderId="17" xfId="20" applyFont="1" applyFill="1" applyBorder="1" applyAlignment="1">
      <alignment horizontal="right"/>
    </xf>
    <xf numFmtId="178" fontId="4" fillId="4" borderId="0" xfId="20" applyNumberFormat="1" applyFont="1" applyFill="1" applyAlignment="1">
      <alignment horizontal="center"/>
    </xf>
    <xf numFmtId="43" fontId="4" fillId="4" borderId="0" xfId="20" applyNumberFormat="1" applyFont="1" applyFill="1"/>
    <xf numFmtId="43" fontId="4" fillId="4" borderId="0" xfId="20" applyNumberFormat="1" applyFont="1" applyFill="1" applyAlignment="1">
      <alignment horizontal="center"/>
    </xf>
    <xf numFmtId="0" fontId="4" fillId="4" borderId="21" xfId="0" applyFont="1" applyFill="1" applyBorder="1"/>
    <xf numFmtId="43" fontId="4" fillId="4" borderId="14" xfId="20" applyNumberFormat="1" applyFont="1" applyFill="1" applyBorder="1"/>
    <xf numFmtId="178" fontId="4" fillId="4" borderId="22" xfId="20" applyNumberFormat="1" applyFont="1" applyFill="1" applyBorder="1" applyAlignment="1">
      <alignment horizontal="right"/>
    </xf>
    <xf numFmtId="9" fontId="4" fillId="0" borderId="0" xfId="26" applyFont="1"/>
    <xf numFmtId="178" fontId="4" fillId="4" borderId="14" xfId="20" applyNumberFormat="1" applyFont="1" applyFill="1" applyBorder="1" applyAlignment="1">
      <alignment horizontal="center"/>
    </xf>
    <xf numFmtId="43" fontId="4" fillId="4" borderId="14" xfId="20" applyNumberFormat="1" applyFont="1" applyFill="1" applyBorder="1" applyAlignment="1">
      <alignment horizontal="center"/>
    </xf>
    <xf numFmtId="178" fontId="4" fillId="4" borderId="17" xfId="20" applyNumberFormat="1" applyFont="1" applyFill="1" applyBorder="1"/>
    <xf numFmtId="44" fontId="3" fillId="4" borderId="24" xfId="20" applyNumberFormat="1" applyFont="1" applyFill="1" applyBorder="1"/>
    <xf numFmtId="178" fontId="3" fillId="4" borderId="35" xfId="20" applyNumberFormat="1" applyFont="1" applyFill="1" applyBorder="1" applyAlignment="1">
      <alignment horizontal="right"/>
    </xf>
    <xf numFmtId="0" fontId="3" fillId="70" borderId="0" xfId="20" applyFont="1" applyFill="1"/>
    <xf numFmtId="44" fontId="3" fillId="70" borderId="0" xfId="20" applyNumberFormat="1" applyFont="1" applyFill="1"/>
    <xf numFmtId="177" fontId="3" fillId="70" borderId="0" xfId="20" applyNumberFormat="1" applyFont="1" applyFill="1" applyAlignment="1">
      <alignment horizontal="right"/>
    </xf>
    <xf numFmtId="44" fontId="3" fillId="4" borderId="8" xfId="20" applyNumberFormat="1" applyFont="1" applyFill="1" applyBorder="1"/>
    <xf numFmtId="177" fontId="3" fillId="4" borderId="9" xfId="20" applyNumberFormat="1" applyFont="1" applyFill="1" applyBorder="1" applyAlignment="1">
      <alignment horizontal="right"/>
    </xf>
    <xf numFmtId="9" fontId="4" fillId="4" borderId="0" xfId="26" applyFont="1" applyFill="1" applyBorder="1"/>
    <xf numFmtId="0" fontId="4" fillId="4" borderId="16" xfId="20" applyFont="1" applyFill="1" applyBorder="1"/>
    <xf numFmtId="44" fontId="4" fillId="4" borderId="16" xfId="20" applyNumberFormat="1" applyFont="1" applyFill="1" applyBorder="1"/>
    <xf numFmtId="7" fontId="4" fillId="4" borderId="16" xfId="20" applyNumberFormat="1" applyFont="1" applyFill="1" applyBorder="1"/>
    <xf numFmtId="178" fontId="4" fillId="4" borderId="58" xfId="12" applyNumberFormat="1" applyFont="1" applyFill="1" applyBorder="1" applyAlignment="1">
      <alignment horizontal="right"/>
    </xf>
    <xf numFmtId="7" fontId="4" fillId="4" borderId="0" xfId="20" applyNumberFormat="1" applyFont="1" applyFill="1"/>
    <xf numFmtId="178" fontId="4" fillId="4" borderId="4" xfId="12" applyNumberFormat="1" applyFont="1" applyFill="1" applyBorder="1" applyAlignment="1">
      <alignment horizontal="right"/>
    </xf>
    <xf numFmtId="178" fontId="4" fillId="4" borderId="4" xfId="14" applyNumberFormat="1" applyFont="1" applyFill="1" applyBorder="1"/>
    <xf numFmtId="177" fontId="4" fillId="4" borderId="14" xfId="20" applyNumberFormat="1" applyFont="1" applyFill="1" applyBorder="1"/>
    <xf numFmtId="178" fontId="4" fillId="4" borderId="22" xfId="14" applyNumberFormat="1" applyFont="1" applyFill="1" applyBorder="1"/>
    <xf numFmtId="7" fontId="4" fillId="4" borderId="14" xfId="20" applyNumberFormat="1" applyFont="1" applyFill="1" applyBorder="1"/>
    <xf numFmtId="178" fontId="3" fillId="4" borderId="6" xfId="14" applyNumberFormat="1" applyFont="1" applyFill="1" applyBorder="1"/>
    <xf numFmtId="10" fontId="4" fillId="4" borderId="0" xfId="14" applyNumberFormat="1" applyFont="1" applyFill="1" applyBorder="1"/>
    <xf numFmtId="10" fontId="4" fillId="4" borderId="14" xfId="31" applyNumberFormat="1" applyFont="1" applyFill="1" applyBorder="1" applyAlignment="1">
      <alignment horizontal="right"/>
    </xf>
    <xf numFmtId="10" fontId="4" fillId="4" borderId="14" xfId="20" applyNumberFormat="1" applyFont="1" applyFill="1" applyBorder="1"/>
    <xf numFmtId="0" fontId="3" fillId="4" borderId="5" xfId="20" applyFont="1" applyFill="1" applyBorder="1" applyAlignment="1">
      <alignment horizontal="left"/>
    </xf>
    <xf numFmtId="44" fontId="4" fillId="4" borderId="0" xfId="14" applyFont="1" applyFill="1"/>
    <xf numFmtId="44" fontId="3" fillId="4" borderId="0" xfId="14" applyFont="1" applyFill="1" applyAlignment="1">
      <alignment horizontal="right"/>
    </xf>
    <xf numFmtId="14" fontId="3" fillId="4" borderId="0" xfId="20" applyNumberFormat="1" applyFont="1" applyFill="1" applyAlignment="1">
      <alignment horizontal="center"/>
    </xf>
    <xf numFmtId="165" fontId="4" fillId="4" borderId="0" xfId="28" applyNumberFormat="1" applyFont="1" applyFill="1" applyAlignment="1">
      <alignment horizontal="center"/>
    </xf>
    <xf numFmtId="0" fontId="4" fillId="14" borderId="7" xfId="0" applyFont="1" applyFill="1" applyBorder="1" applyAlignment="1">
      <alignment horizontal="right"/>
    </xf>
    <xf numFmtId="0" fontId="4" fillId="14" borderId="8" xfId="0" applyFont="1" applyFill="1" applyBorder="1" applyAlignment="1">
      <alignment horizontal="right"/>
    </xf>
    <xf numFmtId="0" fontId="58" fillId="14" borderId="8" xfId="0" applyFont="1" applyFill="1" applyBorder="1" applyAlignment="1">
      <alignment horizontal="center"/>
    </xf>
    <xf numFmtId="42" fontId="4" fillId="14" borderId="9" xfId="0" applyNumberFormat="1" applyFont="1" applyFill="1" applyBorder="1"/>
    <xf numFmtId="0" fontId="4" fillId="14" borderId="3" xfId="0" applyFont="1" applyFill="1" applyBorder="1"/>
    <xf numFmtId="43" fontId="4" fillId="14" borderId="0" xfId="34" applyFont="1" applyFill="1" applyBorder="1" applyAlignment="1">
      <alignment horizontal="center"/>
    </xf>
    <xf numFmtId="0" fontId="12" fillId="14" borderId="0" xfId="0" applyFont="1" applyFill="1" applyAlignment="1">
      <alignment horizontal="center"/>
    </xf>
    <xf numFmtId="42" fontId="4" fillId="14" borderId="4" xfId="0" applyNumberFormat="1" applyFont="1" applyFill="1" applyBorder="1"/>
    <xf numFmtId="42" fontId="27" fillId="14" borderId="0" xfId="0" applyNumberFormat="1" applyFont="1" applyFill="1"/>
    <xf numFmtId="42" fontId="35" fillId="14" borderId="4" xfId="0" applyNumberFormat="1" applyFont="1" applyFill="1" applyBorder="1"/>
    <xf numFmtId="178" fontId="4" fillId="4" borderId="4" xfId="20" applyNumberFormat="1" applyFont="1" applyFill="1" applyBorder="1" applyAlignment="1">
      <alignment horizontal="center"/>
    </xf>
    <xf numFmtId="43" fontId="79" fillId="14" borderId="0" xfId="34" applyFont="1" applyFill="1" applyBorder="1" applyAlignment="1">
      <alignment horizontal="center"/>
    </xf>
    <xf numFmtId="178" fontId="4" fillId="0" borderId="0" xfId="20" applyNumberFormat="1" applyFont="1" applyAlignment="1">
      <alignment horizontal="center"/>
    </xf>
    <xf numFmtId="0" fontId="4" fillId="14" borderId="5" xfId="0" applyFont="1" applyFill="1" applyBorder="1"/>
    <xf numFmtId="43" fontId="79" fillId="14" borderId="12" xfId="34" applyFont="1" applyFill="1" applyBorder="1" applyAlignment="1">
      <alignment horizontal="center"/>
    </xf>
    <xf numFmtId="0" fontId="12" fillId="14" borderId="12" xfId="0" applyFont="1" applyFill="1" applyBorder="1" applyAlignment="1">
      <alignment horizontal="center"/>
    </xf>
    <xf numFmtId="42" fontId="4" fillId="14" borderId="6" xfId="0" applyNumberFormat="1" applyFont="1" applyFill="1" applyBorder="1"/>
    <xf numFmtId="0" fontId="79" fillId="14" borderId="3" xfId="0" applyFont="1" applyFill="1" applyBorder="1"/>
    <xf numFmtId="43" fontId="12" fillId="14" borderId="0" xfId="34" applyFont="1" applyFill="1" applyBorder="1" applyAlignment="1">
      <alignment horizontal="center"/>
    </xf>
    <xf numFmtId="0" fontId="4" fillId="14" borderId="3" xfId="0" applyFont="1" applyFill="1" applyBorder="1" applyAlignment="1">
      <alignment horizontal="right"/>
    </xf>
    <xf numFmtId="43" fontId="4" fillId="14" borderId="0" xfId="34" applyFont="1" applyFill="1" applyBorder="1"/>
    <xf numFmtId="166" fontId="4" fillId="4" borderId="14" xfId="20" applyNumberFormat="1" applyFont="1" applyFill="1" applyBorder="1"/>
    <xf numFmtId="4" fontId="4" fillId="0" borderId="14" xfId="20" applyNumberFormat="1" applyFont="1" applyBorder="1" applyAlignment="1">
      <alignment horizontal="right"/>
    </xf>
    <xf numFmtId="178" fontId="4" fillId="4" borderId="22" xfId="20" applyNumberFormat="1" applyFont="1" applyFill="1" applyBorder="1"/>
    <xf numFmtId="178" fontId="4" fillId="4" borderId="22" xfId="20" applyNumberFormat="1" applyFont="1" applyFill="1" applyBorder="1" applyAlignment="1">
      <alignment horizontal="center"/>
    </xf>
    <xf numFmtId="0" fontId="4" fillId="14" borderId="5" xfId="0" applyFont="1" applyFill="1" applyBorder="1" applyAlignment="1">
      <alignment horizontal="right"/>
    </xf>
    <xf numFmtId="43" fontId="4" fillId="14" borderId="12" xfId="34" applyFont="1" applyFill="1" applyBorder="1" applyAlignment="1">
      <alignment horizontal="center"/>
    </xf>
    <xf numFmtId="0" fontId="4" fillId="14" borderId="6" xfId="0" applyFont="1" applyFill="1" applyBorder="1"/>
    <xf numFmtId="10" fontId="4" fillId="0" borderId="0" xfId="26" applyNumberFormat="1" applyFont="1" applyBorder="1"/>
    <xf numFmtId="0" fontId="3" fillId="4" borderId="39" xfId="20" applyFont="1" applyFill="1" applyBorder="1"/>
    <xf numFmtId="0" fontId="4" fillId="66" borderId="0" xfId="20" applyFont="1" applyFill="1"/>
    <xf numFmtId="177" fontId="4" fillId="66" borderId="0" xfId="20" applyNumberFormat="1" applyFont="1" applyFill="1"/>
    <xf numFmtId="0" fontId="153" fillId="0" borderId="12" xfId="296" applyFont="1" applyBorder="1"/>
    <xf numFmtId="10" fontId="4" fillId="4" borderId="0" xfId="26" applyNumberFormat="1" applyFont="1" applyFill="1" applyBorder="1" applyAlignment="1">
      <alignment horizontal="left" wrapText="1"/>
    </xf>
    <xf numFmtId="0" fontId="4" fillId="0" borderId="3" xfId="20" applyFont="1" applyBorder="1" applyAlignment="1">
      <alignment horizontal="left"/>
    </xf>
    <xf numFmtId="0" fontId="4" fillId="0" borderId="7" xfId="0" applyFont="1" applyBorder="1" applyAlignment="1">
      <alignment wrapText="1"/>
    </xf>
    <xf numFmtId="0" fontId="12" fillId="0" borderId="8" xfId="0" applyFont="1" applyBorder="1" applyAlignment="1">
      <alignment horizontal="center" vertical="center" wrapText="1"/>
    </xf>
    <xf numFmtId="0" fontId="12" fillId="0" borderId="9" xfId="0" applyFont="1" applyBorder="1" applyAlignment="1">
      <alignment horizontal="left" vertical="center" wrapText="1"/>
    </xf>
    <xf numFmtId="0" fontId="4" fillId="0" borderId="3" xfId="0" applyFont="1" applyBorder="1" applyAlignment="1">
      <alignment vertical="center" wrapText="1"/>
    </xf>
    <xf numFmtId="4" fontId="10" fillId="0" borderId="0" xfId="0" applyNumberFormat="1" applyFont="1" applyAlignment="1">
      <alignment horizontal="center"/>
    </xf>
    <xf numFmtId="0" fontId="12" fillId="0" borderId="0" xfId="20" applyFont="1" applyAlignment="1">
      <alignment horizontal="center" vertical="center"/>
    </xf>
    <xf numFmtId="0" fontId="138" fillId="0" borderId="28" xfId="222" applyFont="1" applyBorder="1" applyAlignment="1">
      <alignment horizontal="left" wrapText="1"/>
    </xf>
    <xf numFmtId="4" fontId="27" fillId="0" borderId="0" xfId="0" applyNumberFormat="1" applyFont="1" applyAlignment="1">
      <alignment horizontal="center"/>
    </xf>
    <xf numFmtId="4" fontId="4" fillId="0" borderId="4" xfId="0" applyNumberFormat="1" applyFont="1" applyBorder="1" applyAlignment="1">
      <alignment wrapText="1"/>
    </xf>
    <xf numFmtId="4" fontId="12" fillId="0" borderId="0" xfId="0" applyNumberFormat="1" applyFont="1" applyAlignment="1">
      <alignment horizontal="center"/>
    </xf>
    <xf numFmtId="4" fontId="12" fillId="0" borderId="4" xfId="0" applyNumberFormat="1" applyFont="1" applyBorder="1"/>
    <xf numFmtId="43" fontId="4" fillId="0" borderId="0" xfId="0" applyNumberFormat="1" applyFont="1"/>
    <xf numFmtId="187" fontId="27" fillId="0" borderId="0" xfId="0" applyNumberFormat="1" applyFont="1"/>
    <xf numFmtId="43" fontId="35" fillId="0" borderId="0" xfId="0" applyNumberFormat="1" applyFont="1"/>
    <xf numFmtId="170" fontId="27" fillId="0" borderId="0" xfId="20" applyNumberFormat="1" applyFont="1"/>
    <xf numFmtId="0" fontId="4" fillId="0" borderId="4" xfId="0" applyFont="1" applyBorder="1" applyAlignment="1">
      <alignment horizontal="left" vertical="center" wrapText="1"/>
    </xf>
    <xf numFmtId="44" fontId="10" fillId="4" borderId="0" xfId="20" applyNumberFormat="1" applyFont="1" applyFill="1"/>
    <xf numFmtId="3" fontId="4" fillId="4" borderId="0" xfId="20" applyNumberFormat="1" applyFont="1" applyFill="1"/>
    <xf numFmtId="42" fontId="4" fillId="4" borderId="11" xfId="20" applyNumberFormat="1" applyFont="1" applyFill="1" applyBorder="1"/>
    <xf numFmtId="44" fontId="3" fillId="0" borderId="6" xfId="20" applyNumberFormat="1" applyFont="1" applyBorder="1"/>
    <xf numFmtId="44" fontId="3" fillId="0" borderId="0" xfId="20" applyNumberFormat="1" applyFont="1"/>
    <xf numFmtId="0" fontId="48" fillId="0" borderId="3" xfId="0" applyFont="1" applyBorder="1"/>
    <xf numFmtId="0" fontId="48" fillId="0" borderId="0" xfId="0" applyFont="1"/>
    <xf numFmtId="44" fontId="48" fillId="0" borderId="0" xfId="8" applyFont="1" applyFill="1" applyBorder="1"/>
    <xf numFmtId="44" fontId="48" fillId="0" borderId="4" xfId="8" applyFont="1" applyFill="1" applyBorder="1" applyAlignment="1">
      <alignment horizontal="left"/>
    </xf>
    <xf numFmtId="44" fontId="7" fillId="0" borderId="0" xfId="0" applyNumberFormat="1" applyFont="1"/>
    <xf numFmtId="10" fontId="4" fillId="4" borderId="0" xfId="26" applyNumberFormat="1" applyFont="1" applyFill="1" applyBorder="1" applyAlignment="1">
      <alignment wrapText="1"/>
    </xf>
    <xf numFmtId="10" fontId="4" fillId="4" borderId="4" xfId="26" applyNumberFormat="1" applyFont="1" applyFill="1" applyBorder="1" applyAlignment="1">
      <alignment wrapText="1"/>
    </xf>
    <xf numFmtId="10" fontId="4" fillId="4" borderId="3" xfId="26" applyNumberFormat="1" applyFont="1" applyFill="1" applyBorder="1" applyAlignment="1">
      <alignment wrapText="1"/>
    </xf>
    <xf numFmtId="42" fontId="8" fillId="0" borderId="0" xfId="0" applyNumberFormat="1" applyFont="1"/>
    <xf numFmtId="0" fontId="13" fillId="0" borderId="0" xfId="0" applyFont="1" applyAlignment="1">
      <alignment vertical="center"/>
    </xf>
    <xf numFmtId="0" fontId="13" fillId="0" borderId="4" xfId="0" applyFont="1" applyBorder="1"/>
    <xf numFmtId="4" fontId="9" fillId="0" borderId="0" xfId="0" applyNumberFormat="1" applyFont="1" applyAlignment="1">
      <alignment horizontal="center"/>
    </xf>
    <xf numFmtId="4" fontId="9" fillId="0" borderId="0" xfId="0" applyNumberFormat="1" applyFont="1" applyAlignment="1">
      <alignment horizontal="center" vertical="center"/>
    </xf>
    <xf numFmtId="0" fontId="4" fillId="0" borderId="4" xfId="0" applyFont="1" applyBorder="1" applyAlignment="1">
      <alignment vertical="center" wrapText="1"/>
    </xf>
    <xf numFmtId="0" fontId="11" fillId="0" borderId="0" xfId="0" applyFont="1" applyAlignment="1">
      <alignment horizontal="center"/>
    </xf>
    <xf numFmtId="4" fontId="4" fillId="0" borderId="4" xfId="0" applyNumberFormat="1" applyFont="1" applyBorder="1"/>
    <xf numFmtId="4" fontId="9" fillId="0" borderId="0" xfId="0" applyNumberFormat="1" applyFont="1"/>
    <xf numFmtId="4" fontId="12" fillId="0" borderId="0" xfId="0" applyNumberFormat="1" applyFont="1"/>
    <xf numFmtId="0" fontId="4" fillId="0" borderId="4" xfId="0" applyFont="1" applyBorder="1" applyAlignment="1">
      <alignment horizontal="center"/>
    </xf>
    <xf numFmtId="44" fontId="51" fillId="0" borderId="0" xfId="8" applyFont="1" applyFill="1" applyBorder="1"/>
    <xf numFmtId="0" fontId="4" fillId="14" borderId="8" xfId="20" applyFont="1" applyFill="1" applyBorder="1"/>
    <xf numFmtId="168" fontId="4" fillId="14" borderId="9" xfId="8" applyNumberFormat="1" applyFont="1" applyFill="1" applyBorder="1"/>
    <xf numFmtId="168" fontId="4" fillId="14" borderId="4" xfId="8" applyNumberFormat="1" applyFont="1" applyFill="1" applyBorder="1"/>
    <xf numFmtId="168" fontId="4" fillId="14" borderId="6" xfId="8" applyNumberFormat="1" applyFont="1" applyFill="1" applyBorder="1"/>
    <xf numFmtId="0" fontId="21" fillId="14" borderId="3" xfId="20" applyFont="1" applyFill="1" applyBorder="1"/>
    <xf numFmtId="0" fontId="21" fillId="14" borderId="0" xfId="20" applyFont="1" applyFill="1"/>
    <xf numFmtId="0" fontId="30" fillId="14" borderId="0" xfId="20" applyFont="1" applyFill="1" applyAlignment="1">
      <alignment horizontal="center"/>
    </xf>
    <xf numFmtId="0" fontId="21" fillId="14" borderId="4" xfId="20" applyFont="1" applyFill="1" applyBorder="1"/>
    <xf numFmtId="0" fontId="4" fillId="14" borderId="0" xfId="0" applyFont="1" applyFill="1"/>
    <xf numFmtId="44" fontId="4" fillId="14" borderId="0" xfId="8" applyFont="1" applyFill="1" applyBorder="1"/>
    <xf numFmtId="170" fontId="27" fillId="14" borderId="0" xfId="20" applyNumberFormat="1" applyFont="1" applyFill="1"/>
    <xf numFmtId="4" fontId="21" fillId="14" borderId="4" xfId="0" applyNumberFormat="1" applyFont="1" applyFill="1" applyBorder="1"/>
    <xf numFmtId="0" fontId="7" fillId="14" borderId="3" xfId="0" applyFont="1" applyFill="1" applyBorder="1"/>
    <xf numFmtId="0" fontId="7" fillId="14" borderId="0" xfId="0" applyFont="1" applyFill="1"/>
    <xf numFmtId="44" fontId="7" fillId="14" borderId="0" xfId="0" applyNumberFormat="1" applyFont="1" applyFill="1"/>
    <xf numFmtId="42" fontId="41" fillId="14" borderId="0" xfId="0" applyNumberFormat="1" applyFont="1" applyFill="1"/>
    <xf numFmtId="44" fontId="3" fillId="14" borderId="0" xfId="8" applyFont="1" applyFill="1" applyBorder="1"/>
    <xf numFmtId="0" fontId="4" fillId="14" borderId="4" xfId="0" applyFont="1" applyFill="1" applyBorder="1" applyAlignment="1">
      <alignment horizontal="left"/>
    </xf>
    <xf numFmtId="4" fontId="9" fillId="14" borderId="0" xfId="0" applyNumberFormat="1" applyFont="1" applyFill="1" applyAlignment="1">
      <alignment horizontal="center"/>
    </xf>
    <xf numFmtId="42" fontId="4" fillId="14" borderId="0" xfId="20" applyNumberFormat="1" applyFont="1" applyFill="1"/>
    <xf numFmtId="42" fontId="27" fillId="14" borderId="0" xfId="20" applyNumberFormat="1" applyFont="1" applyFill="1"/>
    <xf numFmtId="0" fontId="13" fillId="14" borderId="0" xfId="0" applyFont="1" applyFill="1"/>
    <xf numFmtId="0" fontId="4" fillId="0" borderId="4" xfId="0" applyFont="1" applyBorder="1" applyAlignment="1">
      <alignment horizontal="left" wrapText="1"/>
    </xf>
    <xf numFmtId="42" fontId="4" fillId="0" borderId="0" xfId="0" applyNumberFormat="1" applyFont="1" applyAlignment="1">
      <alignment horizontal="left"/>
    </xf>
    <xf numFmtId="0" fontId="12" fillId="0" borderId="0" xfId="0" applyFont="1" applyAlignment="1">
      <alignment horizontal="left"/>
    </xf>
    <xf numFmtId="4" fontId="4" fillId="0" borderId="0" xfId="0" applyNumberFormat="1" applyFont="1" applyAlignment="1">
      <alignment horizontal="left" wrapText="1"/>
    </xf>
    <xf numFmtId="0" fontId="4" fillId="0" borderId="0" xfId="0" applyFont="1" applyAlignment="1">
      <alignment horizontal="left" wrapText="1"/>
    </xf>
    <xf numFmtId="44" fontId="10" fillId="0" borderId="0" xfId="8" applyFont="1" applyFill="1" applyBorder="1" applyAlignment="1">
      <alignment horizontal="left"/>
    </xf>
    <xf numFmtId="44" fontId="35" fillId="0" borderId="4" xfId="8" applyFont="1" applyFill="1" applyBorder="1" applyAlignment="1">
      <alignment horizontal="left"/>
    </xf>
    <xf numFmtId="0" fontId="137" fillId="4" borderId="5" xfId="222" applyFont="1" applyFill="1" applyBorder="1" applyAlignment="1">
      <alignment horizontal="left"/>
    </xf>
    <xf numFmtId="44" fontId="18" fillId="4" borderId="12" xfId="222" applyNumberFormat="1" applyFill="1" applyBorder="1" applyAlignment="1">
      <alignment horizontal="left"/>
    </xf>
    <xf numFmtId="0" fontId="161" fillId="0" borderId="0" xfId="0" applyFont="1"/>
    <xf numFmtId="0" fontId="162" fillId="0" borderId="0" xfId="0" applyFont="1"/>
    <xf numFmtId="0" fontId="164" fillId="0" borderId="0" xfId="222" applyFont="1" applyAlignment="1">
      <alignment horizontal="left"/>
    </xf>
    <xf numFmtId="44" fontId="164" fillId="0" borderId="0" xfId="222" applyNumberFormat="1" applyFont="1" applyAlignment="1">
      <alignment horizontal="left"/>
    </xf>
    <xf numFmtId="0" fontId="164" fillId="0" borderId="0" xfId="222" applyFont="1"/>
    <xf numFmtId="0" fontId="165" fillId="0" borderId="0" xfId="0" applyFont="1"/>
    <xf numFmtId="0" fontId="51" fillId="0" borderId="0" xfId="20" applyFont="1" applyAlignment="1">
      <alignment horizontal="center"/>
    </xf>
    <xf numFmtId="0" fontId="56" fillId="0" borderId="0" xfId="0" applyFont="1"/>
    <xf numFmtId="168" fontId="166" fillId="0" borderId="0" xfId="222" applyNumberFormat="1" applyFont="1"/>
    <xf numFmtId="44" fontId="164" fillId="0" borderId="0" xfId="222" applyNumberFormat="1" applyFont="1"/>
    <xf numFmtId="0" fontId="167" fillId="0" borderId="0" xfId="20" applyFont="1"/>
    <xf numFmtId="0" fontId="152" fillId="0" borderId="0" xfId="20" applyFont="1"/>
    <xf numFmtId="6" fontId="31" fillId="0" borderId="0" xfId="0" applyNumberFormat="1" applyFont="1"/>
    <xf numFmtId="44" fontId="31" fillId="0" borderId="0" xfId="0" applyNumberFormat="1" applyFont="1"/>
    <xf numFmtId="10" fontId="31" fillId="0" borderId="0" xfId="26" applyNumberFormat="1" applyFont="1" applyFill="1"/>
    <xf numFmtId="0" fontId="0" fillId="25" borderId="49" xfId="0" applyFill="1" applyBorder="1" applyAlignment="1">
      <alignment horizontal="center" vertical="center"/>
    </xf>
    <xf numFmtId="0" fontId="0" fillId="25" borderId="29" xfId="0" applyFill="1" applyBorder="1" applyAlignment="1">
      <alignment horizontal="center" vertical="center"/>
    </xf>
    <xf numFmtId="42" fontId="0" fillId="25" borderId="34" xfId="8" applyNumberFormat="1" applyFont="1" applyFill="1" applyBorder="1" applyAlignment="1">
      <alignment vertical="center"/>
    </xf>
    <xf numFmtId="42" fontId="0" fillId="25" borderId="30" xfId="8" applyNumberFormat="1" applyFont="1" applyFill="1" applyBorder="1" applyAlignment="1">
      <alignment vertical="center"/>
    </xf>
    <xf numFmtId="42" fontId="0" fillId="25" borderId="37" xfId="8" applyNumberFormat="1" applyFont="1" applyFill="1" applyBorder="1" applyAlignment="1">
      <alignment vertical="center"/>
    </xf>
    <xf numFmtId="42" fontId="0" fillId="25" borderId="79" xfId="8" applyNumberFormat="1" applyFont="1" applyFill="1" applyBorder="1" applyAlignment="1">
      <alignment vertical="center"/>
    </xf>
    <xf numFmtId="42" fontId="0" fillId="25" borderId="32" xfId="8" applyNumberFormat="1" applyFont="1" applyFill="1" applyBorder="1" applyAlignment="1">
      <alignment vertical="center"/>
    </xf>
    <xf numFmtId="42" fontId="0" fillId="25" borderId="47" xfId="8" applyNumberFormat="1" applyFont="1" applyFill="1" applyBorder="1" applyAlignment="1">
      <alignment vertical="center"/>
    </xf>
    <xf numFmtId="0" fontId="0" fillId="25" borderId="1" xfId="0" applyFill="1" applyBorder="1" applyAlignment="1">
      <alignment horizontal="center" vertical="center"/>
    </xf>
    <xf numFmtId="0" fontId="0" fillId="25" borderId="31" xfId="0" applyFill="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vertical="center" wrapText="1"/>
    </xf>
    <xf numFmtId="42" fontId="0" fillId="25" borderId="28" xfId="8" applyNumberFormat="1" applyFont="1" applyFill="1" applyBorder="1" applyAlignment="1">
      <alignment vertical="center"/>
    </xf>
    <xf numFmtId="0" fontId="31" fillId="13" borderId="1" xfId="0" applyFont="1" applyFill="1" applyBorder="1" applyAlignment="1">
      <alignment horizontal="center"/>
    </xf>
    <xf numFmtId="0" fontId="31" fillId="13" borderId="49" xfId="0" applyFont="1" applyFill="1" applyBorder="1" applyAlignment="1">
      <alignment horizontal="center"/>
    </xf>
    <xf numFmtId="0" fontId="31" fillId="13" borderId="34" xfId="0" applyFont="1" applyFill="1" applyBorder="1" applyAlignment="1">
      <alignment horizontal="center"/>
    </xf>
    <xf numFmtId="0" fontId="31" fillId="25" borderId="10" xfId="0" applyFont="1" applyFill="1" applyBorder="1" applyAlignment="1">
      <alignment horizontal="center" vertical="center"/>
    </xf>
    <xf numFmtId="0" fontId="31" fillId="25" borderId="11" xfId="0" applyFont="1" applyFill="1" applyBorder="1" applyAlignment="1">
      <alignment horizontal="center" vertical="center"/>
    </xf>
    <xf numFmtId="0" fontId="0" fillId="25" borderId="72" xfId="0" applyFill="1" applyBorder="1" applyAlignment="1">
      <alignment horizontal="center" vertical="center"/>
    </xf>
    <xf numFmtId="0" fontId="0" fillId="25" borderId="74" xfId="0" applyFill="1" applyBorder="1" applyAlignment="1">
      <alignment horizontal="center" vertical="center"/>
    </xf>
    <xf numFmtId="0" fontId="0" fillId="25" borderId="77" xfId="0" applyFill="1" applyBorder="1" applyAlignment="1">
      <alignment horizontal="center" vertical="center"/>
    </xf>
    <xf numFmtId="0" fontId="0" fillId="25" borderId="23" xfId="0" applyFill="1" applyBorder="1" applyAlignment="1">
      <alignment horizontal="center" vertical="center"/>
    </xf>
    <xf numFmtId="0" fontId="0" fillId="25" borderId="27" xfId="0" applyFill="1" applyBorder="1" applyAlignment="1">
      <alignment horizontal="center" vertical="center"/>
    </xf>
    <xf numFmtId="42" fontId="0" fillId="25" borderId="76" xfId="8" applyNumberFormat="1" applyFont="1" applyFill="1" applyBorder="1" applyAlignment="1">
      <alignment vertical="center"/>
    </xf>
    <xf numFmtId="42" fontId="0" fillId="25" borderId="45" xfId="8" applyNumberFormat="1" applyFont="1" applyFill="1" applyBorder="1" applyAlignment="1">
      <alignment vertical="center"/>
    </xf>
    <xf numFmtId="0" fontId="0" fillId="0" borderId="0" xfId="0" applyAlignment="1">
      <alignment horizontal="center" vertical="center"/>
    </xf>
    <xf numFmtId="178" fontId="60" fillId="27" borderId="73" xfId="0" applyNumberFormat="1" applyFont="1" applyFill="1" applyBorder="1" applyAlignment="1">
      <alignment horizontal="center" vertical="center"/>
    </xf>
    <xf numFmtId="178" fontId="60" fillId="27" borderId="78" xfId="0" applyNumberFormat="1" applyFont="1" applyFill="1" applyBorder="1" applyAlignment="1">
      <alignment horizontal="center" vertical="center"/>
    </xf>
    <xf numFmtId="178" fontId="0" fillId="5" borderId="73" xfId="0" applyNumberFormat="1" applyFill="1" applyBorder="1" applyAlignment="1">
      <alignment horizontal="center" vertical="center"/>
    </xf>
    <xf numFmtId="0" fontId="0" fillId="5" borderId="78" xfId="0" applyFill="1" applyBorder="1" applyAlignment="1">
      <alignment horizontal="center" vertical="center"/>
    </xf>
    <xf numFmtId="0" fontId="60" fillId="25" borderId="73" xfId="0" applyFont="1" applyFill="1" applyBorder="1" applyAlignment="1">
      <alignment horizontal="center" vertical="center"/>
    </xf>
    <xf numFmtId="0" fontId="60" fillId="25" borderId="78" xfId="0" applyFont="1" applyFill="1" applyBorder="1" applyAlignment="1">
      <alignment horizontal="center" vertical="center"/>
    </xf>
    <xf numFmtId="0" fontId="0" fillId="27" borderId="49" xfId="0" applyFill="1" applyBorder="1" applyAlignment="1">
      <alignment horizontal="center" vertical="center"/>
    </xf>
    <xf numFmtId="0" fontId="0" fillId="27" borderId="29" xfId="0" applyFill="1" applyBorder="1" applyAlignment="1">
      <alignment horizontal="center" vertical="center"/>
    </xf>
    <xf numFmtId="0" fontId="0" fillId="5" borderId="0" xfId="0" applyFill="1" applyAlignment="1">
      <alignment horizontal="center" vertical="center" wrapText="1"/>
    </xf>
    <xf numFmtId="5" fontId="0" fillId="0" borderId="0" xfId="8" applyNumberFormat="1" applyFont="1" applyFill="1" applyBorder="1" applyAlignment="1">
      <alignment horizontal="center" vertical="center"/>
    </xf>
    <xf numFmtId="5" fontId="0" fillId="0" borderId="14" xfId="8" applyNumberFormat="1" applyFont="1" applyFill="1" applyBorder="1" applyAlignment="1">
      <alignment horizontal="center" vertical="center"/>
    </xf>
    <xf numFmtId="178" fontId="60" fillId="25" borderId="73" xfId="0" applyNumberFormat="1" applyFont="1" applyFill="1" applyBorder="1" applyAlignment="1">
      <alignment horizontal="center" vertical="center"/>
    </xf>
    <xf numFmtId="178" fontId="60" fillId="25" borderId="78" xfId="0" applyNumberFormat="1" applyFont="1" applyFill="1" applyBorder="1" applyAlignment="1">
      <alignment horizontal="center" vertical="center"/>
    </xf>
    <xf numFmtId="178" fontId="60" fillId="26" borderId="73" xfId="0" applyNumberFormat="1" applyFont="1" applyFill="1" applyBorder="1" applyAlignment="1">
      <alignment horizontal="center" vertical="center"/>
    </xf>
    <xf numFmtId="178" fontId="60" fillId="26" borderId="78" xfId="0" applyNumberFormat="1" applyFont="1" applyFill="1" applyBorder="1" applyAlignment="1">
      <alignment horizontal="center" vertical="center"/>
    </xf>
    <xf numFmtId="0" fontId="0" fillId="26" borderId="49" xfId="0" applyFill="1" applyBorder="1" applyAlignment="1">
      <alignment horizontal="center" vertical="center"/>
    </xf>
    <xf numFmtId="0" fontId="0" fillId="26" borderId="29" xfId="0" applyFill="1" applyBorder="1" applyAlignment="1">
      <alignment horizontal="center" vertical="center"/>
    </xf>
    <xf numFmtId="0" fontId="0" fillId="27" borderId="27" xfId="0" applyFill="1" applyBorder="1" applyAlignment="1">
      <alignment horizontal="center" vertical="center"/>
    </xf>
    <xf numFmtId="178" fontId="60" fillId="27" borderId="75" xfId="0" applyNumberFormat="1" applyFont="1" applyFill="1" applyBorder="1" applyAlignment="1">
      <alignment horizontal="center" vertical="center"/>
    </xf>
    <xf numFmtId="178" fontId="0" fillId="5" borderId="75" xfId="0" applyNumberFormat="1" applyFill="1" applyBorder="1" applyAlignment="1">
      <alignment horizontal="center" vertical="center"/>
    </xf>
    <xf numFmtId="178" fontId="0" fillId="5" borderId="78" xfId="0" applyNumberFormat="1" applyFill="1" applyBorder="1" applyAlignment="1">
      <alignment horizontal="center" vertical="center"/>
    </xf>
    <xf numFmtId="0" fontId="0" fillId="26" borderId="27" xfId="0" applyFill="1" applyBorder="1" applyAlignment="1">
      <alignment horizontal="center" vertical="center"/>
    </xf>
    <xf numFmtId="178" fontId="60" fillId="26" borderId="75" xfId="0" applyNumberFormat="1" applyFont="1" applyFill="1" applyBorder="1" applyAlignment="1">
      <alignment horizontal="center" vertical="center"/>
    </xf>
    <xf numFmtId="0" fontId="0" fillId="27" borderId="0" xfId="0" applyFill="1" applyAlignment="1">
      <alignment horizontal="center" vertical="center"/>
    </xf>
    <xf numFmtId="0" fontId="61" fillId="0" borderId="0" xfId="0" applyFont="1" applyAlignment="1">
      <alignment horizontal="left" vertical="top" wrapText="1"/>
    </xf>
    <xf numFmtId="0" fontId="64" fillId="0" borderId="0" xfId="0" applyFont="1" applyAlignment="1">
      <alignment horizontal="left" vertical="top" wrapText="1"/>
    </xf>
    <xf numFmtId="0" fontId="65" fillId="0" borderId="0" xfId="0" applyFont="1" applyAlignment="1">
      <alignment horizontal="center" vertical="center"/>
    </xf>
    <xf numFmtId="0" fontId="62" fillId="31" borderId="90" xfId="0" applyFont="1" applyFill="1" applyBorder="1" applyAlignment="1">
      <alignment horizontal="center" vertical="center" wrapText="1"/>
    </xf>
    <xf numFmtId="0" fontId="62" fillId="31" borderId="87" xfId="0" applyFont="1" applyFill="1" applyBorder="1" applyAlignment="1">
      <alignment horizontal="center" vertical="center" wrapText="1"/>
    </xf>
    <xf numFmtId="0" fontId="31" fillId="3" borderId="91" xfId="0" applyFont="1" applyFill="1" applyBorder="1" applyAlignment="1">
      <alignment horizontal="center"/>
    </xf>
    <xf numFmtId="164" fontId="3" fillId="33" borderId="12" xfId="0" applyNumberFormat="1" applyFont="1" applyFill="1" applyBorder="1" applyAlignment="1">
      <alignment horizontal="center"/>
    </xf>
    <xf numFmtId="0" fontId="21" fillId="4" borderId="3" xfId="20" applyFont="1" applyFill="1" applyBorder="1" applyAlignment="1">
      <alignment horizontal="center" wrapText="1"/>
    </xf>
    <xf numFmtId="0" fontId="21" fillId="4" borderId="0" xfId="20" applyFont="1" applyFill="1" applyAlignment="1">
      <alignment horizontal="center" wrapText="1"/>
    </xf>
    <xf numFmtId="0" fontId="21" fillId="4" borderId="4" xfId="20" applyFont="1" applyFill="1" applyBorder="1" applyAlignment="1">
      <alignment horizontal="center" wrapText="1"/>
    </xf>
    <xf numFmtId="0" fontId="21" fillId="4" borderId="5" xfId="20" applyFont="1" applyFill="1" applyBorder="1" applyAlignment="1">
      <alignment horizontal="center" wrapText="1"/>
    </xf>
    <xf numFmtId="0" fontId="21" fillId="4" borderId="12" xfId="20" applyFont="1" applyFill="1" applyBorder="1" applyAlignment="1">
      <alignment horizontal="center" wrapText="1"/>
    </xf>
    <xf numFmtId="0" fontId="21" fillId="4" borderId="6" xfId="20" applyFont="1" applyFill="1" applyBorder="1" applyAlignment="1">
      <alignment horizontal="center" wrapText="1"/>
    </xf>
    <xf numFmtId="0" fontId="4" fillId="0" borderId="53" xfId="23" applyBorder="1" applyAlignment="1">
      <alignment horizontal="right"/>
    </xf>
    <xf numFmtId="0" fontId="4" fillId="0" borderId="0" xfId="23" applyAlignment="1">
      <alignment horizontal="right"/>
    </xf>
    <xf numFmtId="0" fontId="129" fillId="0" borderId="9" xfId="296" applyFont="1" applyBorder="1" applyAlignment="1">
      <alignment horizontal="left" vertical="center" wrapText="1"/>
    </xf>
    <xf numFmtId="0" fontId="129" fillId="0" borderId="6" xfId="296" applyFont="1" applyBorder="1" applyAlignment="1">
      <alignment horizontal="left" vertical="center" wrapText="1"/>
    </xf>
    <xf numFmtId="0" fontId="129" fillId="0" borderId="8" xfId="296" applyFont="1" applyBorder="1" applyAlignment="1">
      <alignment horizontal="left" vertical="top" wrapText="1"/>
    </xf>
    <xf numFmtId="0" fontId="129" fillId="0" borderId="12" xfId="296" applyFont="1" applyBorder="1" applyAlignment="1">
      <alignment horizontal="left" vertical="top" wrapText="1"/>
    </xf>
    <xf numFmtId="0" fontId="129" fillId="0" borderId="4" xfId="296" applyFont="1" applyBorder="1" applyAlignment="1">
      <alignment horizontal="left" vertical="center" wrapText="1"/>
    </xf>
    <xf numFmtId="177" fontId="17" fillId="0" borderId="37" xfId="296" applyNumberFormat="1" applyBorder="1" applyAlignment="1">
      <alignment horizontal="right" vertical="center"/>
    </xf>
    <xf numFmtId="177" fontId="17" fillId="0" borderId="79" xfId="296" applyNumberFormat="1" applyBorder="1" applyAlignment="1">
      <alignment horizontal="right" vertical="center"/>
    </xf>
    <xf numFmtId="49" fontId="129" fillId="0" borderId="9" xfId="296" applyNumberFormat="1" applyFont="1" applyBorder="1" applyAlignment="1">
      <alignment horizontal="left" vertical="center" wrapText="1"/>
    </xf>
    <xf numFmtId="49" fontId="129" fillId="0" borderId="6" xfId="296" applyNumberFormat="1" applyFont="1" applyBorder="1" applyAlignment="1">
      <alignment horizontal="left" vertical="center" wrapText="1"/>
    </xf>
    <xf numFmtId="0" fontId="129" fillId="0" borderId="8" xfId="296" applyFont="1" applyBorder="1" applyAlignment="1">
      <alignment vertical="top" wrapText="1"/>
    </xf>
    <xf numFmtId="0" fontId="129" fillId="0" borderId="12" xfId="296" applyFont="1" applyBorder="1" applyAlignment="1">
      <alignment vertical="top" wrapText="1"/>
    </xf>
    <xf numFmtId="0" fontId="134" fillId="0" borderId="0" xfId="296" applyFont="1" applyAlignment="1">
      <alignment horizontal="left" vertical="top" wrapText="1"/>
    </xf>
    <xf numFmtId="0" fontId="31" fillId="0" borderId="38" xfId="0" applyFont="1" applyBorder="1" applyAlignment="1">
      <alignment horizontal="center"/>
    </xf>
    <xf numFmtId="0" fontId="31" fillId="0" borderId="35" xfId="0" applyFont="1" applyBorder="1" applyAlignment="1">
      <alignment horizontal="center"/>
    </xf>
    <xf numFmtId="0" fontId="31" fillId="0" borderId="24" xfId="0" applyFont="1" applyBorder="1" applyAlignment="1">
      <alignment horizontal="center"/>
    </xf>
    <xf numFmtId="177" fontId="0" fillId="0" borderId="37" xfId="0" applyNumberFormat="1" applyBorder="1" applyAlignment="1">
      <alignment horizontal="right" vertical="center"/>
    </xf>
    <xf numFmtId="177" fontId="0" fillId="0" borderId="79" xfId="0" applyNumberFormat="1" applyBorder="1" applyAlignment="1">
      <alignment horizontal="right" vertical="center"/>
    </xf>
    <xf numFmtId="0" fontId="87" fillId="0" borderId="8" xfId="0" applyFont="1" applyBorder="1" applyAlignment="1">
      <alignment horizontal="left" vertical="top" wrapText="1"/>
    </xf>
    <xf numFmtId="0" fontId="87" fillId="0" borderId="12" xfId="0" applyFont="1" applyBorder="1" applyAlignment="1">
      <alignment horizontal="left" vertical="top" wrapText="1"/>
    </xf>
    <xf numFmtId="0" fontId="87" fillId="0" borderId="9" xfId="0" applyFont="1" applyBorder="1" applyAlignment="1">
      <alignment horizontal="left" vertical="center" wrapText="1"/>
    </xf>
    <xf numFmtId="0" fontId="87" fillId="0" borderId="6" xfId="0" applyFont="1" applyBorder="1" applyAlignment="1">
      <alignment horizontal="left" vertical="center" wrapText="1"/>
    </xf>
    <xf numFmtId="0" fontId="87" fillId="0" borderId="4" xfId="0" applyFont="1" applyBorder="1" applyAlignment="1">
      <alignment horizontal="left" vertical="center" wrapText="1"/>
    </xf>
    <xf numFmtId="0" fontId="87" fillId="0" borderId="8" xfId="0" applyFont="1" applyBorder="1" applyAlignment="1">
      <alignment vertical="top" wrapText="1"/>
    </xf>
    <xf numFmtId="0" fontId="87" fillId="0" borderId="12" xfId="0" applyFont="1" applyBorder="1" applyAlignment="1">
      <alignment vertical="top" wrapText="1"/>
    </xf>
    <xf numFmtId="0" fontId="139" fillId="4" borderId="122" xfId="0" applyFont="1" applyFill="1" applyBorder="1" applyAlignment="1">
      <alignment horizontal="center"/>
    </xf>
    <xf numFmtId="0" fontId="139" fillId="4" borderId="124" xfId="0" applyFont="1" applyFill="1" applyBorder="1" applyAlignment="1">
      <alignment horizontal="center"/>
    </xf>
    <xf numFmtId="0" fontId="139" fillId="66" borderId="126" xfId="0" applyFont="1" applyFill="1" applyBorder="1" applyAlignment="1">
      <alignment horizontal="center"/>
    </xf>
    <xf numFmtId="0" fontId="139" fillId="66" borderId="0" xfId="0" applyFont="1" applyFill="1" applyAlignment="1">
      <alignment horizontal="center"/>
    </xf>
    <xf numFmtId="0" fontId="109" fillId="0" borderId="27" xfId="207" applyFont="1" applyBorder="1" applyAlignment="1">
      <alignment horizontal="center"/>
    </xf>
    <xf numFmtId="0" fontId="145" fillId="0" borderId="38" xfId="207" applyFont="1" applyBorder="1" applyAlignment="1">
      <alignment horizontal="center" vertical="center" wrapText="1"/>
    </xf>
    <xf numFmtId="0" fontId="145" fillId="0" borderId="24" xfId="207" applyFont="1" applyBorder="1" applyAlignment="1">
      <alignment horizontal="center" vertical="center" wrapText="1"/>
    </xf>
    <xf numFmtId="0" fontId="147" fillId="0" borderId="7" xfId="207" applyFont="1" applyBorder="1" applyAlignment="1">
      <alignment horizontal="center" vertical="center" wrapText="1"/>
    </xf>
    <xf numFmtId="0" fontId="147" fillId="0" borderId="8" xfId="207" applyFont="1" applyBorder="1" applyAlignment="1">
      <alignment horizontal="center" vertical="center" wrapText="1"/>
    </xf>
    <xf numFmtId="0" fontId="147" fillId="0" borderId="9" xfId="207" applyFont="1" applyBorder="1" applyAlignment="1">
      <alignment horizontal="center" vertical="center" wrapText="1"/>
    </xf>
    <xf numFmtId="0" fontId="147" fillId="0" borderId="5" xfId="207" applyFont="1" applyBorder="1" applyAlignment="1">
      <alignment horizontal="center" vertical="center" wrapText="1"/>
    </xf>
    <xf numFmtId="0" fontId="147" fillId="0" borderId="12" xfId="207" applyFont="1" applyBorder="1" applyAlignment="1">
      <alignment horizontal="center" vertical="center" wrapText="1"/>
    </xf>
    <xf numFmtId="0" fontId="147" fillId="0" borderId="6" xfId="207" applyFont="1" applyBorder="1" applyAlignment="1">
      <alignment horizontal="center" vertical="center" wrapText="1"/>
    </xf>
    <xf numFmtId="0" fontId="17" fillId="0" borderId="37" xfId="207" applyBorder="1" applyAlignment="1">
      <alignment horizontal="center" vertical="center"/>
    </xf>
    <xf numFmtId="0" fontId="17" fillId="0" borderId="76" xfId="207" applyBorder="1" applyAlignment="1">
      <alignment horizontal="center" vertical="center"/>
    </xf>
    <xf numFmtId="0" fontId="17" fillId="0" borderId="79" xfId="207" applyBorder="1" applyAlignment="1">
      <alignment horizontal="center" vertical="center"/>
    </xf>
    <xf numFmtId="0" fontId="109" fillId="0" borderId="38" xfId="207" applyFont="1" applyBorder="1" applyAlignment="1">
      <alignment horizontal="center"/>
    </xf>
    <xf numFmtId="0" fontId="109" fillId="0" borderId="24" xfId="207" applyFont="1" applyBorder="1" applyAlignment="1">
      <alignment horizontal="center"/>
    </xf>
    <xf numFmtId="0" fontId="109" fillId="0" borderId="35" xfId="207" applyFont="1" applyBorder="1" applyAlignment="1">
      <alignment horizontal="center"/>
    </xf>
    <xf numFmtId="0" fontId="14" fillId="2" borderId="8" xfId="314" applyFont="1" applyFill="1" applyBorder="1" applyAlignment="1">
      <alignment horizontal="left"/>
    </xf>
    <xf numFmtId="0" fontId="14" fillId="2" borderId="9" xfId="314" applyFont="1" applyFill="1" applyBorder="1" applyAlignment="1">
      <alignment horizontal="left"/>
    </xf>
    <xf numFmtId="0" fontId="21" fillId="0" borderId="53" xfId="317" applyBorder="1" applyAlignment="1">
      <alignment horizontal="right"/>
    </xf>
    <xf numFmtId="0" fontId="21" fillId="0" borderId="0" xfId="317" applyAlignment="1">
      <alignment horizontal="right"/>
    </xf>
    <xf numFmtId="0" fontId="153" fillId="0" borderId="9" xfId="316" applyFont="1" applyBorder="1" applyAlignment="1">
      <alignment horizontal="left" vertical="center" wrapText="1"/>
    </xf>
    <xf numFmtId="0" fontId="153" fillId="0" borderId="6" xfId="316" applyFont="1" applyBorder="1" applyAlignment="1">
      <alignment horizontal="left" vertical="center" wrapText="1"/>
    </xf>
    <xf numFmtId="0" fontId="153" fillId="0" borderId="8" xfId="316" applyFont="1" applyBorder="1" applyAlignment="1">
      <alignment horizontal="left" vertical="top" wrapText="1"/>
    </xf>
    <xf numFmtId="0" fontId="153" fillId="0" borderId="12" xfId="316" applyFont="1" applyBorder="1" applyAlignment="1">
      <alignment horizontal="left" vertical="top" wrapText="1"/>
    </xf>
    <xf numFmtId="0" fontId="153" fillId="0" borderId="4" xfId="316" applyFont="1" applyBorder="1" applyAlignment="1">
      <alignment horizontal="left" vertical="center" wrapText="1"/>
    </xf>
    <xf numFmtId="49" fontId="153" fillId="0" borderId="9" xfId="316" applyNumberFormat="1" applyFont="1" applyBorder="1" applyAlignment="1">
      <alignment horizontal="left" vertical="center" wrapText="1"/>
    </xf>
    <xf numFmtId="49" fontId="153" fillId="0" borderId="6" xfId="316" applyNumberFormat="1" applyFont="1" applyBorder="1" applyAlignment="1">
      <alignment horizontal="left" vertical="center" wrapText="1"/>
    </xf>
    <xf numFmtId="0" fontId="153" fillId="0" borderId="8" xfId="316" applyFont="1" applyBorder="1" applyAlignment="1">
      <alignment vertical="top" wrapText="1"/>
    </xf>
    <xf numFmtId="0" fontId="153" fillId="0" borderId="12" xfId="316" applyFont="1" applyBorder="1" applyAlignment="1">
      <alignment vertical="top" wrapText="1"/>
    </xf>
    <xf numFmtId="0" fontId="153" fillId="0" borderId="0" xfId="316" applyFont="1" applyAlignment="1">
      <alignment horizontal="left" vertical="top" wrapText="1"/>
    </xf>
    <xf numFmtId="0" fontId="153" fillId="0" borderId="0" xfId="316" applyFont="1" applyAlignment="1">
      <alignment horizontal="center"/>
    </xf>
    <xf numFmtId="0" fontId="155" fillId="0" borderId="0" xfId="316" applyFont="1" applyAlignment="1">
      <alignment horizontal="center"/>
    </xf>
    <xf numFmtId="0" fontId="0" fillId="0" borderId="0" xfId="0" applyAlignment="1">
      <alignment horizontal="center" wrapText="1"/>
    </xf>
    <xf numFmtId="164" fontId="3" fillId="0" borderId="12" xfId="0" applyNumberFormat="1" applyFont="1" applyBorder="1" applyAlignment="1">
      <alignment horizontal="center"/>
    </xf>
    <xf numFmtId="0" fontId="4" fillId="0" borderId="3" xfId="20" applyFont="1" applyBorder="1" applyAlignment="1">
      <alignment horizontal="center" wrapText="1"/>
    </xf>
    <xf numFmtId="0" fontId="4" fillId="0" borderId="0" xfId="20" applyFont="1" applyAlignment="1">
      <alignment horizontal="center" wrapText="1"/>
    </xf>
    <xf numFmtId="0" fontId="4" fillId="0" borderId="4" xfId="20" applyFont="1" applyBorder="1" applyAlignment="1">
      <alignment horizontal="center" wrapText="1"/>
    </xf>
    <xf numFmtId="0" fontId="56" fillId="0" borderId="0" xfId="0" applyFont="1" applyAlignment="1">
      <alignment wrapText="1"/>
    </xf>
    <xf numFmtId="0" fontId="109" fillId="0" borderId="25" xfId="0" applyFont="1" applyBorder="1"/>
    <xf numFmtId="0" fontId="109" fillId="0" borderId="19" xfId="0" applyFont="1" applyBorder="1"/>
    <xf numFmtId="0" fontId="107" fillId="0" borderId="0" xfId="0" applyFont="1" applyAlignment="1">
      <alignment horizontal="left"/>
    </xf>
    <xf numFmtId="0" fontId="107" fillId="0" borderId="4" xfId="0" applyFont="1" applyBorder="1" applyAlignment="1">
      <alignment horizontal="left"/>
    </xf>
    <xf numFmtId="0" fontId="109" fillId="0" borderId="38" xfId="0" applyFont="1" applyBorder="1" applyAlignment="1">
      <alignment horizontal="center"/>
    </xf>
    <xf numFmtId="0" fontId="47" fillId="0" borderId="35" xfId="0" applyFont="1" applyBorder="1"/>
    <xf numFmtId="0" fontId="109" fillId="0" borderId="56" xfId="0" applyFont="1" applyBorder="1"/>
    <xf numFmtId="0" fontId="109" fillId="0" borderId="17" xfId="0" applyFont="1" applyBorder="1"/>
    <xf numFmtId="164" fontId="3" fillId="4" borderId="12" xfId="0" applyNumberFormat="1" applyFont="1" applyFill="1" applyBorder="1" applyAlignment="1">
      <alignment horizontal="center"/>
    </xf>
    <xf numFmtId="0" fontId="4" fillId="4" borderId="3" xfId="20" applyFont="1" applyFill="1" applyBorder="1" applyAlignment="1">
      <alignment horizontal="center" wrapText="1"/>
    </xf>
    <xf numFmtId="0" fontId="4" fillId="4" borderId="0" xfId="20" applyFont="1" applyFill="1" applyAlignment="1">
      <alignment horizontal="center" wrapText="1"/>
    </xf>
    <xf numFmtId="0" fontId="4" fillId="4" borderId="4" xfId="20" applyFont="1" applyFill="1" applyBorder="1" applyAlignment="1">
      <alignment horizontal="center" wrapText="1"/>
    </xf>
    <xf numFmtId="0" fontId="4" fillId="4" borderId="0" xfId="0" applyFont="1" applyFill="1" applyAlignment="1">
      <alignment horizontal="left" wrapText="1"/>
    </xf>
    <xf numFmtId="0" fontId="4" fillId="4" borderId="4" xfId="0" applyFont="1" applyFill="1" applyBorder="1" applyAlignment="1">
      <alignment horizontal="left" wrapText="1"/>
    </xf>
    <xf numFmtId="0" fontId="6" fillId="9" borderId="38" xfId="20" applyFont="1" applyFill="1" applyBorder="1" applyAlignment="1">
      <alignment horizontal="center"/>
    </xf>
    <xf numFmtId="0" fontId="6" fillId="9" borderId="24" xfId="20" applyFont="1" applyFill="1" applyBorder="1" applyAlignment="1">
      <alignment horizontal="center"/>
    </xf>
    <xf numFmtId="0" fontId="6" fillId="9" borderId="35" xfId="20" applyFont="1" applyFill="1" applyBorder="1" applyAlignment="1">
      <alignment horizontal="center"/>
    </xf>
    <xf numFmtId="0" fontId="51" fillId="4" borderId="8" xfId="0" applyFont="1" applyFill="1" applyBorder="1" applyAlignment="1">
      <alignment horizontal="left" vertical="top" wrapText="1"/>
    </xf>
    <xf numFmtId="0" fontId="51" fillId="4" borderId="0" xfId="0" applyFont="1" applyFill="1" applyAlignment="1">
      <alignment horizontal="left" vertical="top" wrapText="1"/>
    </xf>
    <xf numFmtId="0" fontId="48" fillId="4" borderId="16" xfId="20" applyFont="1" applyFill="1" applyBorder="1" applyAlignment="1">
      <alignment horizontal="center" wrapText="1"/>
    </xf>
    <xf numFmtId="0" fontId="6" fillId="10" borderId="38" xfId="20" applyFont="1" applyFill="1" applyBorder="1" applyAlignment="1">
      <alignment horizontal="center"/>
    </xf>
    <xf numFmtId="0" fontId="6" fillId="10" borderId="24" xfId="20" applyFont="1" applyFill="1" applyBorder="1" applyAlignment="1">
      <alignment horizontal="center"/>
    </xf>
    <xf numFmtId="0" fontId="6" fillId="10" borderId="35" xfId="20" applyFont="1" applyFill="1" applyBorder="1" applyAlignment="1">
      <alignment horizontal="center"/>
    </xf>
    <xf numFmtId="0" fontId="10" fillId="4" borderId="16" xfId="20" applyFont="1" applyFill="1" applyBorder="1" applyAlignment="1">
      <alignment horizontal="center" wrapText="1"/>
    </xf>
    <xf numFmtId="0" fontId="3" fillId="10" borderId="38" xfId="20" applyFont="1" applyFill="1" applyBorder="1" applyAlignment="1">
      <alignment horizontal="center"/>
    </xf>
    <xf numFmtId="0" fontId="3" fillId="10" borderId="24" xfId="20" applyFont="1" applyFill="1" applyBorder="1" applyAlignment="1">
      <alignment horizontal="center"/>
    </xf>
    <xf numFmtId="0" fontId="3" fillId="10" borderId="35" xfId="20" applyFont="1" applyFill="1" applyBorder="1" applyAlignment="1">
      <alignment horizontal="center"/>
    </xf>
    <xf numFmtId="0" fontId="4" fillId="4" borderId="8" xfId="0" applyFont="1" applyFill="1" applyBorder="1" applyAlignment="1">
      <alignment horizontal="left" vertical="top" wrapText="1"/>
    </xf>
    <xf numFmtId="0" fontId="4" fillId="4" borderId="0" xfId="0" applyFont="1" applyFill="1" applyAlignment="1">
      <alignment horizontal="left" vertical="top" wrapText="1"/>
    </xf>
    <xf numFmtId="0" fontId="3" fillId="9" borderId="38" xfId="20" applyFont="1" applyFill="1" applyBorder="1" applyAlignment="1">
      <alignment horizontal="center"/>
    </xf>
    <xf numFmtId="0" fontId="3" fillId="9" borderId="24" xfId="20" applyFont="1" applyFill="1" applyBorder="1" applyAlignment="1">
      <alignment horizontal="center"/>
    </xf>
    <xf numFmtId="0" fontId="3" fillId="9" borderId="35" xfId="20" applyFont="1" applyFill="1" applyBorder="1" applyAlignment="1">
      <alignment horizontal="center"/>
    </xf>
    <xf numFmtId="10" fontId="4" fillId="0" borderId="0" xfId="26" applyNumberFormat="1" applyFont="1" applyFill="1" applyBorder="1" applyAlignment="1">
      <alignment horizontal="left" wrapText="1"/>
    </xf>
    <xf numFmtId="10" fontId="4" fillId="0" borderId="4" xfId="26" applyNumberFormat="1" applyFont="1" applyFill="1" applyBorder="1" applyAlignment="1">
      <alignment horizontal="left" wrapText="1"/>
    </xf>
    <xf numFmtId="10" fontId="4" fillId="4" borderId="0" xfId="26" applyNumberFormat="1" applyFont="1" applyFill="1" applyBorder="1" applyAlignment="1">
      <alignment horizontal="left" wrapText="1"/>
    </xf>
    <xf numFmtId="10" fontId="4" fillId="4" borderId="4" xfId="26" applyNumberFormat="1" applyFont="1" applyFill="1" applyBorder="1" applyAlignment="1">
      <alignment horizontal="left" wrapText="1"/>
    </xf>
    <xf numFmtId="0" fontId="34" fillId="12" borderId="38" xfId="20" applyFont="1" applyFill="1" applyBorder="1" applyAlignment="1">
      <alignment horizontal="center"/>
    </xf>
    <xf numFmtId="0" fontId="34" fillId="12" borderId="24" xfId="20" applyFont="1" applyFill="1" applyBorder="1" applyAlignment="1">
      <alignment horizontal="center"/>
    </xf>
    <xf numFmtId="0" fontId="34" fillId="12" borderId="35" xfId="20" applyFont="1" applyFill="1" applyBorder="1" applyAlignment="1">
      <alignment horizontal="center"/>
    </xf>
    <xf numFmtId="164" fontId="4" fillId="4" borderId="12" xfId="0" applyNumberFormat="1" applyFont="1" applyFill="1" applyBorder="1" applyAlignment="1">
      <alignment horizontal="center"/>
    </xf>
    <xf numFmtId="0" fontId="4" fillId="4" borderId="12" xfId="20" applyFont="1" applyFill="1" applyBorder="1" applyAlignment="1">
      <alignment horizontal="center"/>
    </xf>
    <xf numFmtId="0" fontId="20" fillId="4" borderId="12" xfId="20" applyFont="1" applyFill="1" applyBorder="1" applyAlignment="1">
      <alignment horizontal="center"/>
    </xf>
    <xf numFmtId="0" fontId="29" fillId="12" borderId="38" xfId="20" applyFont="1" applyFill="1" applyBorder="1" applyAlignment="1">
      <alignment horizontal="center"/>
    </xf>
    <xf numFmtId="0" fontId="29" fillId="12" borderId="24" xfId="20" applyFont="1" applyFill="1" applyBorder="1" applyAlignment="1">
      <alignment horizontal="center"/>
    </xf>
    <xf numFmtId="0" fontId="29" fillId="12" borderId="35" xfId="20" applyFont="1" applyFill="1" applyBorder="1" applyAlignment="1">
      <alignment horizontal="center"/>
    </xf>
    <xf numFmtId="0" fontId="122" fillId="0" borderId="12" xfId="20" applyFont="1" applyBorder="1" applyAlignment="1">
      <alignment horizontal="center"/>
    </xf>
    <xf numFmtId="0" fontId="4" fillId="0" borderId="38" xfId="20" applyFont="1" applyBorder="1" applyAlignment="1">
      <alignment horizontal="center" vertical="center"/>
    </xf>
    <xf numFmtId="0" fontId="4" fillId="0" borderId="24" xfId="20" applyFont="1" applyBorder="1" applyAlignment="1">
      <alignment horizontal="center" vertical="center"/>
    </xf>
    <xf numFmtId="0" fontId="4" fillId="0" borderId="35" xfId="20" applyFont="1" applyBorder="1" applyAlignment="1">
      <alignment horizontal="center" vertical="center"/>
    </xf>
    <xf numFmtId="164" fontId="4" fillId="0" borderId="12" xfId="0" applyNumberFormat="1" applyFont="1" applyBorder="1" applyAlignment="1">
      <alignment horizontal="center"/>
    </xf>
    <xf numFmtId="0" fontId="4" fillId="0" borderId="38" xfId="20" applyFont="1" applyBorder="1" applyAlignment="1">
      <alignment horizontal="center"/>
    </xf>
    <xf numFmtId="0" fontId="4" fillId="0" borderId="24" xfId="20" applyFont="1" applyBorder="1" applyAlignment="1">
      <alignment horizontal="center"/>
    </xf>
    <xf numFmtId="0" fontId="4" fillId="0" borderId="35" xfId="20" applyFont="1" applyBorder="1" applyAlignment="1">
      <alignment horizontal="center"/>
    </xf>
    <xf numFmtId="0" fontId="4" fillId="0" borderId="4" xfId="0" applyFont="1" applyBorder="1" applyAlignment="1">
      <alignment horizontal="left" wrapText="1"/>
    </xf>
    <xf numFmtId="0" fontId="4" fillId="0" borderId="0" xfId="20" applyFont="1" applyAlignment="1">
      <alignment horizontal="left" vertical="top" wrapText="1"/>
    </xf>
    <xf numFmtId="0" fontId="29" fillId="17" borderId="38" xfId="20" applyFont="1" applyFill="1" applyBorder="1" applyAlignment="1">
      <alignment horizontal="center" vertical="center"/>
    </xf>
    <xf numFmtId="0" fontId="29" fillId="17" borderId="24" xfId="20" applyFont="1" applyFill="1" applyBorder="1" applyAlignment="1">
      <alignment horizontal="center" vertical="center"/>
    </xf>
    <xf numFmtId="0" fontId="29" fillId="17" borderId="35" xfId="20" applyFont="1" applyFill="1" applyBorder="1" applyAlignment="1">
      <alignment horizontal="center" vertical="center"/>
    </xf>
    <xf numFmtId="0" fontId="29" fillId="18" borderId="38" xfId="20" applyFont="1" applyFill="1" applyBorder="1" applyAlignment="1">
      <alignment horizontal="center" vertical="center"/>
    </xf>
    <xf numFmtId="0" fontId="29" fillId="18" borderId="24" xfId="20" applyFont="1" applyFill="1" applyBorder="1" applyAlignment="1">
      <alignment horizontal="center" vertical="center"/>
    </xf>
    <xf numFmtId="0" fontId="29" fillId="18" borderId="35" xfId="20" applyFont="1" applyFill="1" applyBorder="1" applyAlignment="1">
      <alignment horizontal="center" vertical="center"/>
    </xf>
    <xf numFmtId="0" fontId="29" fillId="12" borderId="38" xfId="20" applyFont="1" applyFill="1" applyBorder="1" applyAlignment="1">
      <alignment horizontal="center" vertical="center"/>
    </xf>
    <xf numFmtId="0" fontId="29" fillId="12" borderId="24" xfId="20" applyFont="1" applyFill="1" applyBorder="1" applyAlignment="1">
      <alignment horizontal="center" vertical="center"/>
    </xf>
    <xf numFmtId="0" fontId="29" fillId="12" borderId="35" xfId="20" applyFont="1" applyFill="1" applyBorder="1" applyAlignment="1">
      <alignment horizontal="center" vertical="center"/>
    </xf>
    <xf numFmtId="0" fontId="51" fillId="4" borderId="8" xfId="20" applyFont="1" applyFill="1" applyBorder="1" applyAlignment="1">
      <alignment horizontal="left" vertical="top" wrapText="1"/>
    </xf>
    <xf numFmtId="0" fontId="51" fillId="4" borderId="0" xfId="20" applyFont="1" applyFill="1" applyAlignment="1">
      <alignment horizontal="left" vertical="top" wrapText="1"/>
    </xf>
    <xf numFmtId="0" fontId="21" fillId="4" borderId="4" xfId="20" applyFont="1" applyFill="1" applyBorder="1" applyAlignment="1">
      <alignment horizontal="left" wrapText="1"/>
    </xf>
    <xf numFmtId="0" fontId="42" fillId="12" borderId="38" xfId="20" applyFont="1" applyFill="1" applyBorder="1" applyAlignment="1">
      <alignment horizontal="center"/>
    </xf>
    <xf numFmtId="0" fontId="42" fillId="12" borderId="24" xfId="20" applyFont="1" applyFill="1" applyBorder="1" applyAlignment="1">
      <alignment horizontal="center"/>
    </xf>
    <xf numFmtId="0" fontId="42" fillId="12" borderId="35" xfId="20" applyFont="1" applyFill="1" applyBorder="1" applyAlignment="1">
      <alignment horizontal="center"/>
    </xf>
    <xf numFmtId="0" fontId="56" fillId="4" borderId="7" xfId="20" applyFont="1" applyFill="1" applyBorder="1" applyAlignment="1">
      <alignment horizontal="left" vertical="top" wrapText="1"/>
    </xf>
    <xf numFmtId="0" fontId="56" fillId="4" borderId="8" xfId="20" applyFont="1" applyFill="1" applyBorder="1" applyAlignment="1">
      <alignment horizontal="left" vertical="top" wrapText="1"/>
    </xf>
    <xf numFmtId="0" fontId="56" fillId="4" borderId="9" xfId="20" applyFont="1" applyFill="1" applyBorder="1" applyAlignment="1">
      <alignment horizontal="left" vertical="top" wrapText="1"/>
    </xf>
    <xf numFmtId="0" fontId="56" fillId="4" borderId="5" xfId="20" applyFont="1" applyFill="1" applyBorder="1" applyAlignment="1">
      <alignment horizontal="left" vertical="top" wrapText="1"/>
    </xf>
    <xf numFmtId="0" fontId="56" fillId="4" borderId="12" xfId="20" applyFont="1" applyFill="1" applyBorder="1" applyAlignment="1">
      <alignment horizontal="left" vertical="top" wrapText="1"/>
    </xf>
    <xf numFmtId="0" fontId="56" fillId="4" borderId="6" xfId="20" applyFont="1" applyFill="1" applyBorder="1" applyAlignment="1">
      <alignment horizontal="left" vertical="top" wrapText="1"/>
    </xf>
    <xf numFmtId="164" fontId="3" fillId="4" borderId="0" xfId="0" applyNumberFormat="1" applyFont="1" applyFill="1" applyAlignment="1">
      <alignment horizontal="center"/>
    </xf>
    <xf numFmtId="0" fontId="29" fillId="70" borderId="38" xfId="20" applyFont="1" applyFill="1" applyBorder="1" applyAlignment="1">
      <alignment horizontal="center"/>
    </xf>
    <xf numFmtId="0" fontId="29" fillId="70" borderId="24" xfId="20" applyFont="1" applyFill="1" applyBorder="1" applyAlignment="1">
      <alignment horizontal="center"/>
    </xf>
    <xf numFmtId="0" fontId="29" fillId="70" borderId="35" xfId="20" applyFont="1" applyFill="1" applyBorder="1" applyAlignment="1">
      <alignment horizontal="center"/>
    </xf>
    <xf numFmtId="0" fontId="36" fillId="0" borderId="0" xfId="0" applyFont="1" applyAlignment="1">
      <alignment horizontal="center"/>
    </xf>
    <xf numFmtId="0" fontId="37" fillId="14" borderId="39" xfId="0" applyFont="1" applyFill="1" applyBorder="1" applyAlignment="1">
      <alignment horizontal="center" vertical="center" wrapText="1"/>
    </xf>
    <xf numFmtId="0" fontId="37" fillId="14" borderId="48" xfId="0" applyFont="1" applyFill="1" applyBorder="1" applyAlignment="1">
      <alignment horizontal="center" vertical="center" wrapText="1"/>
    </xf>
    <xf numFmtId="0" fontId="37" fillId="14" borderId="2" xfId="0" applyFont="1" applyFill="1" applyBorder="1" applyAlignment="1">
      <alignment horizontal="center" vertical="center" wrapText="1"/>
    </xf>
    <xf numFmtId="0" fontId="37" fillId="14" borderId="37" xfId="0" applyFont="1" applyFill="1" applyBorder="1" applyAlignment="1">
      <alignment horizontal="center" vertical="center"/>
    </xf>
    <xf numFmtId="0" fontId="37" fillId="14" borderId="44" xfId="0" applyFont="1" applyFill="1" applyBorder="1" applyAlignment="1">
      <alignment horizontal="center" vertical="center"/>
    </xf>
    <xf numFmtId="0" fontId="37" fillId="14" borderId="39" xfId="0" applyFont="1" applyFill="1" applyBorder="1" applyAlignment="1">
      <alignment horizontal="center"/>
    </xf>
    <xf numFmtId="0" fontId="37" fillId="14" borderId="48" xfId="0" applyFont="1" applyFill="1" applyBorder="1" applyAlignment="1">
      <alignment horizontal="center"/>
    </xf>
    <xf numFmtId="0" fontId="37" fillId="14" borderId="2" xfId="0" applyFont="1" applyFill="1" applyBorder="1" applyAlignment="1">
      <alignment horizontal="center"/>
    </xf>
    <xf numFmtId="0" fontId="14" fillId="2" borderId="8" xfId="19" applyFont="1" applyFill="1" applyBorder="1" applyAlignment="1">
      <alignment horizontal="left"/>
    </xf>
    <xf numFmtId="0" fontId="14" fillId="2" borderId="9" xfId="19" applyFont="1" applyFill="1" applyBorder="1" applyAlignment="1">
      <alignment horizontal="left"/>
    </xf>
    <xf numFmtId="0" fontId="15" fillId="3" borderId="0" xfId="19" applyFont="1" applyFill="1" applyAlignment="1">
      <alignment horizontal="left"/>
    </xf>
    <xf numFmtId="0" fontId="15" fillId="3" borderId="4" xfId="19" applyFont="1" applyFill="1" applyBorder="1" applyAlignment="1">
      <alignment horizontal="left"/>
    </xf>
    <xf numFmtId="0" fontId="33" fillId="2" borderId="12" xfId="19" applyFont="1" applyFill="1" applyBorder="1" applyAlignment="1">
      <alignment horizontal="left"/>
    </xf>
    <xf numFmtId="0" fontId="33" fillId="2" borderId="6" xfId="19" applyFont="1" applyFill="1" applyBorder="1" applyAlignment="1">
      <alignment horizontal="left"/>
    </xf>
    <xf numFmtId="0" fontId="52" fillId="0" borderId="66" xfId="0" applyFont="1" applyBorder="1" applyAlignment="1">
      <alignment horizontal="center" vertical="top" wrapText="1"/>
    </xf>
    <xf numFmtId="0" fontId="52" fillId="0" borderId="0" xfId="0" applyFont="1" applyAlignment="1">
      <alignment horizontal="center" vertical="top" wrapText="1"/>
    </xf>
    <xf numFmtId="0" fontId="52" fillId="0" borderId="68" xfId="0" applyFont="1" applyBorder="1" applyAlignment="1">
      <alignment horizontal="center" vertical="top" wrapText="1"/>
    </xf>
    <xf numFmtId="0" fontId="52" fillId="0" borderId="69" xfId="0" applyFont="1" applyBorder="1" applyAlignment="1">
      <alignment horizontal="center" vertical="top" wrapText="1"/>
    </xf>
    <xf numFmtId="0" fontId="52" fillId="0" borderId="63" xfId="0" applyFont="1" applyBorder="1" applyAlignment="1">
      <alignment horizontal="center" vertical="top" wrapText="1"/>
    </xf>
    <xf numFmtId="0" fontId="52" fillId="0" borderId="64" xfId="0" applyFont="1" applyBorder="1" applyAlignment="1">
      <alignment horizontal="center" vertical="top" wrapText="1"/>
    </xf>
    <xf numFmtId="175" fontId="54" fillId="0" borderId="60" xfId="0" applyNumberFormat="1" applyFont="1" applyBorder="1" applyAlignment="1">
      <alignment horizontal="center" vertical="top" shrinkToFit="1"/>
    </xf>
    <xf numFmtId="175" fontId="54" fillId="0" borderId="61" xfId="0" applyNumberFormat="1" applyFont="1" applyBorder="1" applyAlignment="1">
      <alignment horizontal="center" vertical="top" shrinkToFit="1"/>
    </xf>
    <xf numFmtId="0" fontId="55" fillId="0" borderId="66" xfId="0" applyFont="1" applyBorder="1" applyAlignment="1">
      <alignment horizontal="center" vertical="top" wrapText="1"/>
    </xf>
    <xf numFmtId="0" fontId="55" fillId="0" borderId="0" xfId="0" applyFont="1" applyAlignment="1">
      <alignment horizontal="center" vertical="top" wrapText="1"/>
    </xf>
    <xf numFmtId="175" fontId="54" fillId="0" borderId="66" xfId="0" applyNumberFormat="1" applyFont="1" applyBorder="1" applyAlignment="1">
      <alignment horizontal="center" vertical="top" shrinkToFit="1"/>
    </xf>
    <xf numFmtId="175" fontId="54" fillId="0" borderId="0" xfId="0" applyNumberFormat="1" applyFont="1" applyAlignment="1">
      <alignment horizontal="center" vertical="top" shrinkToFit="1"/>
    </xf>
    <xf numFmtId="0" fontId="55" fillId="0" borderId="68" xfId="0" applyFont="1" applyBorder="1" applyAlignment="1">
      <alignment horizontal="center" vertical="top" wrapText="1"/>
    </xf>
    <xf numFmtId="0" fontId="55" fillId="0" borderId="69" xfId="0" applyFont="1" applyBorder="1" applyAlignment="1">
      <alignment horizontal="center" vertical="top" wrapText="1"/>
    </xf>
    <xf numFmtId="176" fontId="53" fillId="0" borderId="63" xfId="0" applyNumberFormat="1" applyFont="1" applyBorder="1" applyAlignment="1">
      <alignment horizontal="center" vertical="top" shrinkToFit="1"/>
    </xf>
    <xf numFmtId="176" fontId="53" fillId="0" borderId="64" xfId="0" applyNumberFormat="1" applyFont="1" applyBorder="1" applyAlignment="1">
      <alignment horizontal="center" vertical="top" shrinkToFit="1"/>
    </xf>
    <xf numFmtId="0" fontId="52" fillId="0" borderId="60" xfId="0" applyFont="1" applyBorder="1" applyAlignment="1">
      <alignment horizontal="center" vertical="top" wrapText="1"/>
    </xf>
    <xf numFmtId="0" fontId="52" fillId="0" borderId="61" xfId="0" applyFont="1" applyBorder="1" applyAlignment="1">
      <alignment horizontal="center" vertical="top" wrapText="1"/>
    </xf>
    <xf numFmtId="176" fontId="53" fillId="0" borderId="68" xfId="0" applyNumberFormat="1" applyFont="1" applyBorder="1" applyAlignment="1">
      <alignment horizontal="center" vertical="top" shrinkToFit="1"/>
    </xf>
    <xf numFmtId="176" fontId="53" fillId="0" borderId="69" xfId="0" applyNumberFormat="1" applyFont="1" applyBorder="1" applyAlignment="1">
      <alignment horizontal="center" vertical="top" shrinkToFit="1"/>
    </xf>
    <xf numFmtId="0" fontId="52" fillId="0" borderId="65" xfId="0" applyFont="1" applyBorder="1" applyAlignment="1">
      <alignment horizontal="center" vertical="top" wrapText="1"/>
    </xf>
    <xf numFmtId="174" fontId="53" fillId="0" borderId="63" xfId="0" applyNumberFormat="1" applyFont="1" applyBorder="1" applyAlignment="1">
      <alignment horizontal="center" vertical="top" shrinkToFit="1"/>
    </xf>
    <xf numFmtId="174" fontId="53" fillId="0" borderId="64" xfId="0" applyNumberFormat="1" applyFont="1" applyBorder="1" applyAlignment="1">
      <alignment horizontal="center" vertical="top" shrinkToFit="1"/>
    </xf>
    <xf numFmtId="175" fontId="54" fillId="0" borderId="68" xfId="0" applyNumberFormat="1" applyFont="1" applyBorder="1" applyAlignment="1">
      <alignment horizontal="center" vertical="top" shrinkToFit="1"/>
    </xf>
    <xf numFmtId="175" fontId="54" fillId="0" borderId="69" xfId="0" applyNumberFormat="1" applyFont="1" applyBorder="1" applyAlignment="1">
      <alignment horizontal="center" vertical="top" shrinkToFit="1"/>
    </xf>
    <xf numFmtId="176" fontId="53" fillId="0" borderId="60" xfId="0" applyNumberFormat="1" applyFont="1" applyBorder="1" applyAlignment="1">
      <alignment horizontal="center" vertical="top" shrinkToFit="1"/>
    </xf>
    <xf numFmtId="176" fontId="53" fillId="0" borderId="61" xfId="0" applyNumberFormat="1" applyFont="1" applyBorder="1" applyAlignment="1">
      <alignment horizontal="center" vertical="top" shrinkToFit="1"/>
    </xf>
    <xf numFmtId="176" fontId="53" fillId="0" borderId="66" xfId="0" applyNumberFormat="1" applyFont="1" applyBorder="1" applyAlignment="1">
      <alignment horizontal="center" vertical="top" shrinkToFit="1"/>
    </xf>
    <xf numFmtId="176" fontId="53" fillId="0" borderId="0" xfId="0" applyNumberFormat="1" applyFont="1" applyAlignment="1">
      <alignment horizontal="center" vertical="top" shrinkToFit="1"/>
    </xf>
    <xf numFmtId="0" fontId="52" fillId="0" borderId="60" xfId="0" applyFont="1" applyBorder="1" applyAlignment="1">
      <alignment horizontal="center" wrapText="1"/>
    </xf>
    <xf numFmtId="0" fontId="52" fillId="0" borderId="61" xfId="0" applyFont="1" applyBorder="1" applyAlignment="1">
      <alignment horizontal="center" wrapText="1"/>
    </xf>
    <xf numFmtId="0" fontId="52" fillId="0" borderId="62" xfId="0" applyFont="1" applyBorder="1" applyAlignment="1">
      <alignment horizontal="center" wrapText="1"/>
    </xf>
    <xf numFmtId="0" fontId="52" fillId="0" borderId="66" xfId="0" applyFont="1" applyBorder="1" applyAlignment="1">
      <alignment horizontal="center" wrapText="1"/>
    </xf>
    <xf numFmtId="0" fontId="52" fillId="0" borderId="0" xfId="0" applyFont="1" applyAlignment="1">
      <alignment horizontal="center" wrapText="1"/>
    </xf>
    <xf numFmtId="0" fontId="52" fillId="0" borderId="67" xfId="0" applyFont="1" applyBorder="1" applyAlignment="1">
      <alignment horizontal="center" wrapText="1"/>
    </xf>
    <xf numFmtId="0" fontId="52" fillId="0" borderId="68" xfId="0" applyFont="1" applyBorder="1" applyAlignment="1">
      <alignment horizontal="center" wrapText="1"/>
    </xf>
    <xf numFmtId="0" fontId="52" fillId="0" borderId="69" xfId="0" applyFont="1" applyBorder="1" applyAlignment="1">
      <alignment horizontal="center" wrapText="1"/>
    </xf>
    <xf numFmtId="0" fontId="52" fillId="0" borderId="70" xfId="0" applyFont="1" applyBorder="1" applyAlignment="1">
      <alignment horizontal="center" wrapText="1"/>
    </xf>
    <xf numFmtId="0" fontId="52" fillId="0" borderId="63" xfId="0" applyFont="1" applyBorder="1" applyAlignment="1">
      <alignment horizontal="left" vertical="top" wrapText="1" indent="2"/>
    </xf>
    <xf numFmtId="0" fontId="52" fillId="0" borderId="64" xfId="0" applyFont="1" applyBorder="1" applyAlignment="1">
      <alignment horizontal="left" vertical="top" wrapText="1" indent="2"/>
    </xf>
    <xf numFmtId="0" fontId="52" fillId="0" borderId="65" xfId="0" applyFont="1" applyBorder="1" applyAlignment="1">
      <alignment horizontal="left" vertical="top" wrapText="1" indent="2"/>
    </xf>
    <xf numFmtId="0" fontId="52" fillId="0" borderId="63" xfId="0" applyFont="1" applyBorder="1" applyAlignment="1">
      <alignment horizontal="left" vertical="top" wrapText="1"/>
    </xf>
    <xf numFmtId="0" fontId="52" fillId="0" borderId="64" xfId="0" applyFont="1" applyBorder="1" applyAlignment="1">
      <alignment horizontal="left" vertical="top" wrapText="1"/>
    </xf>
  </cellXfs>
  <cellStyles count="318">
    <cellStyle name="20% - Accent1 2" xfId="40" xr:uid="{00000000-0005-0000-0000-000000000000}"/>
    <cellStyle name="20% - Accent2 2" xfId="41" xr:uid="{00000000-0005-0000-0000-000001000000}"/>
    <cellStyle name="20% - Accent3 2" xfId="42" xr:uid="{00000000-0005-0000-0000-000002000000}"/>
    <cellStyle name="20% - Accent4 2" xfId="43" xr:uid="{00000000-0005-0000-0000-000003000000}"/>
    <cellStyle name="20% - Accent5 2" xfId="44" xr:uid="{00000000-0005-0000-0000-000004000000}"/>
    <cellStyle name="20% - Accent6 2" xfId="45" xr:uid="{00000000-0005-0000-0000-000005000000}"/>
    <cellStyle name="40% - Accent1 2" xfId="46" xr:uid="{00000000-0005-0000-0000-000006000000}"/>
    <cellStyle name="40% - Accent2 2" xfId="47" xr:uid="{00000000-0005-0000-0000-000007000000}"/>
    <cellStyle name="40% - Accent3 2" xfId="48" xr:uid="{00000000-0005-0000-0000-000008000000}"/>
    <cellStyle name="40% - Accent4 2" xfId="49" xr:uid="{00000000-0005-0000-0000-000009000000}"/>
    <cellStyle name="40% - Accent5 2" xfId="50" xr:uid="{00000000-0005-0000-0000-00000A000000}"/>
    <cellStyle name="40% - Accent6 2" xfId="51" xr:uid="{00000000-0005-0000-0000-00000B000000}"/>
    <cellStyle name="60% - Accent1 2" xfId="52" xr:uid="{00000000-0005-0000-0000-00000C000000}"/>
    <cellStyle name="60% - Accent2 2" xfId="53" xr:uid="{00000000-0005-0000-0000-00000D000000}"/>
    <cellStyle name="60% - Accent3 2" xfId="54" xr:uid="{00000000-0005-0000-0000-00000E000000}"/>
    <cellStyle name="60% - Accent4 2" xfId="55" xr:uid="{00000000-0005-0000-0000-00000F000000}"/>
    <cellStyle name="60% - Accent5 2" xfId="56" xr:uid="{00000000-0005-0000-0000-000010000000}"/>
    <cellStyle name="60% - Accent6 2" xfId="57" xr:uid="{00000000-0005-0000-0000-000011000000}"/>
    <cellStyle name="Accent1 2" xfId="58" xr:uid="{00000000-0005-0000-0000-000012000000}"/>
    <cellStyle name="Accent2 2" xfId="59" xr:uid="{00000000-0005-0000-0000-000013000000}"/>
    <cellStyle name="Accent3 2" xfId="60" xr:uid="{00000000-0005-0000-0000-000014000000}"/>
    <cellStyle name="Accent4 2" xfId="61" xr:uid="{00000000-0005-0000-0000-000015000000}"/>
    <cellStyle name="Accent5 2" xfId="62" xr:uid="{00000000-0005-0000-0000-000016000000}"/>
    <cellStyle name="Accent6 2" xfId="63" xr:uid="{00000000-0005-0000-0000-000017000000}"/>
    <cellStyle name="Bad 2" xfId="64" xr:uid="{00000000-0005-0000-0000-000018000000}"/>
    <cellStyle name="Bad 3" xfId="99" xr:uid="{00000000-0005-0000-0000-000019000000}"/>
    <cellStyle name="Body: normal cell" xfId="100" xr:uid="{00000000-0005-0000-0000-00001A000000}"/>
    <cellStyle name="Calculation 2" xfId="65" xr:uid="{00000000-0005-0000-0000-00001B000000}"/>
    <cellStyle name="Calculation 2 2" xfId="101" xr:uid="{00000000-0005-0000-0000-00001C000000}"/>
    <cellStyle name="Calculation 2 3" xfId="102" xr:uid="{00000000-0005-0000-0000-00001D000000}"/>
    <cellStyle name="Check Cell 2" xfId="66" xr:uid="{00000000-0005-0000-0000-00001E000000}"/>
    <cellStyle name="Comma" xfId="34" builtinId="3"/>
    <cellStyle name="Comma [0] 2" xfId="103" xr:uid="{00000000-0005-0000-0000-000020000000}"/>
    <cellStyle name="Comma 10" xfId="104" xr:uid="{00000000-0005-0000-0000-000021000000}"/>
    <cellStyle name="Comma 11" xfId="105" xr:uid="{00000000-0005-0000-0000-000022000000}"/>
    <cellStyle name="Comma 12" xfId="299" xr:uid="{00000000-0005-0000-0000-000023000000}"/>
    <cellStyle name="Comma 12 2" xfId="300" xr:uid="{00000000-0005-0000-0000-000024000000}"/>
    <cellStyle name="Comma 12 2 2" xfId="301" xr:uid="{00000000-0005-0000-0000-000025000000}"/>
    <cellStyle name="Comma 13" xfId="302" xr:uid="{00000000-0005-0000-0000-000026000000}"/>
    <cellStyle name="Comma 14" xfId="303" xr:uid="{00000000-0005-0000-0000-000027000000}"/>
    <cellStyle name="Comma 2" xfId="1" xr:uid="{00000000-0005-0000-0000-000028000000}"/>
    <cellStyle name="Comma 2 2" xfId="106" xr:uid="{00000000-0005-0000-0000-000029000000}"/>
    <cellStyle name="Comma 2 2 2" xfId="107" xr:uid="{00000000-0005-0000-0000-00002A000000}"/>
    <cellStyle name="Comma 2 3" xfId="108" xr:uid="{00000000-0005-0000-0000-00002B000000}"/>
    <cellStyle name="Comma 3" xfId="2" xr:uid="{00000000-0005-0000-0000-00002C000000}"/>
    <cellStyle name="Comma 3 2" xfId="3" xr:uid="{00000000-0005-0000-0000-00002D000000}"/>
    <cellStyle name="Comma 3 3" xfId="109" xr:uid="{00000000-0005-0000-0000-00002E000000}"/>
    <cellStyle name="Comma 3 4" xfId="110" xr:uid="{00000000-0005-0000-0000-00002F000000}"/>
    <cellStyle name="Comma 4" xfId="4" xr:uid="{00000000-0005-0000-0000-000030000000}"/>
    <cellStyle name="Comma 4 2" xfId="111" xr:uid="{00000000-0005-0000-0000-000031000000}"/>
    <cellStyle name="Comma 5" xfId="5" xr:uid="{00000000-0005-0000-0000-000032000000}"/>
    <cellStyle name="Comma 5 2" xfId="112" xr:uid="{00000000-0005-0000-0000-000033000000}"/>
    <cellStyle name="Comma 5 3" xfId="113" xr:uid="{00000000-0005-0000-0000-000034000000}"/>
    <cellStyle name="Comma 6" xfId="6" xr:uid="{00000000-0005-0000-0000-000035000000}"/>
    <cellStyle name="Comma 6 2" xfId="114" xr:uid="{00000000-0005-0000-0000-000036000000}"/>
    <cellStyle name="Comma 7" xfId="7" xr:uid="{00000000-0005-0000-0000-000037000000}"/>
    <cellStyle name="Comma 7 2" xfId="115" xr:uid="{00000000-0005-0000-0000-000038000000}"/>
    <cellStyle name="Comma 8" xfId="116" xr:uid="{00000000-0005-0000-0000-000039000000}"/>
    <cellStyle name="Comma 9" xfId="117" xr:uid="{00000000-0005-0000-0000-00003A000000}"/>
    <cellStyle name="Currency" xfId="8" builtinId="4"/>
    <cellStyle name="Currency [0] 2" xfId="118" xr:uid="{00000000-0005-0000-0000-00003C000000}"/>
    <cellStyle name="Currency 10" xfId="119" xr:uid="{00000000-0005-0000-0000-00003D000000}"/>
    <cellStyle name="Currency 11" xfId="120" xr:uid="{00000000-0005-0000-0000-00003E000000}"/>
    <cellStyle name="Currency 12" xfId="121" xr:uid="{00000000-0005-0000-0000-00003F000000}"/>
    <cellStyle name="Currency 13" xfId="122" xr:uid="{00000000-0005-0000-0000-000040000000}"/>
    <cellStyle name="Currency 14" xfId="123" xr:uid="{00000000-0005-0000-0000-000041000000}"/>
    <cellStyle name="Currency 15" xfId="124" xr:uid="{00000000-0005-0000-0000-000042000000}"/>
    <cellStyle name="Currency 16" xfId="125" xr:uid="{00000000-0005-0000-0000-000043000000}"/>
    <cellStyle name="Currency 17" xfId="126" xr:uid="{00000000-0005-0000-0000-000044000000}"/>
    <cellStyle name="Currency 18" xfId="127" xr:uid="{00000000-0005-0000-0000-000045000000}"/>
    <cellStyle name="Currency 19" xfId="128" xr:uid="{00000000-0005-0000-0000-000046000000}"/>
    <cellStyle name="Currency 2" xfId="9" xr:uid="{00000000-0005-0000-0000-000047000000}"/>
    <cellStyle name="Currency 2 2" xfId="10" xr:uid="{00000000-0005-0000-0000-000048000000}"/>
    <cellStyle name="Currency 2 2 2" xfId="129" xr:uid="{00000000-0005-0000-0000-000049000000}"/>
    <cellStyle name="Currency 2 2 2 2" xfId="130" xr:uid="{00000000-0005-0000-0000-00004A000000}"/>
    <cellStyle name="Currency 2 2 2 3" xfId="131" xr:uid="{00000000-0005-0000-0000-00004B000000}"/>
    <cellStyle name="Currency 2 3" xfId="11" xr:uid="{00000000-0005-0000-0000-00004C000000}"/>
    <cellStyle name="Currency 2 4" xfId="132" xr:uid="{00000000-0005-0000-0000-00004D000000}"/>
    <cellStyle name="Currency 2 4 2" xfId="133" xr:uid="{00000000-0005-0000-0000-00004E000000}"/>
    <cellStyle name="Currency 2 5" xfId="134" xr:uid="{00000000-0005-0000-0000-00004F000000}"/>
    <cellStyle name="Currency 20" xfId="135" xr:uid="{00000000-0005-0000-0000-000050000000}"/>
    <cellStyle name="Currency 21" xfId="136" xr:uid="{00000000-0005-0000-0000-000051000000}"/>
    <cellStyle name="Currency 22" xfId="137" xr:uid="{00000000-0005-0000-0000-000052000000}"/>
    <cellStyle name="Currency 23" xfId="138" xr:uid="{00000000-0005-0000-0000-000053000000}"/>
    <cellStyle name="Currency 24" xfId="139" xr:uid="{00000000-0005-0000-0000-000054000000}"/>
    <cellStyle name="Currency 25" xfId="140" xr:uid="{00000000-0005-0000-0000-000055000000}"/>
    <cellStyle name="Currency 26" xfId="141" xr:uid="{00000000-0005-0000-0000-000056000000}"/>
    <cellStyle name="Currency 27" xfId="142" xr:uid="{00000000-0005-0000-0000-000057000000}"/>
    <cellStyle name="Currency 28" xfId="143" xr:uid="{00000000-0005-0000-0000-000058000000}"/>
    <cellStyle name="Currency 29" xfId="144" xr:uid="{00000000-0005-0000-0000-000059000000}"/>
    <cellStyle name="Currency 3" xfId="12" xr:uid="{00000000-0005-0000-0000-00005A000000}"/>
    <cellStyle name="Currency 3 2" xfId="13" xr:uid="{00000000-0005-0000-0000-00005B000000}"/>
    <cellStyle name="Currency 3 3" xfId="67" xr:uid="{00000000-0005-0000-0000-00005C000000}"/>
    <cellStyle name="Currency 3 4" xfId="145" xr:uid="{00000000-0005-0000-0000-00005D000000}"/>
    <cellStyle name="Currency 3 5" xfId="146" xr:uid="{00000000-0005-0000-0000-00005E000000}"/>
    <cellStyle name="Currency 30" xfId="147" xr:uid="{00000000-0005-0000-0000-00005F000000}"/>
    <cellStyle name="Currency 31" xfId="148" xr:uid="{00000000-0005-0000-0000-000060000000}"/>
    <cellStyle name="Currency 32" xfId="149" xr:uid="{00000000-0005-0000-0000-000061000000}"/>
    <cellStyle name="Currency 33" xfId="150" xr:uid="{00000000-0005-0000-0000-000062000000}"/>
    <cellStyle name="Currency 34" xfId="151" xr:uid="{00000000-0005-0000-0000-000063000000}"/>
    <cellStyle name="Currency 35" xfId="152" xr:uid="{00000000-0005-0000-0000-000064000000}"/>
    <cellStyle name="Currency 36" xfId="153" xr:uid="{00000000-0005-0000-0000-000065000000}"/>
    <cellStyle name="Currency 37" xfId="154" xr:uid="{00000000-0005-0000-0000-000066000000}"/>
    <cellStyle name="Currency 38" xfId="155" xr:uid="{00000000-0005-0000-0000-000067000000}"/>
    <cellStyle name="Currency 39" xfId="156" xr:uid="{00000000-0005-0000-0000-000068000000}"/>
    <cellStyle name="Currency 4" xfId="14" xr:uid="{00000000-0005-0000-0000-000069000000}"/>
    <cellStyle name="Currency 4 2" xfId="15" xr:uid="{00000000-0005-0000-0000-00006A000000}"/>
    <cellStyle name="Currency 4 2 2" xfId="157" xr:uid="{00000000-0005-0000-0000-00006B000000}"/>
    <cellStyle name="Currency 4 2 2 2" xfId="158" xr:uid="{00000000-0005-0000-0000-00006C000000}"/>
    <cellStyle name="Currency 4 2 2 3" xfId="159" xr:uid="{00000000-0005-0000-0000-00006D000000}"/>
    <cellStyle name="Currency 4 2 3" xfId="160" xr:uid="{00000000-0005-0000-0000-00006E000000}"/>
    <cellStyle name="Currency 4 3" xfId="161" xr:uid="{00000000-0005-0000-0000-00006F000000}"/>
    <cellStyle name="Currency 4 3 2" xfId="162" xr:uid="{00000000-0005-0000-0000-000070000000}"/>
    <cellStyle name="Currency 4 3 3" xfId="163" xr:uid="{00000000-0005-0000-0000-000071000000}"/>
    <cellStyle name="Currency 4 4" xfId="164" xr:uid="{00000000-0005-0000-0000-000072000000}"/>
    <cellStyle name="Currency 4 5" xfId="165" xr:uid="{00000000-0005-0000-0000-000073000000}"/>
    <cellStyle name="Currency 40" xfId="166" xr:uid="{00000000-0005-0000-0000-000074000000}"/>
    <cellStyle name="Currency 41" xfId="167" xr:uid="{00000000-0005-0000-0000-000075000000}"/>
    <cellStyle name="Currency 42" xfId="168" xr:uid="{00000000-0005-0000-0000-000076000000}"/>
    <cellStyle name="Currency 43" xfId="169" xr:uid="{00000000-0005-0000-0000-000077000000}"/>
    <cellStyle name="Currency 44" xfId="170" xr:uid="{00000000-0005-0000-0000-000078000000}"/>
    <cellStyle name="Currency 45" xfId="171" xr:uid="{00000000-0005-0000-0000-000079000000}"/>
    <cellStyle name="Currency 46" xfId="172" xr:uid="{00000000-0005-0000-0000-00007A000000}"/>
    <cellStyle name="Currency 5" xfId="16" xr:uid="{00000000-0005-0000-0000-00007B000000}"/>
    <cellStyle name="Currency 5 2" xfId="17" xr:uid="{00000000-0005-0000-0000-00007C000000}"/>
    <cellStyle name="Currency 5 2 2" xfId="173" xr:uid="{00000000-0005-0000-0000-00007D000000}"/>
    <cellStyle name="Currency 5 3" xfId="174" xr:uid="{00000000-0005-0000-0000-00007E000000}"/>
    <cellStyle name="Currency 5 3 2" xfId="175" xr:uid="{00000000-0005-0000-0000-00007F000000}"/>
    <cellStyle name="Currency 5 3 3" xfId="176" xr:uid="{00000000-0005-0000-0000-000080000000}"/>
    <cellStyle name="Currency 5 4" xfId="177" xr:uid="{00000000-0005-0000-0000-000081000000}"/>
    <cellStyle name="Currency 5 5" xfId="178" xr:uid="{00000000-0005-0000-0000-000082000000}"/>
    <cellStyle name="Currency 5 6" xfId="179" xr:uid="{00000000-0005-0000-0000-000083000000}"/>
    <cellStyle name="Currency 6" xfId="180" xr:uid="{00000000-0005-0000-0000-000084000000}"/>
    <cellStyle name="Currency 6 2" xfId="181" xr:uid="{00000000-0005-0000-0000-000085000000}"/>
    <cellStyle name="Currency 6 3" xfId="182" xr:uid="{00000000-0005-0000-0000-000086000000}"/>
    <cellStyle name="Currency 7" xfId="68" xr:uid="{00000000-0005-0000-0000-000087000000}"/>
    <cellStyle name="Currency 7 2" xfId="183" xr:uid="{00000000-0005-0000-0000-000088000000}"/>
    <cellStyle name="Currency 7 3" xfId="184" xr:uid="{00000000-0005-0000-0000-000089000000}"/>
    <cellStyle name="Currency 8" xfId="185" xr:uid="{00000000-0005-0000-0000-00008A000000}"/>
    <cellStyle name="Currency 8 2" xfId="186" xr:uid="{00000000-0005-0000-0000-00008B000000}"/>
    <cellStyle name="Currency 9" xfId="187" xr:uid="{00000000-0005-0000-0000-00008C000000}"/>
    <cellStyle name="Explanatory Text 2" xfId="69" xr:uid="{00000000-0005-0000-0000-00008D000000}"/>
    <cellStyle name="Explanatory Text 2 2" xfId="188" xr:uid="{00000000-0005-0000-0000-00008E000000}"/>
    <cellStyle name="Explanatory Text 2 3" xfId="189" xr:uid="{00000000-0005-0000-0000-00008F000000}"/>
    <cellStyle name="Font: Calibri, 9pt regular" xfId="190" xr:uid="{00000000-0005-0000-0000-000090000000}"/>
    <cellStyle name="Footnotes: top row" xfId="191" xr:uid="{00000000-0005-0000-0000-000091000000}"/>
    <cellStyle name="Good 2" xfId="70" xr:uid="{00000000-0005-0000-0000-000092000000}"/>
    <cellStyle name="Header: bottom row" xfId="192" xr:uid="{00000000-0005-0000-0000-000093000000}"/>
    <cellStyle name="Heading 1 2" xfId="71" xr:uid="{00000000-0005-0000-0000-000094000000}"/>
    <cellStyle name="Heading 1 2 2" xfId="193" xr:uid="{00000000-0005-0000-0000-000095000000}"/>
    <cellStyle name="Heading 1 2 3" xfId="194" xr:uid="{00000000-0005-0000-0000-000096000000}"/>
    <cellStyle name="Heading 2 2" xfId="72" xr:uid="{00000000-0005-0000-0000-000097000000}"/>
    <cellStyle name="Heading 2 2 2" xfId="195" xr:uid="{00000000-0005-0000-0000-000098000000}"/>
    <cellStyle name="Heading 2 2 3" xfId="196" xr:uid="{00000000-0005-0000-0000-000099000000}"/>
    <cellStyle name="Heading 3 2" xfId="73" xr:uid="{00000000-0005-0000-0000-00009A000000}"/>
    <cellStyle name="Heading 3 2 2" xfId="197" xr:uid="{00000000-0005-0000-0000-00009B000000}"/>
    <cellStyle name="Heading 3 2 3" xfId="198" xr:uid="{00000000-0005-0000-0000-00009C000000}"/>
    <cellStyle name="Heading 4 2" xfId="74" xr:uid="{00000000-0005-0000-0000-00009D000000}"/>
    <cellStyle name="Heading 4 2 2" xfId="199" xr:uid="{00000000-0005-0000-0000-00009E000000}"/>
    <cellStyle name="Heading 4 2 3" xfId="200" xr:uid="{00000000-0005-0000-0000-00009F000000}"/>
    <cellStyle name="Hyperlink 2" xfId="201" xr:uid="{00000000-0005-0000-0000-0000A0000000}"/>
    <cellStyle name="Hyperlink 3" xfId="315" xr:uid="{00000000-0005-0000-0000-0000A1000000}"/>
    <cellStyle name="Input 2" xfId="75" xr:uid="{00000000-0005-0000-0000-0000A2000000}"/>
    <cellStyle name="Input 2 2" xfId="202" xr:uid="{00000000-0005-0000-0000-0000A3000000}"/>
    <cellStyle name="Input 2 3" xfId="203" xr:uid="{00000000-0005-0000-0000-0000A4000000}"/>
    <cellStyle name="Linked Cell 2" xfId="76" xr:uid="{00000000-0005-0000-0000-0000A5000000}"/>
    <cellStyle name="Linked Cell 2 2" xfId="204" xr:uid="{00000000-0005-0000-0000-0000A6000000}"/>
    <cellStyle name="Linked Cell 2 3" xfId="205" xr:uid="{00000000-0005-0000-0000-0000A7000000}"/>
    <cellStyle name="Neutral 2" xfId="77" xr:uid="{00000000-0005-0000-0000-0000A8000000}"/>
    <cellStyle name="Normal" xfId="0" builtinId="0"/>
    <cellStyle name="Normal 10" xfId="206" xr:uid="{00000000-0005-0000-0000-0000AA000000}"/>
    <cellStyle name="Normal 10 2" xfId="207" xr:uid="{00000000-0005-0000-0000-0000AB000000}"/>
    <cellStyle name="Normal 10 3" xfId="208" xr:uid="{00000000-0005-0000-0000-0000AC000000}"/>
    <cellStyle name="Normal 10 3 2" xfId="209" xr:uid="{00000000-0005-0000-0000-0000AD000000}"/>
    <cellStyle name="Normal 11" xfId="210" xr:uid="{00000000-0005-0000-0000-0000AE000000}"/>
    <cellStyle name="Normal 11 2" xfId="211" xr:uid="{00000000-0005-0000-0000-0000AF000000}"/>
    <cellStyle name="Normal 11 2 2" xfId="212" xr:uid="{00000000-0005-0000-0000-0000B0000000}"/>
    <cellStyle name="Normal 12" xfId="78" xr:uid="{00000000-0005-0000-0000-0000B1000000}"/>
    <cellStyle name="Normal 13" xfId="213" xr:uid="{00000000-0005-0000-0000-0000B2000000}"/>
    <cellStyle name="Normal 13 2" xfId="214" xr:uid="{00000000-0005-0000-0000-0000B3000000}"/>
    <cellStyle name="Normal 14" xfId="215" xr:uid="{00000000-0005-0000-0000-0000B4000000}"/>
    <cellStyle name="Normal 14 2" xfId="216" xr:uid="{00000000-0005-0000-0000-0000B5000000}"/>
    <cellStyle name="Normal 15" xfId="217" xr:uid="{00000000-0005-0000-0000-0000B6000000}"/>
    <cellStyle name="Normal 16" xfId="218" xr:uid="{00000000-0005-0000-0000-0000B7000000}"/>
    <cellStyle name="Normal 17" xfId="79" xr:uid="{00000000-0005-0000-0000-0000B8000000}"/>
    <cellStyle name="Normal 17 2" xfId="219" xr:uid="{00000000-0005-0000-0000-0000B9000000}"/>
    <cellStyle name="Normal 18" xfId="220" xr:uid="{00000000-0005-0000-0000-0000BA000000}"/>
    <cellStyle name="Normal 19" xfId="221" xr:uid="{00000000-0005-0000-0000-0000BB000000}"/>
    <cellStyle name="Normal 2" xfId="18" xr:uid="{00000000-0005-0000-0000-0000BC000000}"/>
    <cellStyle name="Normal 2 2" xfId="19" xr:uid="{00000000-0005-0000-0000-0000BD000000}"/>
    <cellStyle name="Normal 2 2 2" xfId="80" xr:uid="{00000000-0005-0000-0000-0000BE000000}"/>
    <cellStyle name="Normal 2 2 3" xfId="222" xr:uid="{00000000-0005-0000-0000-0000BF000000}"/>
    <cellStyle name="Normal 2 3" xfId="81" xr:uid="{00000000-0005-0000-0000-0000C0000000}"/>
    <cellStyle name="Normal 2 3 2" xfId="223" xr:uid="{00000000-0005-0000-0000-0000C1000000}"/>
    <cellStyle name="Normal 2 4" xfId="82" xr:uid="{00000000-0005-0000-0000-0000C2000000}"/>
    <cellStyle name="Normal 2 4 2" xfId="224" xr:uid="{00000000-0005-0000-0000-0000C3000000}"/>
    <cellStyle name="Normal 2 4 3" xfId="225" xr:uid="{00000000-0005-0000-0000-0000C4000000}"/>
    <cellStyle name="Normal 2 5" xfId="226" xr:uid="{00000000-0005-0000-0000-0000C5000000}"/>
    <cellStyle name="Normal 2 5 2" xfId="227" xr:uid="{00000000-0005-0000-0000-0000C6000000}"/>
    <cellStyle name="Normal 20" xfId="228" xr:uid="{00000000-0005-0000-0000-0000C7000000}"/>
    <cellStyle name="Normal 21" xfId="229" xr:uid="{00000000-0005-0000-0000-0000C8000000}"/>
    <cellStyle name="Normal 22" xfId="304" xr:uid="{00000000-0005-0000-0000-0000C9000000}"/>
    <cellStyle name="Normal 23" xfId="305" xr:uid="{00000000-0005-0000-0000-0000CA000000}"/>
    <cellStyle name="Normal 23 2" xfId="306" xr:uid="{00000000-0005-0000-0000-0000CB000000}"/>
    <cellStyle name="Normal 23 2 2" xfId="307" xr:uid="{00000000-0005-0000-0000-0000CC000000}"/>
    <cellStyle name="Normal 24" xfId="308" xr:uid="{00000000-0005-0000-0000-0000CD000000}"/>
    <cellStyle name="Normal 25" xfId="309" xr:uid="{00000000-0005-0000-0000-0000CE000000}"/>
    <cellStyle name="Normal 26" xfId="310" xr:uid="{00000000-0005-0000-0000-0000CF000000}"/>
    <cellStyle name="Normal 3" xfId="20" xr:uid="{00000000-0005-0000-0000-0000D0000000}"/>
    <cellStyle name="Normal 3 2" xfId="21" xr:uid="{00000000-0005-0000-0000-0000D1000000}"/>
    <cellStyle name="Normal 3 2 2" xfId="230" xr:uid="{00000000-0005-0000-0000-0000D2000000}"/>
    <cellStyle name="Normal 3 2 3" xfId="231" xr:uid="{00000000-0005-0000-0000-0000D3000000}"/>
    <cellStyle name="Normal 3 2 4" xfId="232" xr:uid="{00000000-0005-0000-0000-0000D4000000}"/>
    <cellStyle name="Normal 3 3" xfId="83" xr:uid="{00000000-0005-0000-0000-0000D5000000}"/>
    <cellStyle name="Normal 3 3 2" xfId="233" xr:uid="{00000000-0005-0000-0000-0000D6000000}"/>
    <cellStyle name="Normal 3 4" xfId="234" xr:uid="{00000000-0005-0000-0000-0000D7000000}"/>
    <cellStyle name="Normal 3 4 2" xfId="235" xr:uid="{00000000-0005-0000-0000-0000D8000000}"/>
    <cellStyle name="Normal 3 5" xfId="236" xr:uid="{00000000-0005-0000-0000-0000D9000000}"/>
    <cellStyle name="Normal 3 9" xfId="84" xr:uid="{00000000-0005-0000-0000-0000DA000000}"/>
    <cellStyle name="Normal 4" xfId="22" xr:uid="{00000000-0005-0000-0000-0000DB000000}"/>
    <cellStyle name="Normal 4 2" xfId="23" xr:uid="{00000000-0005-0000-0000-0000DC000000}"/>
    <cellStyle name="Normal 4 2 2" xfId="85" xr:uid="{00000000-0005-0000-0000-0000DD000000}"/>
    <cellStyle name="Normal 4 2 2 2" xfId="237" xr:uid="{00000000-0005-0000-0000-0000DE000000}"/>
    <cellStyle name="Normal 4 2 3" xfId="238" xr:uid="{00000000-0005-0000-0000-0000DF000000}"/>
    <cellStyle name="Normal 4 2 3 2" xfId="239" xr:uid="{00000000-0005-0000-0000-0000E0000000}"/>
    <cellStyle name="Normal 4 3" xfId="240" xr:uid="{00000000-0005-0000-0000-0000E1000000}"/>
    <cellStyle name="Normal 4 3 2" xfId="241" xr:uid="{00000000-0005-0000-0000-0000E2000000}"/>
    <cellStyle name="Normal 4 3 3" xfId="242" xr:uid="{00000000-0005-0000-0000-0000E3000000}"/>
    <cellStyle name="Normal 4 4" xfId="243" xr:uid="{00000000-0005-0000-0000-0000E4000000}"/>
    <cellStyle name="Normal 4 5" xfId="317" xr:uid="{C0EE2F36-609F-4FCF-9AE1-E9E6A73F6B34}"/>
    <cellStyle name="Normal 41" xfId="314" xr:uid="{00000000-0005-0000-0000-0000E5000000}"/>
    <cellStyle name="Normal 5" xfId="24" xr:uid="{00000000-0005-0000-0000-0000E6000000}"/>
    <cellStyle name="Normal 5 2" xfId="86" xr:uid="{00000000-0005-0000-0000-0000E7000000}"/>
    <cellStyle name="Normal 5 3" xfId="296" xr:uid="{00000000-0005-0000-0000-0000E8000000}"/>
    <cellStyle name="Normal 5 4" xfId="313" xr:uid="{00000000-0005-0000-0000-0000E9000000}"/>
    <cellStyle name="Normal 5 5" xfId="316" xr:uid="{32A6E954-FE48-4FA4-8E2E-9D65001313E8}"/>
    <cellStyle name="Normal 6" xfId="25" xr:uid="{00000000-0005-0000-0000-0000EA000000}"/>
    <cellStyle name="Normal 6 2" xfId="36" xr:uid="{00000000-0005-0000-0000-0000EB000000}"/>
    <cellStyle name="Normal 6 2 2" xfId="87" xr:uid="{00000000-0005-0000-0000-0000EC000000}"/>
    <cellStyle name="Normal 6 2 2 2" xfId="244" xr:uid="{00000000-0005-0000-0000-0000ED000000}"/>
    <cellStyle name="Normal 6 2 3" xfId="245" xr:uid="{00000000-0005-0000-0000-0000EE000000}"/>
    <cellStyle name="Normal 6 2 4" xfId="246" xr:uid="{00000000-0005-0000-0000-0000EF000000}"/>
    <cellStyle name="Normal 6 3" xfId="88" xr:uid="{00000000-0005-0000-0000-0000F0000000}"/>
    <cellStyle name="Normal 6 4" xfId="247" xr:uid="{00000000-0005-0000-0000-0000F1000000}"/>
    <cellStyle name="Normal 6 5" xfId="312" xr:uid="{00000000-0005-0000-0000-0000F2000000}"/>
    <cellStyle name="Normal 7" xfId="35" xr:uid="{00000000-0005-0000-0000-0000F3000000}"/>
    <cellStyle name="Normal 7 2" xfId="37" xr:uid="{00000000-0005-0000-0000-0000F4000000}"/>
    <cellStyle name="Normal 7 3" xfId="248" xr:uid="{00000000-0005-0000-0000-0000F5000000}"/>
    <cellStyle name="Normal 8" xfId="249" xr:uid="{00000000-0005-0000-0000-0000F6000000}"/>
    <cellStyle name="Normal 8 2" xfId="98" xr:uid="{00000000-0005-0000-0000-0000F7000000}"/>
    <cellStyle name="Normal 8 3" xfId="250" xr:uid="{00000000-0005-0000-0000-0000F8000000}"/>
    <cellStyle name="Normal 8 4" xfId="251" xr:uid="{00000000-0005-0000-0000-0000F9000000}"/>
    <cellStyle name="Normal 8 5" xfId="252" xr:uid="{00000000-0005-0000-0000-0000FA000000}"/>
    <cellStyle name="Normal 9" xfId="253" xr:uid="{00000000-0005-0000-0000-0000FB000000}"/>
    <cellStyle name="Normal 9 2" xfId="89" xr:uid="{00000000-0005-0000-0000-0000FC000000}"/>
    <cellStyle name="Normal 9 2 2" xfId="254" xr:uid="{00000000-0005-0000-0000-0000FD000000}"/>
    <cellStyle name="Normal 9 2 3" xfId="255" xr:uid="{00000000-0005-0000-0000-0000FE000000}"/>
    <cellStyle name="Normal 9 3" xfId="256" xr:uid="{00000000-0005-0000-0000-0000FF000000}"/>
    <cellStyle name="Note 2" xfId="90" xr:uid="{00000000-0005-0000-0000-000000010000}"/>
    <cellStyle name="Note 2 2" xfId="91" xr:uid="{00000000-0005-0000-0000-000001010000}"/>
    <cellStyle name="Note 2 3" xfId="257" xr:uid="{00000000-0005-0000-0000-000002010000}"/>
    <cellStyle name="Output 2" xfId="92" xr:uid="{00000000-0005-0000-0000-000003010000}"/>
    <cellStyle name="Output 2 2" xfId="258" xr:uid="{00000000-0005-0000-0000-000004010000}"/>
    <cellStyle name="Output 2 3" xfId="259" xr:uid="{00000000-0005-0000-0000-000005010000}"/>
    <cellStyle name="Parent row" xfId="260" xr:uid="{00000000-0005-0000-0000-000006010000}"/>
    <cellStyle name="Percent" xfId="26" builtinId="5"/>
    <cellStyle name="Percent 10" xfId="261" xr:uid="{00000000-0005-0000-0000-000008010000}"/>
    <cellStyle name="Percent 10 2" xfId="262" xr:uid="{00000000-0005-0000-0000-000009010000}"/>
    <cellStyle name="Percent 11" xfId="263" xr:uid="{00000000-0005-0000-0000-00000A010000}"/>
    <cellStyle name="Percent 12" xfId="311" xr:uid="{00000000-0005-0000-0000-00000B010000}"/>
    <cellStyle name="Percent 13" xfId="298" xr:uid="{00000000-0005-0000-0000-00000C010000}"/>
    <cellStyle name="Percent 2" xfId="27" xr:uid="{00000000-0005-0000-0000-00000D010000}"/>
    <cellStyle name="Percent 2 2" xfId="93" xr:uid="{00000000-0005-0000-0000-00000E010000}"/>
    <cellStyle name="Percent 2 2 2" xfId="264" xr:uid="{00000000-0005-0000-0000-00000F010000}"/>
    <cellStyle name="Percent 2 2 3" xfId="265" xr:uid="{00000000-0005-0000-0000-000010010000}"/>
    <cellStyle name="Percent 2 3" xfId="266" xr:uid="{00000000-0005-0000-0000-000011010000}"/>
    <cellStyle name="Percent 2 3 2" xfId="297" xr:uid="{00000000-0005-0000-0000-000012010000}"/>
    <cellStyle name="Percent 2 4" xfId="267" xr:uid="{00000000-0005-0000-0000-000013010000}"/>
    <cellStyle name="Percent 2 5" xfId="268" xr:uid="{00000000-0005-0000-0000-000014010000}"/>
    <cellStyle name="Percent 3" xfId="28" xr:uid="{00000000-0005-0000-0000-000015010000}"/>
    <cellStyle name="Percent 3 2" xfId="269" xr:uid="{00000000-0005-0000-0000-000016010000}"/>
    <cellStyle name="Percent 3 2 2" xfId="270" xr:uid="{00000000-0005-0000-0000-000017010000}"/>
    <cellStyle name="Percent 3 2 3" xfId="271" xr:uid="{00000000-0005-0000-0000-000018010000}"/>
    <cellStyle name="Percent 3 3" xfId="272" xr:uid="{00000000-0005-0000-0000-000019010000}"/>
    <cellStyle name="Percent 4" xfId="29" xr:uid="{00000000-0005-0000-0000-00001A010000}"/>
    <cellStyle name="Percent 4 2" xfId="30" xr:uid="{00000000-0005-0000-0000-00001B010000}"/>
    <cellStyle name="Percent 4 2 2" xfId="273" xr:uid="{00000000-0005-0000-0000-00001C010000}"/>
    <cellStyle name="Percent 4 2 3" xfId="274" xr:uid="{00000000-0005-0000-0000-00001D010000}"/>
    <cellStyle name="Percent 4 3" xfId="275" xr:uid="{00000000-0005-0000-0000-00001E010000}"/>
    <cellStyle name="Percent 5" xfId="31" xr:uid="{00000000-0005-0000-0000-00001F010000}"/>
    <cellStyle name="Percent 5 2" xfId="276" xr:uid="{00000000-0005-0000-0000-000020010000}"/>
    <cellStyle name="Percent 5 2 2" xfId="277" xr:uid="{00000000-0005-0000-0000-000021010000}"/>
    <cellStyle name="Percent 5 3" xfId="278" xr:uid="{00000000-0005-0000-0000-000022010000}"/>
    <cellStyle name="Percent 5 4" xfId="279" xr:uid="{00000000-0005-0000-0000-000023010000}"/>
    <cellStyle name="Percent 5 5" xfId="280" xr:uid="{00000000-0005-0000-0000-000024010000}"/>
    <cellStyle name="Percent 6" xfId="32" xr:uid="{00000000-0005-0000-0000-000025010000}"/>
    <cellStyle name="Percent 6 2" xfId="38" xr:uid="{00000000-0005-0000-0000-000026010000}"/>
    <cellStyle name="Percent 6 3" xfId="281" xr:uid="{00000000-0005-0000-0000-000027010000}"/>
    <cellStyle name="Percent 6 4" xfId="282" xr:uid="{00000000-0005-0000-0000-000028010000}"/>
    <cellStyle name="Percent 7" xfId="33" xr:uid="{00000000-0005-0000-0000-000029010000}"/>
    <cellStyle name="Percent 7 2" xfId="283" xr:uid="{00000000-0005-0000-0000-00002A010000}"/>
    <cellStyle name="Percent 7 3" xfId="284" xr:uid="{00000000-0005-0000-0000-00002B010000}"/>
    <cellStyle name="Percent 7 4" xfId="285" xr:uid="{00000000-0005-0000-0000-00002C010000}"/>
    <cellStyle name="Percent 8" xfId="39" xr:uid="{00000000-0005-0000-0000-00002D010000}"/>
    <cellStyle name="Percent 8 2" xfId="286" xr:uid="{00000000-0005-0000-0000-00002E010000}"/>
    <cellStyle name="Percent 8 3" xfId="287" xr:uid="{00000000-0005-0000-0000-00002F010000}"/>
    <cellStyle name="Percent 9" xfId="288" xr:uid="{00000000-0005-0000-0000-000030010000}"/>
    <cellStyle name="Percent 9 2" xfId="289" xr:uid="{00000000-0005-0000-0000-000031010000}"/>
    <cellStyle name="Table title" xfId="290" xr:uid="{00000000-0005-0000-0000-000032010000}"/>
    <cellStyle name="Title 2" xfId="94" xr:uid="{00000000-0005-0000-0000-000033010000}"/>
    <cellStyle name="Title 2 2" xfId="95" xr:uid="{00000000-0005-0000-0000-000034010000}"/>
    <cellStyle name="Title 2 3" xfId="291" xr:uid="{00000000-0005-0000-0000-000035010000}"/>
    <cellStyle name="Total 2" xfId="96" xr:uid="{00000000-0005-0000-0000-000036010000}"/>
    <cellStyle name="Total 2 2" xfId="292" xr:uid="{00000000-0005-0000-0000-000037010000}"/>
    <cellStyle name="Total 2 3" xfId="293" xr:uid="{00000000-0005-0000-0000-000038010000}"/>
    <cellStyle name="Warning Text 2" xfId="97" xr:uid="{00000000-0005-0000-0000-000039010000}"/>
    <cellStyle name="Warning Text 2 2" xfId="294" xr:uid="{00000000-0005-0000-0000-00003A010000}"/>
    <cellStyle name="Warning Text 2 3" xfId="295" xr:uid="{00000000-0005-0000-0000-00003B010000}"/>
  </cellStyles>
  <dxfs count="103">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ont>
        <b/>
      </font>
    </dxf>
    <dxf>
      <font>
        <b/>
      </font>
    </dxf>
    <dxf>
      <alignment horizontal="right"/>
    </dxf>
    <dxf>
      <alignment horizontal="right"/>
    </dxf>
    <dxf>
      <alignment horizontal="right"/>
    </dxf>
    <dxf>
      <font>
        <b/>
      </font>
    </dxf>
    <dxf>
      <font>
        <b/>
      </font>
    </dxf>
    <dxf>
      <alignment horizontal="right"/>
    </dxf>
    <dxf>
      <font>
        <b/>
      </font>
    </dxf>
    <dxf>
      <alignment wrapText="1"/>
    </dxf>
    <dxf>
      <font>
        <b/>
      </font>
    </dxf>
    <dxf>
      <font>
        <b/>
      </font>
    </dxf>
    <dxf>
      <font>
        <b/>
      </font>
    </dxf>
    <dxf>
      <font>
        <b/>
      </font>
    </dxf>
    <dxf>
      <font>
        <b/>
      </font>
    </dxf>
    <dxf>
      <font>
        <b/>
      </font>
    </dxf>
    <dxf>
      <font>
        <b/>
      </font>
    </dxf>
    <dxf>
      <font>
        <b/>
      </font>
    </dxf>
    <dxf>
      <font>
        <b/>
      </font>
    </dxf>
    <dxf>
      <font>
        <b/>
      </font>
    </dxf>
    <dxf>
      <alignment horizontal="right"/>
    </dxf>
    <dxf>
      <alignment horizontal="genera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b/>
      </font>
    </dxf>
    <dxf>
      <font>
        <b/>
      </font>
    </dxf>
    <dxf>
      <font>
        <b/>
      </font>
    </dxf>
    <dxf>
      <font>
        <b/>
      </font>
    </dxf>
    <dxf>
      <font>
        <b/>
      </font>
    </dxf>
    <dxf>
      <alignment horizontal="right"/>
    </dxf>
    <dxf>
      <font>
        <b/>
      </font>
    </dxf>
    <dxf>
      <numFmt numFmtId="171" formatCode="_(* #,##0_);_(* \(#,##0\);_(* &quot;-&quot;??_);_(@_)"/>
    </dxf>
    <dxf>
      <font>
        <b/>
      </font>
    </dxf>
    <dxf>
      <font>
        <b/>
      </font>
    </dxf>
    <dxf>
      <font>
        <b/>
      </font>
    </dxf>
    <dxf>
      <font>
        <b/>
      </font>
    </dxf>
    <dxf>
      <font>
        <b/>
      </font>
    </dxf>
    <dxf>
      <alignment horizontal="right"/>
    </dxf>
    <dxf>
      <alignment wrapText="1"/>
    </dxf>
    <dxf>
      <numFmt numFmtId="171" formatCode="_(* #,##0_);_(* \(#,##0\);_(* &quot;-&quot;??_);_(@_)"/>
    </dxf>
  </dxfs>
  <tableStyles count="0" defaultTableStyle="TableStyleMedium2" defaultPivotStyle="PivotStyleLight16"/>
  <colors>
    <mruColors>
      <color rgb="FFFFFF66"/>
      <color rgb="FFFFCC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5.xml"/><Relationship Id="rId63" Type="http://schemas.openxmlformats.org/officeDocument/2006/relationships/externalLink" Target="externalLinks/externalLink13.xml"/><Relationship Id="rId68" Type="http://schemas.openxmlformats.org/officeDocument/2006/relationships/externalLink" Target="externalLinks/externalLink1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externalLink" Target="externalLinks/externalLink8.xml"/><Relationship Id="rId66" Type="http://schemas.openxmlformats.org/officeDocument/2006/relationships/externalLink" Target="externalLinks/externalLink16.xml"/><Relationship Id="rId74" Type="http://schemas.openxmlformats.org/officeDocument/2006/relationships/pivotCacheDefinition" Target="pivotCache/pivotCacheDefinition1.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externalLink" Target="externalLinks/externalLink10.xml"/><Relationship Id="rId65" Type="http://schemas.openxmlformats.org/officeDocument/2006/relationships/externalLink" Target="externalLinks/externalLink15.xml"/><Relationship Id="rId73" Type="http://schemas.openxmlformats.org/officeDocument/2006/relationships/externalLink" Target="externalLinks/externalLink23.xml"/><Relationship Id="rId78"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6.xml"/><Relationship Id="rId64" Type="http://schemas.openxmlformats.org/officeDocument/2006/relationships/externalLink" Target="externalLinks/externalLink14.xml"/><Relationship Id="rId69" Type="http://schemas.openxmlformats.org/officeDocument/2006/relationships/externalLink" Target="externalLinks/externalLink1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1.xml"/><Relationship Id="rId72" Type="http://schemas.openxmlformats.org/officeDocument/2006/relationships/externalLink" Target="externalLinks/externalLink2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9.xml"/><Relationship Id="rId67" Type="http://schemas.openxmlformats.org/officeDocument/2006/relationships/externalLink" Target="externalLinks/externalLink1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4.xml"/><Relationship Id="rId62" Type="http://schemas.openxmlformats.org/officeDocument/2006/relationships/externalLink" Target="externalLinks/externalLink12.xml"/><Relationship Id="rId70" Type="http://schemas.openxmlformats.org/officeDocument/2006/relationships/externalLink" Target="externalLinks/externalLink2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oneCellAnchor>
    <xdr:from>
      <xdr:col>7</xdr:col>
      <xdr:colOff>0</xdr:colOff>
      <xdr:row>30</xdr:row>
      <xdr:rowOff>0</xdr:rowOff>
    </xdr:from>
    <xdr:ext cx="184731" cy="274009"/>
    <xdr:sp macro="" textlink="">
      <xdr:nvSpPr>
        <xdr:cNvPr id="26" name="TextBox 25">
          <a:extLst>
            <a:ext uri="{FF2B5EF4-FFF2-40B4-BE49-F238E27FC236}">
              <a16:creationId xmlns:a16="http://schemas.microsoft.com/office/drawing/2014/main" id="{22D83005-541F-4348-974B-47C8751E4585}"/>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27" name="TextBox 26">
          <a:extLst>
            <a:ext uri="{FF2B5EF4-FFF2-40B4-BE49-F238E27FC236}">
              <a16:creationId xmlns:a16="http://schemas.microsoft.com/office/drawing/2014/main" id="{844DF9E7-36BC-4872-A864-1C716C08035D}"/>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28" name="TextBox 27">
          <a:extLst>
            <a:ext uri="{FF2B5EF4-FFF2-40B4-BE49-F238E27FC236}">
              <a16:creationId xmlns:a16="http://schemas.microsoft.com/office/drawing/2014/main" id="{DF163273-C914-4A84-B727-4CE853A7D5C3}"/>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29" name="TextBox 28">
          <a:extLst>
            <a:ext uri="{FF2B5EF4-FFF2-40B4-BE49-F238E27FC236}">
              <a16:creationId xmlns:a16="http://schemas.microsoft.com/office/drawing/2014/main" id="{BEA08051-27A8-43DA-87BD-01BA8E2DF67A}"/>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0" name="TextBox 29">
          <a:extLst>
            <a:ext uri="{FF2B5EF4-FFF2-40B4-BE49-F238E27FC236}">
              <a16:creationId xmlns:a16="http://schemas.microsoft.com/office/drawing/2014/main" id="{DD6E8E5B-1294-44D0-A099-B71BC071935D}"/>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1" name="TextBox 30">
          <a:extLst>
            <a:ext uri="{FF2B5EF4-FFF2-40B4-BE49-F238E27FC236}">
              <a16:creationId xmlns:a16="http://schemas.microsoft.com/office/drawing/2014/main" id="{0379B710-03B3-446E-ACDA-EF932BE611E1}"/>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2" name="TextBox 31">
          <a:extLst>
            <a:ext uri="{FF2B5EF4-FFF2-40B4-BE49-F238E27FC236}">
              <a16:creationId xmlns:a16="http://schemas.microsoft.com/office/drawing/2014/main" id="{F587FCBC-99A6-4858-B354-E74810B8F0FE}"/>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3" name="TextBox 32">
          <a:extLst>
            <a:ext uri="{FF2B5EF4-FFF2-40B4-BE49-F238E27FC236}">
              <a16:creationId xmlns:a16="http://schemas.microsoft.com/office/drawing/2014/main" id="{469164B6-F7A0-4535-B665-F537155498F1}"/>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4" name="TextBox 33">
          <a:extLst>
            <a:ext uri="{FF2B5EF4-FFF2-40B4-BE49-F238E27FC236}">
              <a16:creationId xmlns:a16="http://schemas.microsoft.com/office/drawing/2014/main" id="{AB9B689C-4F85-4F41-80A3-953B1675A51D}"/>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5" name="TextBox 34">
          <a:extLst>
            <a:ext uri="{FF2B5EF4-FFF2-40B4-BE49-F238E27FC236}">
              <a16:creationId xmlns:a16="http://schemas.microsoft.com/office/drawing/2014/main" id="{5BCA3F49-4720-4F04-994C-7CCF61069B43}"/>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6" name="TextBox 35">
          <a:extLst>
            <a:ext uri="{FF2B5EF4-FFF2-40B4-BE49-F238E27FC236}">
              <a16:creationId xmlns:a16="http://schemas.microsoft.com/office/drawing/2014/main" id="{B68B234C-FBD8-4174-BC3C-A427F51AA53E}"/>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7" name="TextBox 36">
          <a:extLst>
            <a:ext uri="{FF2B5EF4-FFF2-40B4-BE49-F238E27FC236}">
              <a16:creationId xmlns:a16="http://schemas.microsoft.com/office/drawing/2014/main" id="{7728C224-4CA8-4B74-B918-098B142BE049}"/>
            </a:ext>
          </a:extLst>
        </xdr:cNvPr>
        <xdr:cNvSpPr txBox="1"/>
      </xdr:nvSpPr>
      <xdr:spPr>
        <a:xfrm>
          <a:off x="5873750" y="49403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53340</xdr:colOff>
      <xdr:row>13</xdr:row>
      <xdr:rowOff>0</xdr:rowOff>
    </xdr:from>
    <xdr:to>
      <xdr:col>0</xdr:col>
      <xdr:colOff>312420</xdr:colOff>
      <xdr:row>13</xdr:row>
      <xdr:rowOff>160020</xdr:rowOff>
    </xdr:to>
    <xdr:sp macro="" textlink="">
      <xdr:nvSpPr>
        <xdr:cNvPr id="2" name="5-Point Star 1">
          <a:extLst>
            <a:ext uri="{FF2B5EF4-FFF2-40B4-BE49-F238E27FC236}">
              <a16:creationId xmlns:a16="http://schemas.microsoft.com/office/drawing/2014/main" id="{00000000-0008-0000-0700-000002000000}"/>
            </a:ext>
          </a:extLst>
        </xdr:cNvPr>
        <xdr:cNvSpPr/>
      </xdr:nvSpPr>
      <xdr:spPr>
        <a:xfrm>
          <a:off x="53340" y="2887980"/>
          <a:ext cx="259080" cy="16002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60960</xdr:colOff>
      <xdr:row>17</xdr:row>
      <xdr:rowOff>91440</xdr:rowOff>
    </xdr:from>
    <xdr:to>
      <xdr:col>0</xdr:col>
      <xdr:colOff>289560</xdr:colOff>
      <xdr:row>17</xdr:row>
      <xdr:rowOff>259080</xdr:rowOff>
    </xdr:to>
    <xdr:sp macro="" textlink="">
      <xdr:nvSpPr>
        <xdr:cNvPr id="3" name="5-Point Star 2">
          <a:extLst>
            <a:ext uri="{FF2B5EF4-FFF2-40B4-BE49-F238E27FC236}">
              <a16:creationId xmlns:a16="http://schemas.microsoft.com/office/drawing/2014/main" id="{00000000-0008-0000-0700-000003000000}"/>
            </a:ext>
          </a:extLst>
        </xdr:cNvPr>
        <xdr:cNvSpPr/>
      </xdr:nvSpPr>
      <xdr:spPr>
        <a:xfrm>
          <a:off x="60960" y="3733800"/>
          <a:ext cx="228600" cy="16764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DMH%20-%20ACCS-CMR%20426\FY%202023\4.%20Post%20Hearing\BLS%20Benchmarks%20for%20FY21%20FOI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DMH%20-%20ACCS-CMR%20426\FY%202023\4.%20Post%20Hearing\FY23%20ACCS%20Rate%20Development-%20FY21%20Spending.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dministrative%20Services-POS%20Policy%20Office\Admin%20&amp;%20Staff\Kara\Workforce%20Initiatives\3.%20Benchmark%20Analysis%2010.18.1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Common\Administrative%20Services-POS%20Policy%20Office\Rate%20Setting\Rate%20Projects\Developmental%20and%20Support%20Services-%20CMR%20424\FY21\FY21%20Workbook%20101%20CMR%204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Common\Administrative%20Services-POS%20Policy%20Office\Rate%20Setting\Rate%20Projects\Placement%20and%20Support%20Services-CMR%20411\Rate%20Review%202020\1.%20Strategy%20Materials\DDS)%20Shared%20living%20Models.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DMH%20-%20CBFS%20aka%20ACCS-CMR%20426\FY%202018\5.%20Final%20Documents\ACCS%20Model%20Budgets_12.6.17%20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SHogan\AppData\Local\Microsoft\Windows\Temporary%20Internet%20Files\Content.Outlook\J6QCW6LU\Archive\Post%20PH%20DMH%20Model%20Budgets_12.6.17%20final%20with%20Fiscal%20Impact.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6_%20DMH%20-%20ACCS\FY%202023\New%20ACCS%20Model\1.%20Materials\ACCS%20Enhanced%20Medical%20Models%2010.14.22%20v2.xlsx" TargetMode="External"/><Relationship Id="rId1" Type="http://schemas.openxmlformats.org/officeDocument/2006/relationships/externalLinkPath" Target="file:///X:\Administrative%20Services-POS%20Policy%20Office\Rate%20Setting\Rate%20Projects\CMR%20426_%20DMH%20-%20ACCS\FY%202023\New%20ACCS%20Model\1.%20Materials\ACCS%20Enhanced%20Medical%20Models%2010.14.22%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CONTRACT\Reports\Fiscal\Encumbs_FY22_2022_08_23_R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DC  CNA  DC III"/>
      <sheetName val="Case Social Worker.Manager"/>
      <sheetName val="Clinical"/>
      <sheetName val="Nursing"/>
      <sheetName val="Management"/>
      <sheetName val="Therapies"/>
    </sheetNames>
    <sheetDataSet>
      <sheetData sheetId="0"/>
      <sheetData sheetId="1">
        <row r="7">
          <cell r="G7">
            <v>16.791999999999998</v>
          </cell>
        </row>
        <row r="11">
          <cell r="G11">
            <v>17.260000000000002</v>
          </cell>
        </row>
        <row r="20">
          <cell r="G20">
            <v>21.736000000000001</v>
          </cell>
        </row>
      </sheetData>
      <sheetData sheetId="2">
        <row r="4">
          <cell r="G4">
            <v>21.814999999999998</v>
          </cell>
        </row>
        <row r="10">
          <cell r="G10">
            <v>26.16</v>
          </cell>
        </row>
      </sheetData>
      <sheetData sheetId="3">
        <row r="5">
          <cell r="G5">
            <v>30.59</v>
          </cell>
        </row>
        <row r="9">
          <cell r="G9">
            <v>40.57</v>
          </cell>
        </row>
      </sheetData>
      <sheetData sheetId="4">
        <row r="2">
          <cell r="G2">
            <v>28.8</v>
          </cell>
        </row>
        <row r="6">
          <cell r="G6">
            <v>43.41</v>
          </cell>
        </row>
        <row r="11">
          <cell r="G11">
            <v>59.6</v>
          </cell>
        </row>
      </sheetData>
      <sheetData sheetId="5">
        <row r="2">
          <cell r="G2">
            <v>33.46153846153846</v>
          </cell>
          <cell r="H2">
            <v>69600</v>
          </cell>
        </row>
      </sheetData>
      <sheetData sheetId="6">
        <row r="2">
          <cell r="E2">
            <v>31.99</v>
          </cell>
        </row>
        <row r="8">
          <cell r="E8">
            <v>34.022499999999994</v>
          </cell>
        </row>
        <row r="14">
          <cell r="E14">
            <v>36.380000000000003</v>
          </cell>
        </row>
        <row r="18">
          <cell r="E18">
            <v>37.751999999999995</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21 Unit Rate Expend"/>
      <sheetName val="FY21 Expend Conting &amp; Occup"/>
    </sheetNames>
    <sheetDataSet>
      <sheetData sheetId="0">
        <row r="4">
          <cell r="C4">
            <v>2492382</v>
          </cell>
        </row>
        <row r="5">
          <cell r="C5">
            <v>181306</v>
          </cell>
        </row>
        <row r="6">
          <cell r="C6">
            <v>232579</v>
          </cell>
        </row>
        <row r="7">
          <cell r="C7">
            <v>388256</v>
          </cell>
        </row>
        <row r="8">
          <cell r="C8">
            <v>4380</v>
          </cell>
        </row>
        <row r="9">
          <cell r="C9">
            <v>9734</v>
          </cell>
        </row>
        <row r="10">
          <cell r="C10">
            <v>14843</v>
          </cell>
        </row>
        <row r="11">
          <cell r="C11">
            <v>4378</v>
          </cell>
        </row>
        <row r="12">
          <cell r="C12">
            <v>3588</v>
          </cell>
        </row>
        <row r="13">
          <cell r="C13">
            <v>5171</v>
          </cell>
        </row>
        <row r="14">
          <cell r="C14">
            <v>8974</v>
          </cell>
        </row>
        <row r="15">
          <cell r="C15">
            <v>3969</v>
          </cell>
        </row>
        <row r="16">
          <cell r="C16">
            <v>10975</v>
          </cell>
        </row>
        <row r="17">
          <cell r="C17">
            <v>19637</v>
          </cell>
        </row>
        <row r="18">
          <cell r="C18">
            <v>46481</v>
          </cell>
        </row>
        <row r="19">
          <cell r="C19">
            <v>40205</v>
          </cell>
        </row>
        <row r="20">
          <cell r="C20">
            <v>12360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DC I &amp; II"/>
      <sheetName val="DC II ks"/>
      <sheetName val="DC III "/>
      <sheetName val="CNA"/>
      <sheetName val="Caseworker BA"/>
      <sheetName val="Casemanager MA "/>
      <sheetName val="Clinician w indep Lic"/>
      <sheetName val="Clinical Manager"/>
      <sheetName val="LPN"/>
      <sheetName val="BS RN"/>
      <sheetName val="MS RN. APRN"/>
    </sheetNames>
    <sheetDataSet>
      <sheetData sheetId="0"/>
      <sheetData sheetId="1">
        <row r="12">
          <cell r="J12">
            <v>16.796506410256413</v>
          </cell>
        </row>
      </sheetData>
      <sheetData sheetId="2"/>
      <sheetData sheetId="3">
        <row r="11">
          <cell r="J11">
            <v>20.893115384615385</v>
          </cell>
        </row>
      </sheetData>
      <sheetData sheetId="4">
        <row r="13">
          <cell r="L13">
            <v>16.170000000000002</v>
          </cell>
        </row>
      </sheetData>
      <sheetData sheetId="5">
        <row r="9">
          <cell r="J9">
            <v>22.073999999999998</v>
          </cell>
          <cell r="L9">
            <v>21.14</v>
          </cell>
        </row>
      </sheetData>
      <sheetData sheetId="6">
        <row r="13">
          <cell r="J13">
            <v>26.866666666666664</v>
          </cell>
        </row>
      </sheetData>
      <sheetData sheetId="7">
        <row r="13">
          <cell r="O13">
            <v>30.101111111111109</v>
          </cell>
        </row>
      </sheetData>
      <sheetData sheetId="8">
        <row r="6">
          <cell r="I6">
            <v>42.94</v>
          </cell>
        </row>
      </sheetData>
      <sheetData sheetId="9">
        <row r="6">
          <cell r="H6">
            <v>28.36</v>
          </cell>
        </row>
      </sheetData>
      <sheetData sheetId="10">
        <row r="16">
          <cell r="K16">
            <v>44.3</v>
          </cell>
        </row>
      </sheetData>
      <sheetData sheetId="11">
        <row r="15">
          <cell r="K15">
            <v>59.01</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yHabSupRates 3285 v1"/>
      <sheetName val="Chart"/>
      <sheetName val="CorpRepPayee 3274 Models"/>
      <sheetName val="TAP 2222 Model"/>
      <sheetName val="Rate Chart"/>
      <sheetName val="Spring2017 CAF"/>
      <sheetName val="RatesForReg"/>
      <sheetName val="DayHabSupRates 3285 (V2)"/>
      <sheetName val="Fiscal Impact"/>
      <sheetName val="CAF 2019 Fall"/>
      <sheetName val="DayHab 3285 add ons"/>
      <sheetName val="Kara ALTR Add on Rates"/>
    </sheetNames>
    <sheetDataSet>
      <sheetData sheetId="0"/>
      <sheetData sheetId="1">
        <row r="4">
          <cell r="C4">
            <v>32198.400000000001</v>
          </cell>
        </row>
        <row r="18">
          <cell r="C18">
            <v>57449.599999999999</v>
          </cell>
        </row>
        <row r="20">
          <cell r="C20">
            <v>86860.800000000003</v>
          </cell>
        </row>
      </sheetData>
      <sheetData sheetId="2"/>
      <sheetData sheetId="3"/>
      <sheetData sheetId="4"/>
      <sheetData sheetId="5"/>
      <sheetData sheetId="6"/>
      <sheetData sheetId="7"/>
      <sheetData sheetId="8"/>
      <sheetData sheetId="9">
        <row r="25">
          <cell r="BZ25">
            <v>1.7780248869661817E-2</v>
          </cell>
        </row>
      </sheetData>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PSS Shared Living "/>
      <sheetName val=" Add on Rates"/>
      <sheetName val="Add on Rates"/>
      <sheetName val="Add On Rates old"/>
      <sheetName val="Stipend Rates"/>
      <sheetName val="CAF Fall 2019"/>
      <sheetName val="Fiscal Impact"/>
    </sheetNames>
    <sheetDataSet>
      <sheetData sheetId="0">
        <row r="14">
          <cell r="C14">
            <v>60923.199999999997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grated Team"/>
      <sheetName val="shouldve been PH"/>
      <sheetName val="GLE"/>
      <sheetName val="Med_Int_Spec"/>
      <sheetName val="Int_Beh"/>
      <sheetName val="Int_Fire_Safety"/>
      <sheetName val="Clin_Int"/>
      <sheetName val="Int_DBT"/>
      <sheetName val="FY15 Salary Benchmark"/>
      <sheetName val="FY15 UFR Summary"/>
      <sheetName val="FTE Benchmark Tables"/>
      <sheetName val="FY19_20 CAF"/>
      <sheetName val="Occ. Cost Index"/>
      <sheetName val="Occ. Modifiers"/>
    </sheetNames>
    <sheetDataSet>
      <sheetData sheetId="0">
        <row r="15">
          <cell r="F15">
            <v>85899</v>
          </cell>
        </row>
        <row r="23">
          <cell r="E23">
            <v>28974.49</v>
          </cell>
          <cell r="H23" t="str">
            <v>Benchmark 101 CMR 420</v>
          </cell>
        </row>
        <row r="32">
          <cell r="E32">
            <v>0.21493933013040212</v>
          </cell>
        </row>
        <row r="45">
          <cell r="E45">
            <v>0.12</v>
          </cell>
        </row>
        <row r="46">
          <cell r="E46">
            <v>7.6809383045675458E-2</v>
          </cell>
        </row>
      </sheetData>
      <sheetData sheetId="1"/>
      <sheetData sheetId="2"/>
      <sheetData sheetId="3"/>
      <sheetData sheetId="4"/>
      <sheetData sheetId="5"/>
      <sheetData sheetId="6"/>
      <sheetData sheetId="7"/>
      <sheetData sheetId="8">
        <row r="4">
          <cell r="C4">
            <v>75010.821691296602</v>
          </cell>
        </row>
      </sheetData>
      <sheetData sheetId="9"/>
      <sheetData sheetId="10"/>
      <sheetData sheetId="11"/>
      <sheetData sheetId="12"/>
      <sheetData sheetId="1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7 Pre PH FI"/>
      <sheetName val="2017 Post PH FI"/>
      <sheetName val="Brooke"/>
      <sheetName val="Sheet1"/>
      <sheetName val="Integrated Team"/>
      <sheetName val="GLE"/>
      <sheetName val="Med_Int_Spec"/>
      <sheetName val="Int_Beh"/>
      <sheetName val="Int_Fire_Safety"/>
      <sheetName val="Clin_Int"/>
      <sheetName val="Int_DBT"/>
      <sheetName val="FY15 Salary Benchmark"/>
      <sheetName val="FY15 UFR Summary"/>
      <sheetName val="FTE Benchmark Tables"/>
      <sheetName val="FY19_20 CAF"/>
      <sheetName val="Occ. Cost Index"/>
      <sheetName val="Occ. Modifiers"/>
    </sheetNames>
    <sheetDataSet>
      <sheetData sheetId="0"/>
      <sheetData sheetId="1"/>
      <sheetData sheetId="2"/>
      <sheetData sheetId="3"/>
      <sheetData sheetId="4">
        <row r="32">
          <cell r="E32">
            <v>0.21493933013040212</v>
          </cell>
        </row>
      </sheetData>
      <sheetData sheetId="5">
        <row r="79">
          <cell r="G79" t="str">
            <v>Benchmark 101 CMR 420: allocation for van, 1 van / 2 GLEs</v>
          </cell>
        </row>
      </sheetData>
      <sheetData sheetId="6">
        <row r="18">
          <cell r="B18" t="str">
            <v xml:space="preserve">  Certified Nursing Assistant (CNA)</v>
          </cell>
          <cell r="G18" t="str">
            <v>Benchmark 101 CMR 420</v>
          </cell>
        </row>
      </sheetData>
      <sheetData sheetId="7">
        <row r="26">
          <cell r="B26" t="str">
            <v xml:space="preserve">  Psychologist</v>
          </cell>
        </row>
      </sheetData>
      <sheetData sheetId="8">
        <row r="30">
          <cell r="B30" t="str">
            <v>Staff Training</v>
          </cell>
        </row>
      </sheetData>
      <sheetData sheetId="9"/>
      <sheetData sheetId="10">
        <row r="13">
          <cell r="G13" t="str">
            <v>FY15 UFR, Weighted Average, Program Function Manager</v>
          </cell>
        </row>
        <row r="14">
          <cell r="G14" t="str">
            <v>FY15 UFR, Weighted Average, Assistant Director (LICSW Level) / Previous Proposed Benchmark</v>
          </cell>
        </row>
        <row r="16">
          <cell r="G16" t="str">
            <v>FY15 UFR, Weighted Average, average RN Non-Masters, Psychologist, Clinician, LICSW, LCSW, Licensed Counselor</v>
          </cell>
        </row>
        <row r="19">
          <cell r="G19" t="str">
            <v>FY15 UFR, Weighted Average, average of DC I + II + III</v>
          </cell>
        </row>
      </sheetData>
      <sheetData sheetId="11"/>
      <sheetData sheetId="12"/>
      <sheetData sheetId="13"/>
      <sheetData sheetId="14"/>
      <sheetData sheetId="15"/>
      <sheetData sheetId="1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1 BLS  SALARY CHART"/>
      <sheetName val=" Enhanced Medical Model"/>
      <sheetName val=" Enhanced Medical Model (FOIA)"/>
      <sheetName val="Fiscal Impact"/>
      <sheetName val="CAF"/>
    </sheetNames>
    <sheetDataSet>
      <sheetData sheetId="0">
        <row r="22">
          <cell r="C22">
            <v>72000</v>
          </cell>
        </row>
        <row r="37">
          <cell r="C37">
            <v>0.2422</v>
          </cell>
        </row>
        <row r="39">
          <cell r="C39">
            <v>0.12</v>
          </cell>
        </row>
        <row r="42">
          <cell r="H42">
            <v>98.801442307692312</v>
          </cell>
        </row>
        <row r="43">
          <cell r="H43">
            <v>39.756</v>
          </cell>
        </row>
        <row r="44">
          <cell r="H44">
            <v>196.547741</v>
          </cell>
        </row>
        <row r="45">
          <cell r="H45">
            <v>2.066662</v>
          </cell>
        </row>
        <row r="46">
          <cell r="H46">
            <v>709.73470099999997</v>
          </cell>
        </row>
        <row r="47">
          <cell r="H47">
            <v>8.5224229999999999</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ncumb Summary"/>
      <sheetName val="Encumb Detail"/>
      <sheetName val="By Provider"/>
      <sheetName val="By Activity"/>
      <sheetName val="Count by Region"/>
      <sheetName val="View Reference"/>
      <sheetName val="Tech Stuff"/>
    </sheetNames>
    <sheetDataSet>
      <sheetData sheetId="0"/>
      <sheetData sheetId="1"/>
      <sheetData sheetId="2"/>
      <sheetData sheetId="3"/>
      <sheetData sheetId="4"/>
      <sheetData sheetId="5"/>
      <sheetData sheetId="6"/>
      <sheetData sheetId="7">
        <row r="5">
          <cell r="E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person displayName="Lenane, Marie (EHS)" id="{33BAF3F1-5B00-4D02-ABB2-0891ECFFE095}" userId="S::Marie.A.Lenane@mass.gov::15b1abfb-c41d-45d3-9770-bf469b6b0de0"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martin05\Documents\Contract%20Utilization%20Report%20ACCS%20FY21.xls"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Darin (DMH)" refreshedDate="44533.4768974537" createdVersion="1" refreshedVersion="4" recordCount="227" xr:uid="{00000000-000A-0000-FFFF-FFFF00000000}">
  <cacheSource type="worksheet">
    <worksheetSource ref="A1:S65536" sheet="FY21 EIM Rpt Revised" r:id="rId2"/>
  </cacheSource>
  <cacheFields count="19">
    <cacheField name="Area" numFmtId="0">
      <sharedItems containsString="0" containsBlank="1" containsNumber="1" containsInteger="1" minValue="1" maxValue="6" count="6">
        <n v="1"/>
        <n v="2"/>
        <n v="3"/>
        <n v="5"/>
        <n v="6"/>
        <m/>
      </sharedItems>
    </cacheField>
    <cacheField name="Provider Name" numFmtId="0">
      <sharedItems containsBlank="1" count="18">
        <s v="Brien Center - MHSAS"/>
        <s v="ServiceNet Inc"/>
        <s v="Center for Human Development"/>
        <s v="Behavioral Health Network"/>
        <s v="Bridge of Central Mass Inc"/>
        <s v="Riverside Community Care"/>
        <s v="Community Healthlink Inc"/>
        <s v="Advocates Inc"/>
        <s v="Vinfen Corp"/>
        <s v="Eliot Community Human Services Inc"/>
        <s v="The Edinburg Center Inc"/>
        <s v="Fellowship Health Resources"/>
        <s v="Comm Couns of Bristol County"/>
        <s v="Brockton Area Multi-Services Inc"/>
        <s v="South Shore Mental Health Center"/>
        <s v="Bay Cove Human Services"/>
        <s v="North Suffolk Mental Health Assoc Inc"/>
        <m/>
      </sharedItems>
    </cacheField>
    <cacheField name="Contract Number" numFmtId="0">
      <sharedItems containsBlank="1" count="67">
        <s v="SCDMH13100191377WM1A"/>
        <s v="SCDMH13100191378WM1B"/>
        <s v="SCDMH13200191379WM2A"/>
        <s v="SCDMH13200191380WM2B"/>
        <s v="SCDMH13300191381WM3A"/>
        <s v="SCDMH13300191382WM3B"/>
        <s v="SCDMH13400191386WM4A"/>
        <s v="SCDMH13400191387WM4B"/>
        <s v="SCDMH13500191388WM6A"/>
        <s v="SCDMH13500191389WM6B"/>
        <s v="SCDMH13600191390WM5A"/>
        <s v="SCDMH13600191391WM5B"/>
        <s v="SCDMH23100192505CM3A"/>
        <s v="SCDMH23100192506CM3B"/>
        <s v="SCDMH23200192509CM5A"/>
        <s v="SCDMH23200192510CM5B"/>
        <s v="SCDMH23200192507CM4A"/>
        <s v="SCDMH23200192508CM4B"/>
        <s v="SCDMH23300192511CM7A"/>
        <s v="SCDMH23300192512CM7B"/>
        <s v="SCDMH23300192513CM8A"/>
        <s v="SCDMH23300192514CM8B"/>
        <s v="SCDMH23400192515CM6A"/>
        <s v="SCDMH23400192516CM6B"/>
        <s v="SCDMH23500192517CM1A"/>
        <s v="SCDMH23500192518CM1B"/>
        <s v="SCDMH23500192522CM2A"/>
        <s v="SCDMH23500192523CM2B"/>
        <s v="SCDMH33100193801NE3A"/>
        <s v="SCDMH33100193802NE3B"/>
        <s v="SCDMH33200193803NE2A"/>
        <s v="SCDMH33200193804NE2B"/>
        <s v="SCDMH33400193805NE6A"/>
        <s v="SCDMH33400193806NE6B"/>
        <s v="SCDMH33500193807NE4A"/>
        <s v="SCDMH33500193808NE4B"/>
        <s v="SCDMH33600193809NE5A"/>
        <s v="SCDMH33600193810NE5B"/>
        <s v="SCDMH33700193813NE8A"/>
        <s v="SCDMH33700193814NE8B"/>
        <s v="SCDMH33700193811NE7A"/>
        <s v="SCDMH33700193812NE7B"/>
        <s v="SCDMH53100195572SE7A"/>
        <s v="SCDMH53100195573SE7B"/>
        <s v="SCDMH53200195568SE5A"/>
        <s v="SCDMH53200195569SE5B"/>
        <s v="SCDMH53300195570SE6A"/>
        <s v="SCDMH53300195571SE6B"/>
        <s v="SCDMH53400195559SE3A"/>
        <s v="SCDMH53400195560SE3B"/>
        <s v="SCDMH53500195574SE8A"/>
        <s v="SCDMH53500195575SE8B"/>
        <s v="SCDMH53600195561SE4A"/>
        <s v="SCDMH53600195562SE4B"/>
        <s v="SCDMH53800195555SE1A"/>
        <s v="SCDMH53800195556SE1B"/>
        <s v="SCDMH53800195557SE2A"/>
        <s v="SCDMH53800195558SE2B"/>
        <s v="SCDMH63100196436MB2A"/>
        <s v="SCDMH63100196437MB2B"/>
        <s v="SCDMH63200196434MB1A"/>
        <s v="SCDMH63200196435MB1B"/>
        <s v="SCDMH63200196448MB4A"/>
        <s v="SCDMH63200196449MB4B"/>
        <s v="SCDMH63300196446MB3A"/>
        <s v="SCDMH63300196447MB3B"/>
        <m/>
      </sharedItems>
    </cacheField>
    <cacheField name="Agency" numFmtId="0">
      <sharedItems containsBlank="1"/>
    </cacheField>
    <cacheField name="Activity Code" numFmtId="0">
      <sharedItems containsBlank="1" count="20">
        <s v="3055199"/>
        <s v="305526"/>
        <s v="305529"/>
        <s v="3055"/>
        <s v="305556"/>
        <s v="305566"/>
        <s v="3055716"/>
        <s v="3055212"/>
        <s v="305539"/>
        <s v="305559"/>
        <s v="305569"/>
        <s v="3055725"/>
        <s v="305536"/>
        <s v="3055512"/>
        <s v="3055612"/>
        <s v="305546"/>
        <s v="3055735"/>
        <s v="3055312"/>
        <s v="3055412"/>
        <m/>
      </sharedItems>
    </cacheField>
    <cacheField name="Contract Type" numFmtId="0">
      <sharedItems containsBlank="1" count="4">
        <s v="UNIT"/>
        <s v="MIXED COST"/>
        <s v="MIXED UNIT"/>
        <m/>
      </sharedItems>
    </cacheField>
    <cacheField name="Contract From Date" numFmtId="0">
      <sharedItems containsBlank="1"/>
    </cacheField>
    <cacheField name="Contract To Date" numFmtId="0">
      <sharedItems containsBlank="1"/>
    </cacheField>
    <cacheField name="Maximum $ Obligation" numFmtId="0">
      <sharedItems containsString="0" containsBlank="1" containsNumber="1" minValue="34000" maxValue="31962605.600000001"/>
    </cacheField>
    <cacheField name="Activity Name" numFmtId="0">
      <sharedItems containsBlank="1" count="20">
        <s v="3055199 - ACCS INTEGRATED TEAM"/>
        <s v="305526 - ACCS GLE 4-6 BED"/>
        <s v="305529 - ACCS GLE 7-9 BED"/>
        <s v="3055 - ADULT COMMUNITY CLINICAL SERVICES (ACCS)"/>
        <s v="305556 - ACCS INTENSIVE GL IC 4-6 BED"/>
        <s v="305566 - ACCS INTENSIVE GL IM 4-6 BED"/>
        <s v="3055716 - ACCS SIE 13-16 BED"/>
        <s v="3055212 - ACCS GLE 10-12 BED"/>
        <s v="305539 - ACCS INTENSIVE GL IB 7-9 BED"/>
        <s v="305559 - ACCS INTENSIVE GL IC 7-9 BED"/>
        <s v="305569 - ACCS INTENSIVE GL IM 7-9 BED"/>
        <s v="3055725 - ACCS SIE 17-25 BED"/>
        <s v="305536 - ACCS INTENSIVE GL IB 4-6 BED"/>
        <s v="3055512 - ACCS INTENSIVE GL IC 10-12 BED"/>
        <s v="3055612 - ACCS INTENSIVE GL IM 10-12 BED"/>
        <s v="305546 - ACCS INTENSIVE GL IBA 4-6 BED"/>
        <s v="3055735 - ACCS SIE 26-35 BED"/>
        <s v="3055312 - ACCS INTENSIVE GL IB 10-12 BED"/>
        <s v="3055412 - ACCS INTENSIVE GL IBA 10 -12 BED"/>
        <m/>
      </sharedItems>
    </cacheField>
    <cacheField name="Service Start Date" numFmtId="0">
      <sharedItems containsBlank="1"/>
    </cacheField>
    <cacheField name="Service End Date" numFmtId="0">
      <sharedItems containsBlank="1"/>
    </cacheField>
    <cacheField name="Service Code" numFmtId="0">
      <sharedItems containsBlank="1" count="19">
        <s v="IT"/>
        <s v="GLE6"/>
        <s v="GLE9"/>
        <s v=""/>
        <s v="IC6"/>
        <s v="IM6"/>
        <s v="SIE16"/>
        <s v="GLE12"/>
        <s v="IB9"/>
        <s v="IC9"/>
        <s v="IM9"/>
        <s v="SIE25"/>
        <s v="IB6"/>
        <s v="IC12"/>
        <s v="IM12"/>
        <s v="SIE35"/>
        <s v="IB12"/>
        <s v="IBA12"/>
        <m/>
      </sharedItems>
    </cacheField>
    <cacheField name="Rate $ Amount" numFmtId="0">
      <sharedItems containsBlank="1" containsMixedTypes="1" containsNumber="1" minValue="41.22" maxValue="458.31" count="19">
        <n v="41.22"/>
        <n v="274.5"/>
        <n v="202.57"/>
        <m/>
        <n v="458.31"/>
        <n v="395.67"/>
        <n v="90.33"/>
        <s v=""/>
        <n v="169.88"/>
        <n v="306.31"/>
        <n v="402.33"/>
        <n v="328.23"/>
        <n v="77.25"/>
        <n v="403.62"/>
        <n v="364.62"/>
        <n v="295.94"/>
        <n v="64.17"/>
        <n v="264.08"/>
        <n v="229.15"/>
      </sharedItems>
    </cacheField>
    <cacheField name="Total Billed Units" numFmtId="0">
      <sharedItems containsBlank="1" containsMixedTypes="1" containsNumber="1" containsInteger="1" minValue="1351" maxValue="171743"/>
    </cacheField>
    <cacheField name="Total Billed $ Amount" numFmtId="0">
      <sharedItems containsBlank="1" containsMixedTypes="1" containsNumber="1" minValue="32468.06" maxValue="10352487.199999999"/>
    </cacheField>
    <cacheField name="Total Paid Units" numFmtId="0">
      <sharedItems containsBlank="1" containsMixedTypes="1" containsNumber="1" containsInteger="1" minValue="1351" maxValue="171743"/>
    </cacheField>
    <cacheField name="Total Paid $ Amount" numFmtId="0">
      <sharedItems containsBlank="1" containsMixedTypes="1" containsNumber="1" minValue="32468.06" maxValue="10347390.800000001" count="217">
        <n v="3744919.44"/>
        <n v="1577277"/>
        <n v="2346570.88"/>
        <n v="73505"/>
        <n v="179167"/>
        <n v="2455186.86"/>
        <n v="3068635.5"/>
        <n v="619176.81000000006"/>
        <n v="64358.93"/>
        <n v="452412"/>
        <n v="3264953.76"/>
        <n v="3979426.5"/>
        <n v="590694.12"/>
        <n v="722493.42"/>
        <n v="917391.48"/>
        <n v="68170.92"/>
        <n v="328457.8"/>
        <s v=""/>
        <n v="5360578.5599999996"/>
        <n v="5147424"/>
        <n v="1430549.34"/>
        <n v="743837.13"/>
        <n v="99762.74"/>
        <n v="435137"/>
        <n v="2756092.86"/>
        <n v="618193.31999999995"/>
        <n v="2296192.5"/>
        <n v="50324.68"/>
        <n v="175090.4"/>
        <n v="2359968.66"/>
        <n v="2793037.5"/>
        <n v="44088.61"/>
        <n v="314648.8"/>
        <n v="3889107"/>
        <n v="2329132.5"/>
        <n v="4255387.99"/>
        <n v="574383.80000000005"/>
        <n v="193668.57"/>
        <n v="1397811.42"/>
        <n v="500962.5"/>
        <n v="667468.15"/>
        <n v="891362.1"/>
        <n v="81756.91"/>
        <n v="141982.20000000001"/>
        <n v="2379754.2599999998"/>
        <n v="681728.44"/>
        <n v="593194.5"/>
        <n v="2339683.5"/>
        <n v="78347.850000000006"/>
        <n v="380243.4"/>
        <n v="2635977.7799999998"/>
        <n v="1683234"/>
        <n v="4754925.6100000003"/>
        <n v="892281.03"/>
        <n v="491846.85"/>
        <n v="560528"/>
        <n v="185185"/>
        <n v="1580127.48"/>
        <n v="620062"/>
        <n v="1200663"/>
        <n v="1182806.23"/>
        <n v="1138996.23"/>
        <n v="958431.6"/>
        <n v="494647.08"/>
        <n v="275642.84000000003"/>
        <n v="411771.6"/>
        <n v="2886677.82"/>
        <n v="614795.72"/>
        <n v="4066443"/>
        <n v="4676125.88"/>
        <n v="938160.57"/>
        <n v="575280.75"/>
        <n v="254356.91"/>
        <n v="920273.4"/>
        <n v="948389.76"/>
        <n v="1752408"/>
        <n v="1176729.1299999999"/>
        <n v="202037.4"/>
        <n v="124854.5"/>
        <n v="2073984.3"/>
        <n v="2291800.5"/>
        <n v="1099752.53"/>
        <n v="398080.15"/>
        <n v="223570.8"/>
        <n v="5160620.34"/>
        <n v="1591276.5"/>
        <n v="2351229.9900000002"/>
        <n v="833889.91"/>
        <n v="118102.13"/>
        <n v="388717.4"/>
        <n v="6394417.3799999999"/>
        <n v="605792.07999999996"/>
        <n v="2093611.5"/>
        <n v="1770866.94"/>
        <n v="624367.26"/>
        <n v="1866315.78"/>
        <n v="619957.80000000005"/>
        <n v="244462.33"/>
        <n v="4986424.62"/>
        <n v="519832.8"/>
        <n v="3394465.49"/>
        <n v="554573.88"/>
        <n v="894425.2"/>
        <n v="1308256.56"/>
        <n v="1174585.8600000001"/>
        <m/>
        <n v="463113.75"/>
        <n v="894699.8"/>
        <n v="549079.98"/>
        <n v="4103739.54"/>
        <n v="739317.76000000001"/>
        <n v="968161.5"/>
        <n v="1808544.96"/>
        <n v="479381.31"/>
        <n v="399084"/>
        <n v="511459.02"/>
        <n v="4788747.82"/>
        <n v="1909111.44"/>
        <n v="3992877"/>
        <n v="591504.4"/>
        <n v="361771.65"/>
        <n v="353121.41"/>
        <n v="794594.2"/>
        <n v="2374230.7799999998"/>
        <n v="1188820.24"/>
        <n v="1451830.5"/>
        <n v="528707.69999999995"/>
        <n v="590735.31000000006"/>
        <n v="943661.25"/>
        <n v="266190.44"/>
        <n v="529564.19999999995"/>
        <n v="2678434.38"/>
        <n v="2294271"/>
        <n v="1774715.77"/>
        <n v="179274"/>
        <n v="331336"/>
        <n v="1982888.1"/>
        <n v="1491036.76"/>
        <n v="2719299.68"/>
        <n v="105216"/>
        <n v="280220.79999999999"/>
        <n v="2573570.7000000002"/>
        <n v="1314031.5"/>
        <n v="3609392.26"/>
        <n v="736606.5"/>
        <n v="762478.29"/>
        <n v="128376.01"/>
        <n v="526647.19999999995"/>
        <n v="1200285.18"/>
        <n v="1202310"/>
        <n v="1147443"/>
        <n v="136697.20000000001"/>
        <n v="70133"/>
        <n v="874358.64"/>
        <n v="3487647.69"/>
        <n v="946943.55"/>
        <n v="32468.06"/>
        <n v="167416"/>
        <n v="1503664.38"/>
        <n v="734561.12"/>
        <n v="2677198.5"/>
        <n v="3524920.57"/>
        <n v="589688.81999999995"/>
        <n v="561607.5"/>
        <n v="751943.4"/>
        <n v="53681.59"/>
        <n v="866279.52"/>
        <n v="1702998"/>
        <n v="1754458.77"/>
        <n v="1180588.5"/>
        <n v="692026.83"/>
        <n v="80267.94"/>
        <n v="257324.6"/>
        <n v="2038164.12"/>
        <n v="1363287"/>
        <n v="1998360"/>
        <n v="1106842.48"/>
        <n v="388980.4"/>
        <n v="117452.63"/>
        <n v="1319452.2"/>
        <n v="1803465"/>
        <n v="2360345.64"/>
        <n v="145685.51999999999"/>
        <n v="598274"/>
        <n v="5869027.2599999998"/>
        <n v="10347390.800000001"/>
        <n v="1587159"/>
        <n v="9474401.4700000007"/>
        <n v="1859301.7"/>
        <n v="527527.19999999995"/>
        <n v="1504656.97"/>
        <n v="793141.2"/>
        <n v="194719"/>
        <n v="3225918"/>
        <n v="4889640.0599999996"/>
        <n v="2108210.7999999998"/>
        <n v="2605005"/>
        <n v="3031460.05"/>
        <n v="1156670.3999999999"/>
        <n v="1003218.7"/>
        <n v="2471513.19"/>
        <n v="553542.32999999996"/>
        <n v="783604.8"/>
        <n v="316590"/>
        <n v="3810047.04"/>
        <n v="1854070.32"/>
        <n v="1773819"/>
        <n v="5584854.9000000004"/>
        <n v="198333"/>
        <n v="503603.6"/>
        <n v="7079246.46"/>
        <n v="4148809.36"/>
        <n v="993415.5"/>
        <n v="5083089.01"/>
        <n v="926063.16"/>
        <n v="728169.8"/>
        <n v="114612"/>
      </sharedItems>
    </cacheField>
    <cacheField name="Unreconciled $ Amount by Activity" numFmtId="0">
      <sharedItems containsBlank="1" containsMixedTypes="1" containsNumber="1" containsInteger="1" minValue="10200" maxValue="1032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7">
  <r>
    <x v="0"/>
    <x v="0"/>
    <x v="0"/>
    <s v="DMH"/>
    <x v="0"/>
    <x v="0"/>
    <s v="07/01/2020"/>
    <s v="06/30/2021"/>
    <n v="7789233.2599999998"/>
    <x v="0"/>
    <s v="07/01/2020"/>
    <s v="06/30/2021"/>
    <x v="0"/>
    <x v="0"/>
    <n v="90852"/>
    <n v="3744919.44"/>
    <n v="90852"/>
    <x v="0"/>
    <s v=""/>
  </r>
  <r>
    <x v="0"/>
    <x v="0"/>
    <x v="0"/>
    <s v="DMH"/>
    <x v="1"/>
    <x v="0"/>
    <s v="07/01/2020"/>
    <s v="06/30/2021"/>
    <n v="7789233.2599999998"/>
    <x v="1"/>
    <s v="07/01/2020"/>
    <s v="06/30/2021"/>
    <x v="1"/>
    <x v="1"/>
    <n v="5746"/>
    <n v="1577277"/>
    <n v="5746"/>
    <x v="1"/>
    <s v=""/>
  </r>
  <r>
    <x v="0"/>
    <x v="0"/>
    <x v="0"/>
    <s v="DMH"/>
    <x v="2"/>
    <x v="0"/>
    <s v="07/01/2020"/>
    <s v="06/30/2021"/>
    <n v="7789233.2599999998"/>
    <x v="2"/>
    <s v="07/01/2020"/>
    <s v="06/30/2021"/>
    <x v="2"/>
    <x v="2"/>
    <n v="11584"/>
    <n v="2346570.88"/>
    <n v="11584"/>
    <x v="2"/>
    <s v=""/>
  </r>
  <r>
    <x v="0"/>
    <x v="0"/>
    <x v="1"/>
    <s v="DMH"/>
    <x v="3"/>
    <x v="1"/>
    <s v="07/01/2020"/>
    <s v="06/30/2021"/>
    <n v="73505"/>
    <x v="3"/>
    <s v="07/01/2020"/>
    <s v="06/30/2021"/>
    <x v="3"/>
    <x v="3"/>
    <m/>
    <n v="73505"/>
    <m/>
    <x v="3"/>
    <s v=""/>
  </r>
  <r>
    <x v="0"/>
    <x v="0"/>
    <x v="1"/>
    <s v="DMH"/>
    <x v="3"/>
    <x v="2"/>
    <s v="07/01/2020"/>
    <s v="06/30/2021"/>
    <n v="182704.8"/>
    <x v="3"/>
    <s v="07/01/2020"/>
    <s v="06/30/2021"/>
    <x v="3"/>
    <x v="3"/>
    <m/>
    <n v="179167"/>
    <m/>
    <x v="4"/>
    <s v=""/>
  </r>
  <r>
    <x v="0"/>
    <x v="1"/>
    <x v="2"/>
    <s v="DMH"/>
    <x v="0"/>
    <x v="0"/>
    <s v="07/01/2020"/>
    <s v="06/30/2021"/>
    <n v="6226727.5899999999"/>
    <x v="0"/>
    <s v="07/01/2020"/>
    <s v="06/30/2021"/>
    <x v="0"/>
    <x v="0"/>
    <n v="59563"/>
    <n v="2455186.86"/>
    <n v="59563"/>
    <x v="5"/>
    <s v=""/>
  </r>
  <r>
    <x v="0"/>
    <x v="1"/>
    <x v="2"/>
    <s v="DMH"/>
    <x v="1"/>
    <x v="0"/>
    <s v="07/01/2020"/>
    <s v="06/30/2021"/>
    <n v="6226727.5899999999"/>
    <x v="1"/>
    <s v="07/01/2020"/>
    <s v="06/30/2021"/>
    <x v="1"/>
    <x v="1"/>
    <n v="11179"/>
    <n v="3068635.5"/>
    <n v="11179"/>
    <x v="6"/>
    <s v=""/>
  </r>
  <r>
    <x v="0"/>
    <x v="1"/>
    <x v="2"/>
    <s v="DMH"/>
    <x v="4"/>
    <x v="0"/>
    <s v="07/01/2020"/>
    <s v="06/30/2021"/>
    <n v="6226727.5899999999"/>
    <x v="4"/>
    <s v="07/01/2020"/>
    <s v="06/30/2021"/>
    <x v="4"/>
    <x v="4"/>
    <n v="1351"/>
    <n v="619176.81000000006"/>
    <n v="1351"/>
    <x v="7"/>
    <s v=""/>
  </r>
  <r>
    <x v="0"/>
    <x v="1"/>
    <x v="3"/>
    <s v="DMH"/>
    <x v="3"/>
    <x v="1"/>
    <s v="07/01/2020"/>
    <s v="06/30/2021"/>
    <n v="69225"/>
    <x v="3"/>
    <s v="07/01/2020"/>
    <s v="06/30/2021"/>
    <x v="3"/>
    <x v="3"/>
    <m/>
    <n v="64358.93"/>
    <m/>
    <x v="8"/>
    <s v=""/>
  </r>
  <r>
    <x v="0"/>
    <x v="1"/>
    <x v="3"/>
    <s v="DMH"/>
    <x v="3"/>
    <x v="2"/>
    <s v="07/01/2020"/>
    <s v="06/30/2021"/>
    <n v="477203.20000000001"/>
    <x v="3"/>
    <s v="07/01/2020"/>
    <s v="06/30/2021"/>
    <x v="3"/>
    <x v="3"/>
    <m/>
    <n v="452412"/>
    <m/>
    <x v="9"/>
    <s v=""/>
  </r>
  <r>
    <x v="0"/>
    <x v="2"/>
    <x v="4"/>
    <s v="DMH"/>
    <x v="0"/>
    <x v="0"/>
    <s v="07/01/2020"/>
    <s v="06/30/2021"/>
    <n v="9539395.4499999993"/>
    <x v="0"/>
    <s v="07/01/2020"/>
    <s v="06/30/2021"/>
    <x v="0"/>
    <x v="0"/>
    <n v="79208"/>
    <n v="3264953.76"/>
    <n v="79208"/>
    <x v="10"/>
    <s v=""/>
  </r>
  <r>
    <x v="0"/>
    <x v="2"/>
    <x v="4"/>
    <s v="DMH"/>
    <x v="1"/>
    <x v="0"/>
    <s v="07/01/2020"/>
    <s v="06/30/2021"/>
    <n v="9539395.4499999993"/>
    <x v="1"/>
    <s v="07/01/2020"/>
    <s v="06/30/2021"/>
    <x v="1"/>
    <x v="1"/>
    <n v="14528"/>
    <n v="3987936"/>
    <n v="14497"/>
    <x v="11"/>
    <s v=""/>
  </r>
  <r>
    <x v="0"/>
    <x v="2"/>
    <x v="4"/>
    <s v="DMH"/>
    <x v="2"/>
    <x v="0"/>
    <s v="07/01/2020"/>
    <s v="06/30/2021"/>
    <n v="9539395.4499999993"/>
    <x v="2"/>
    <s v="07/01/2020"/>
    <s v="06/30/2021"/>
    <x v="2"/>
    <x v="2"/>
    <n v="2916"/>
    <n v="590694.12"/>
    <n v="2916"/>
    <x v="12"/>
    <s v=""/>
  </r>
  <r>
    <x v="0"/>
    <x v="2"/>
    <x v="4"/>
    <s v="DMH"/>
    <x v="5"/>
    <x v="0"/>
    <s v="07/01/2020"/>
    <s v="06/30/2021"/>
    <n v="9539395.4499999993"/>
    <x v="5"/>
    <s v="07/01/2020"/>
    <s v="06/30/2021"/>
    <x v="5"/>
    <x v="5"/>
    <n v="1826"/>
    <n v="722493.42"/>
    <n v="1826"/>
    <x v="13"/>
    <s v=""/>
  </r>
  <r>
    <x v="0"/>
    <x v="2"/>
    <x v="4"/>
    <s v="DMH"/>
    <x v="6"/>
    <x v="0"/>
    <s v="07/01/2020"/>
    <s v="06/30/2021"/>
    <n v="9539395.4499999993"/>
    <x v="6"/>
    <s v="07/01/2020"/>
    <s v="06/30/2021"/>
    <x v="6"/>
    <x v="6"/>
    <n v="10156"/>
    <n v="917391.48"/>
    <n v="10156"/>
    <x v="14"/>
    <s v=""/>
  </r>
  <r>
    <x v="0"/>
    <x v="2"/>
    <x v="5"/>
    <s v="DMH"/>
    <x v="3"/>
    <x v="1"/>
    <s v="07/01/2020"/>
    <s v="06/30/2021"/>
    <n v="74228"/>
    <x v="3"/>
    <s v="07/01/2020"/>
    <s v="06/30/2021"/>
    <x v="3"/>
    <x v="3"/>
    <m/>
    <n v="68170.92"/>
    <m/>
    <x v="15"/>
    <s v=""/>
  </r>
  <r>
    <x v="0"/>
    <x v="2"/>
    <x v="5"/>
    <s v="DMH"/>
    <x v="3"/>
    <x v="2"/>
    <s v="07/01/2020"/>
    <s v="06/30/2021"/>
    <n v="344338"/>
    <x v="3"/>
    <s v="07/01/2020"/>
    <s v="06/30/2021"/>
    <x v="3"/>
    <x v="3"/>
    <m/>
    <n v="328457.8"/>
    <m/>
    <x v="16"/>
    <s v=""/>
  </r>
  <r>
    <x v="0"/>
    <x v="2"/>
    <x v="6"/>
    <s v="DMH"/>
    <x v="3"/>
    <x v="0"/>
    <s v="07/01/2020"/>
    <s v="06/30/2021"/>
    <n v="13877230.65"/>
    <x v="3"/>
    <s v="07/01/2020"/>
    <s v="06/30/2021"/>
    <x v="3"/>
    <x v="7"/>
    <s v=""/>
    <s v=""/>
    <s v=""/>
    <x v="17"/>
    <n v="103200"/>
  </r>
  <r>
    <x v="0"/>
    <x v="2"/>
    <x v="6"/>
    <s v="DMH"/>
    <x v="0"/>
    <x v="0"/>
    <s v="07/01/2020"/>
    <s v="06/30/2021"/>
    <n v="14028337.640000001"/>
    <x v="0"/>
    <s v="07/01/2020"/>
    <s v="06/30/2021"/>
    <x v="0"/>
    <x v="0"/>
    <n v="141620"/>
    <n v="5837576.4000000004"/>
    <n v="130048"/>
    <x v="18"/>
    <m/>
  </r>
  <r>
    <x v="0"/>
    <x v="2"/>
    <x v="6"/>
    <s v="DMH"/>
    <x v="1"/>
    <x v="0"/>
    <s v="07/01/2020"/>
    <s v="06/30/2021"/>
    <n v="14028337.640000001"/>
    <x v="1"/>
    <s v="07/01/2020"/>
    <s v="06/30/2021"/>
    <x v="1"/>
    <x v="1"/>
    <n v="20462"/>
    <n v="5616819"/>
    <n v="18752"/>
    <x v="19"/>
    <m/>
  </r>
  <r>
    <x v="0"/>
    <x v="2"/>
    <x v="6"/>
    <s v="DMH"/>
    <x v="2"/>
    <x v="0"/>
    <s v="07/01/2020"/>
    <s v="06/30/2021"/>
    <n v="14028337.640000001"/>
    <x v="2"/>
    <s v="07/01/2020"/>
    <s v="06/30/2021"/>
    <x v="2"/>
    <x v="2"/>
    <n v="7666"/>
    <n v="1552901.62"/>
    <n v="7062"/>
    <x v="20"/>
    <m/>
  </r>
  <r>
    <x v="0"/>
    <x v="2"/>
    <x v="6"/>
    <s v="DMH"/>
    <x v="4"/>
    <x v="0"/>
    <s v="07/01/2020"/>
    <s v="06/30/2021"/>
    <n v="14028337.640000001"/>
    <x v="4"/>
    <s v="07/01/2020"/>
    <s v="06/30/2021"/>
    <x v="4"/>
    <x v="4"/>
    <n v="1773"/>
    <n v="812583.63"/>
    <n v="1623"/>
    <x v="21"/>
    <m/>
  </r>
  <r>
    <x v="0"/>
    <x v="2"/>
    <x v="7"/>
    <s v="DMH"/>
    <x v="3"/>
    <x v="1"/>
    <s v="07/01/2020"/>
    <s v="06/30/2021"/>
    <n v="116885"/>
    <x v="3"/>
    <s v="07/01/2020"/>
    <s v="06/30/2021"/>
    <x v="3"/>
    <x v="3"/>
    <m/>
    <n v="99762.74"/>
    <m/>
    <x v="22"/>
    <m/>
  </r>
  <r>
    <x v="0"/>
    <x v="2"/>
    <x v="7"/>
    <s v="DMH"/>
    <x v="3"/>
    <x v="2"/>
    <s v="07/01/2020"/>
    <s v="06/30/2021"/>
    <n v="470302.2"/>
    <x v="3"/>
    <s v="07/01/2020"/>
    <s v="06/30/2021"/>
    <x v="3"/>
    <x v="3"/>
    <m/>
    <n v="435137"/>
    <m/>
    <x v="23"/>
    <m/>
  </r>
  <r>
    <x v="0"/>
    <x v="3"/>
    <x v="8"/>
    <s v="DMH"/>
    <x v="0"/>
    <x v="0"/>
    <s v="07/01/2020"/>
    <s v="06/30/2021"/>
    <n v="5677779.4000000004"/>
    <x v="0"/>
    <s v="07/01/2020"/>
    <s v="06/30/2021"/>
    <x v="0"/>
    <x v="0"/>
    <n v="66738"/>
    <n v="2750940.36"/>
    <n v="66863"/>
    <x v="24"/>
    <s v=""/>
  </r>
  <r>
    <x v="0"/>
    <x v="3"/>
    <x v="8"/>
    <s v="DMH"/>
    <x v="7"/>
    <x v="0"/>
    <s v="07/01/2020"/>
    <s v="06/30/2021"/>
    <n v="5677779.4000000004"/>
    <x v="7"/>
    <s v="07/01/2020"/>
    <s v="06/30/2021"/>
    <x v="7"/>
    <x v="8"/>
    <n v="3639"/>
    <n v="618193.31999999995"/>
    <n v="3639"/>
    <x v="25"/>
    <s v=""/>
  </r>
  <r>
    <x v="0"/>
    <x v="3"/>
    <x v="8"/>
    <s v="DMH"/>
    <x v="1"/>
    <x v="0"/>
    <s v="07/01/2020"/>
    <s v="06/30/2021"/>
    <n v="5677779.4000000004"/>
    <x v="1"/>
    <s v="07/01/2020"/>
    <s v="06/30/2021"/>
    <x v="1"/>
    <x v="1"/>
    <n v="8395"/>
    <n v="2304427.5"/>
    <n v="8365"/>
    <x v="26"/>
    <s v=""/>
  </r>
  <r>
    <x v="0"/>
    <x v="3"/>
    <x v="9"/>
    <s v="DMH"/>
    <x v="3"/>
    <x v="1"/>
    <s v="07/01/2020"/>
    <s v="06/30/2021"/>
    <n v="52056"/>
    <x v="3"/>
    <s v="07/01/2020"/>
    <s v="06/30/2021"/>
    <x v="3"/>
    <x v="3"/>
    <m/>
    <n v="50324.68"/>
    <m/>
    <x v="27"/>
    <s v=""/>
  </r>
  <r>
    <x v="0"/>
    <x v="3"/>
    <x v="9"/>
    <s v="DMH"/>
    <x v="3"/>
    <x v="2"/>
    <s v="07/01/2020"/>
    <s v="06/30/2021"/>
    <n v="194375.4"/>
    <x v="3"/>
    <s v="07/01/2020"/>
    <s v="06/30/2021"/>
    <x v="3"/>
    <x v="3"/>
    <m/>
    <n v="175090.4"/>
    <m/>
    <x v="28"/>
    <s v=""/>
  </r>
  <r>
    <x v="0"/>
    <x v="1"/>
    <x v="10"/>
    <s v="DMH"/>
    <x v="0"/>
    <x v="0"/>
    <s v="07/01/2020"/>
    <s v="06/30/2021"/>
    <n v="5230276.96"/>
    <x v="0"/>
    <s v="07/01/2020"/>
    <s v="06/30/2021"/>
    <x v="0"/>
    <x v="0"/>
    <n v="57253"/>
    <n v="2359968.66"/>
    <n v="57253"/>
    <x v="29"/>
    <s v=""/>
  </r>
  <r>
    <x v="0"/>
    <x v="1"/>
    <x v="10"/>
    <s v="DMH"/>
    <x v="1"/>
    <x v="0"/>
    <s v="07/01/2020"/>
    <s v="06/30/2021"/>
    <n v="5230276.96"/>
    <x v="1"/>
    <s v="07/01/2020"/>
    <s v="06/30/2021"/>
    <x v="1"/>
    <x v="1"/>
    <n v="10175"/>
    <n v="2793037.5"/>
    <n v="10175"/>
    <x v="30"/>
    <s v=""/>
  </r>
  <r>
    <x v="0"/>
    <x v="1"/>
    <x v="11"/>
    <s v="DMH"/>
    <x v="3"/>
    <x v="1"/>
    <s v="07/01/2020"/>
    <s v="06/30/2021"/>
    <n v="44103"/>
    <x v="3"/>
    <s v="07/01/2020"/>
    <s v="06/30/2021"/>
    <x v="3"/>
    <x v="3"/>
    <m/>
    <n v="44088.61"/>
    <m/>
    <x v="31"/>
    <s v=""/>
  </r>
  <r>
    <x v="0"/>
    <x v="1"/>
    <x v="11"/>
    <s v="DMH"/>
    <x v="3"/>
    <x v="2"/>
    <s v="07/01/2020"/>
    <s v="06/30/2021"/>
    <n v="339333.6"/>
    <x v="3"/>
    <s v="07/01/2020"/>
    <s v="06/30/2021"/>
    <x v="3"/>
    <x v="3"/>
    <m/>
    <n v="314648.8"/>
    <m/>
    <x v="32"/>
    <s v=""/>
  </r>
  <r>
    <x v="1"/>
    <x v="4"/>
    <x v="12"/>
    <s v="DMH"/>
    <x v="0"/>
    <x v="0"/>
    <s v="07/01/2020"/>
    <s v="06/30/2021"/>
    <n v="10562920.33"/>
    <x v="0"/>
    <s v="07/01/2020"/>
    <s v="06/30/2021"/>
    <x v="0"/>
    <x v="0"/>
    <n v="94350"/>
    <n v="3889107"/>
    <n v="94350"/>
    <x v="33"/>
    <s v=""/>
  </r>
  <r>
    <x v="1"/>
    <x v="4"/>
    <x v="12"/>
    <s v="DMH"/>
    <x v="1"/>
    <x v="0"/>
    <s v="07/01/2020"/>
    <s v="06/30/2021"/>
    <n v="10562920.33"/>
    <x v="1"/>
    <s v="07/01/2020"/>
    <s v="06/30/2021"/>
    <x v="1"/>
    <x v="1"/>
    <n v="8485"/>
    <n v="2329132.5"/>
    <n v="8485"/>
    <x v="34"/>
    <s v=""/>
  </r>
  <r>
    <x v="1"/>
    <x v="4"/>
    <x v="12"/>
    <s v="DMH"/>
    <x v="2"/>
    <x v="0"/>
    <s v="07/01/2020"/>
    <s v="06/30/2021"/>
    <n v="10562920.33"/>
    <x v="2"/>
    <s v="07/01/2020"/>
    <s v="06/30/2021"/>
    <x v="2"/>
    <x v="2"/>
    <n v="21007"/>
    <n v="4255387.99"/>
    <n v="21007"/>
    <x v="35"/>
    <s v=""/>
  </r>
  <r>
    <x v="1"/>
    <x v="4"/>
    <x v="13"/>
    <s v="DMH"/>
    <x v="3"/>
    <x v="2"/>
    <s v="07/01/2020"/>
    <s v="06/30/2021"/>
    <n v="576771.19999999995"/>
    <x v="3"/>
    <s v="07/01/2020"/>
    <s v="06/30/2021"/>
    <x v="3"/>
    <x v="3"/>
    <m/>
    <n v="574383.80000000005"/>
    <m/>
    <x v="36"/>
    <s v=""/>
  </r>
  <r>
    <x v="1"/>
    <x v="4"/>
    <x v="13"/>
    <s v="DMH"/>
    <x v="3"/>
    <x v="1"/>
    <s v="07/01/2020"/>
    <s v="06/30/2021"/>
    <n v="198295"/>
    <x v="3"/>
    <s v="07/01/2020"/>
    <s v="06/30/2021"/>
    <x v="3"/>
    <x v="3"/>
    <m/>
    <n v="193668.57"/>
    <m/>
    <x v="37"/>
    <s v=""/>
  </r>
  <r>
    <x v="1"/>
    <x v="4"/>
    <x v="14"/>
    <s v="DMH"/>
    <x v="0"/>
    <x v="0"/>
    <s v="07/01/2020"/>
    <s v="06/30/2021"/>
    <n v="3482333.23"/>
    <x v="0"/>
    <s v="07/01/2020"/>
    <s v="06/30/2021"/>
    <x v="0"/>
    <x v="0"/>
    <n v="33911"/>
    <n v="1397811.42"/>
    <n v="33911"/>
    <x v="38"/>
    <s v=""/>
  </r>
  <r>
    <x v="1"/>
    <x v="4"/>
    <x v="14"/>
    <s v="DMH"/>
    <x v="1"/>
    <x v="0"/>
    <s v="07/01/2020"/>
    <s v="06/30/2021"/>
    <n v="3482333.23"/>
    <x v="1"/>
    <s v="07/01/2020"/>
    <s v="06/30/2021"/>
    <x v="1"/>
    <x v="1"/>
    <n v="1825"/>
    <n v="500962.5"/>
    <n v="1825"/>
    <x v="39"/>
    <s v=""/>
  </r>
  <r>
    <x v="1"/>
    <x v="4"/>
    <x v="14"/>
    <s v="DMH"/>
    <x v="2"/>
    <x v="0"/>
    <s v="07/01/2020"/>
    <s v="06/30/2021"/>
    <n v="3482333.23"/>
    <x v="2"/>
    <s v="07/01/2020"/>
    <s v="06/30/2021"/>
    <x v="2"/>
    <x v="2"/>
    <n v="3295"/>
    <n v="667468.15"/>
    <n v="3295"/>
    <x v="40"/>
    <s v=""/>
  </r>
  <r>
    <x v="1"/>
    <x v="4"/>
    <x v="14"/>
    <s v="DMH"/>
    <x v="8"/>
    <x v="0"/>
    <s v="07/01/2020"/>
    <s v="06/30/2021"/>
    <n v="3482333.23"/>
    <x v="8"/>
    <s v="07/01/2020"/>
    <s v="06/30/2021"/>
    <x v="8"/>
    <x v="9"/>
    <n v="2910"/>
    <n v="891362.1"/>
    <n v="2910"/>
    <x v="41"/>
    <s v=""/>
  </r>
  <r>
    <x v="1"/>
    <x v="4"/>
    <x v="15"/>
    <s v="DMH"/>
    <x v="3"/>
    <x v="1"/>
    <s v="07/01/2020"/>
    <s v="06/30/2021"/>
    <n v="98506"/>
    <x v="3"/>
    <s v="07/01/2020"/>
    <s v="06/30/2021"/>
    <x v="3"/>
    <x v="3"/>
    <m/>
    <n v="81756.91"/>
    <m/>
    <x v="42"/>
    <s v=""/>
  </r>
  <r>
    <x v="1"/>
    <x v="4"/>
    <x v="15"/>
    <s v="DMH"/>
    <x v="3"/>
    <x v="2"/>
    <s v="07/01/2020"/>
    <s v="06/30/2021"/>
    <n v="143491"/>
    <x v="3"/>
    <s v="07/01/2020"/>
    <s v="06/30/2021"/>
    <x v="3"/>
    <x v="3"/>
    <m/>
    <n v="141982.20000000001"/>
    <m/>
    <x v="43"/>
    <s v=""/>
  </r>
  <r>
    <x v="1"/>
    <x v="5"/>
    <x v="16"/>
    <s v="DMH"/>
    <x v="0"/>
    <x v="0"/>
    <s v="07/01/2020"/>
    <s v="06/30/2021"/>
    <n v="6032349.2000000002"/>
    <x v="0"/>
    <s v="07/01/2020"/>
    <s v="06/30/2021"/>
    <x v="0"/>
    <x v="0"/>
    <n v="57733"/>
    <n v="2379754.2599999998"/>
    <n v="57733"/>
    <x v="44"/>
    <s v=""/>
  </r>
  <r>
    <x v="1"/>
    <x v="5"/>
    <x v="16"/>
    <s v="DMH"/>
    <x v="7"/>
    <x v="0"/>
    <s v="07/01/2020"/>
    <s v="06/30/2021"/>
    <n v="6032349.2000000002"/>
    <x v="7"/>
    <s v="07/01/2020"/>
    <s v="06/30/2021"/>
    <x v="7"/>
    <x v="8"/>
    <n v="4013"/>
    <n v="681728.44"/>
    <n v="4013"/>
    <x v="45"/>
    <s v=""/>
  </r>
  <r>
    <x v="1"/>
    <x v="5"/>
    <x v="16"/>
    <s v="DMH"/>
    <x v="1"/>
    <x v="0"/>
    <s v="07/01/2020"/>
    <s v="06/30/2021"/>
    <n v="6032349.2000000002"/>
    <x v="1"/>
    <s v="07/01/2020"/>
    <s v="06/30/2021"/>
    <x v="1"/>
    <x v="1"/>
    <n v="2161"/>
    <n v="593194.5"/>
    <n v="2161"/>
    <x v="46"/>
    <s v=""/>
  </r>
  <r>
    <x v="1"/>
    <x v="5"/>
    <x v="16"/>
    <s v="DMH"/>
    <x v="2"/>
    <x v="0"/>
    <s v="07/01/2020"/>
    <s v="06/30/2021"/>
    <n v="6032349.2000000002"/>
    <x v="2"/>
    <s v="07/01/2020"/>
    <s v="06/30/2021"/>
    <x v="2"/>
    <x v="2"/>
    <n v="11550"/>
    <n v="2339683.5"/>
    <n v="11550"/>
    <x v="47"/>
    <s v=""/>
  </r>
  <r>
    <x v="1"/>
    <x v="5"/>
    <x v="17"/>
    <s v="DMH"/>
    <x v="3"/>
    <x v="1"/>
    <s v="07/01/2020"/>
    <s v="06/30/2021"/>
    <n v="97843"/>
    <x v="3"/>
    <s v="07/01/2020"/>
    <s v="06/30/2021"/>
    <x v="3"/>
    <x v="3"/>
    <m/>
    <n v="78347.850000000006"/>
    <m/>
    <x v="48"/>
    <s v=""/>
  </r>
  <r>
    <x v="1"/>
    <x v="5"/>
    <x v="17"/>
    <s v="DMH"/>
    <x v="3"/>
    <x v="2"/>
    <s v="07/01/2020"/>
    <s v="06/30/2021"/>
    <n v="394687.2"/>
    <x v="3"/>
    <s v="07/01/2020"/>
    <s v="06/30/2021"/>
    <x v="3"/>
    <x v="3"/>
    <m/>
    <n v="380243.4"/>
    <m/>
    <x v="49"/>
    <s v=""/>
  </r>
  <r>
    <x v="1"/>
    <x v="4"/>
    <x v="18"/>
    <s v="DMH"/>
    <x v="0"/>
    <x v="0"/>
    <s v="07/01/2020"/>
    <s v="06/30/2021"/>
    <n v="10500411.199999999"/>
    <x v="0"/>
    <s v="07/01/2020"/>
    <s v="06/30/2021"/>
    <x v="0"/>
    <x v="0"/>
    <n v="63949"/>
    <n v="2635977.7799999998"/>
    <n v="63949"/>
    <x v="50"/>
    <s v=""/>
  </r>
  <r>
    <x v="1"/>
    <x v="4"/>
    <x v="18"/>
    <s v="DMH"/>
    <x v="1"/>
    <x v="0"/>
    <s v="07/01/2020"/>
    <s v="06/30/2021"/>
    <n v="10500411.199999999"/>
    <x v="1"/>
    <s v="07/01/2020"/>
    <s v="06/30/2021"/>
    <x v="1"/>
    <x v="1"/>
    <n v="6132"/>
    <n v="1683234"/>
    <n v="6132"/>
    <x v="51"/>
    <s v=""/>
  </r>
  <r>
    <x v="1"/>
    <x v="4"/>
    <x v="18"/>
    <s v="DMH"/>
    <x v="2"/>
    <x v="0"/>
    <s v="07/01/2020"/>
    <s v="06/30/2021"/>
    <n v="10500411.199999999"/>
    <x v="2"/>
    <s v="07/01/2020"/>
    <s v="06/30/2021"/>
    <x v="2"/>
    <x v="2"/>
    <n v="23473"/>
    <n v="4754925.6100000003"/>
    <n v="23473"/>
    <x v="52"/>
    <s v=""/>
  </r>
  <r>
    <x v="1"/>
    <x v="4"/>
    <x v="18"/>
    <s v="DMH"/>
    <x v="8"/>
    <x v="0"/>
    <s v="07/01/2020"/>
    <s v="06/30/2021"/>
    <n v="10500411.199999999"/>
    <x v="8"/>
    <s v="07/01/2020"/>
    <s v="06/30/2021"/>
    <x v="8"/>
    <x v="9"/>
    <n v="2913"/>
    <n v="892281.03"/>
    <n v="2913"/>
    <x v="53"/>
    <s v=""/>
  </r>
  <r>
    <x v="1"/>
    <x v="4"/>
    <x v="18"/>
    <s v="DMH"/>
    <x v="6"/>
    <x v="0"/>
    <s v="07/01/2020"/>
    <s v="06/30/2021"/>
    <n v="10500411.199999999"/>
    <x v="6"/>
    <s v="07/01/2020"/>
    <s v="06/30/2021"/>
    <x v="6"/>
    <x v="6"/>
    <n v="5445"/>
    <n v="491846.85"/>
    <n v="5445"/>
    <x v="54"/>
    <s v=""/>
  </r>
  <r>
    <x v="1"/>
    <x v="4"/>
    <x v="19"/>
    <s v="DMH"/>
    <x v="3"/>
    <x v="2"/>
    <s v="07/01/2020"/>
    <s v="06/30/2021"/>
    <n v="568401.6"/>
    <x v="3"/>
    <s v="07/01/2020"/>
    <s v="06/30/2021"/>
    <x v="3"/>
    <x v="3"/>
    <m/>
    <n v="560528"/>
    <m/>
    <x v="55"/>
    <s v=""/>
  </r>
  <r>
    <x v="1"/>
    <x v="4"/>
    <x v="19"/>
    <s v="DMH"/>
    <x v="3"/>
    <x v="1"/>
    <s v="07/01/2020"/>
    <s v="06/30/2021"/>
    <n v="185185"/>
    <x v="3"/>
    <s v="07/01/2020"/>
    <s v="06/30/2021"/>
    <x v="3"/>
    <x v="3"/>
    <m/>
    <n v="185185"/>
    <m/>
    <x v="56"/>
    <s v=""/>
  </r>
  <r>
    <x v="1"/>
    <x v="6"/>
    <x v="20"/>
    <s v="DMH"/>
    <x v="0"/>
    <x v="0"/>
    <s v="07/01/2020"/>
    <s v="06/30/2021"/>
    <n v="7241460.2800000003"/>
    <x v="0"/>
    <s v="07/01/2020"/>
    <s v="06/30/2021"/>
    <x v="0"/>
    <x v="0"/>
    <n v="38334"/>
    <n v="1580127.48"/>
    <n v="38334"/>
    <x v="57"/>
    <s v=""/>
  </r>
  <r>
    <x v="1"/>
    <x v="6"/>
    <x v="20"/>
    <s v="DMH"/>
    <x v="7"/>
    <x v="0"/>
    <s v="07/01/2020"/>
    <s v="06/30/2021"/>
    <n v="7241460.2800000003"/>
    <x v="7"/>
    <s v="07/01/2020"/>
    <s v="06/30/2021"/>
    <x v="7"/>
    <x v="8"/>
    <n v="3650"/>
    <n v="620062"/>
    <n v="3650"/>
    <x v="58"/>
    <s v=""/>
  </r>
  <r>
    <x v="1"/>
    <x v="6"/>
    <x v="20"/>
    <s v="DMH"/>
    <x v="1"/>
    <x v="0"/>
    <s v="07/01/2020"/>
    <s v="06/30/2021"/>
    <n v="7241460.2800000003"/>
    <x v="1"/>
    <s v="07/01/2020"/>
    <s v="06/30/2021"/>
    <x v="1"/>
    <x v="1"/>
    <n v="4374"/>
    <n v="1200663"/>
    <n v="4374"/>
    <x v="59"/>
    <s v=""/>
  </r>
  <r>
    <x v="1"/>
    <x v="6"/>
    <x v="20"/>
    <s v="DMH"/>
    <x v="2"/>
    <x v="0"/>
    <s v="07/01/2020"/>
    <s v="06/30/2021"/>
    <n v="7241460.2800000003"/>
    <x v="2"/>
    <s v="07/01/2020"/>
    <s v="06/30/2021"/>
    <x v="2"/>
    <x v="2"/>
    <n v="5839"/>
    <n v="1182806.23"/>
    <n v="5839"/>
    <x v="60"/>
    <s v=""/>
  </r>
  <r>
    <x v="1"/>
    <x v="6"/>
    <x v="20"/>
    <s v="DMH"/>
    <x v="9"/>
    <x v="0"/>
    <s v="07/01/2020"/>
    <s v="06/30/2021"/>
    <n v="7241460.2800000003"/>
    <x v="9"/>
    <s v="07/01/2020"/>
    <s v="06/30/2021"/>
    <x v="9"/>
    <x v="10"/>
    <n v="2831"/>
    <n v="1138996.23"/>
    <n v="2831"/>
    <x v="61"/>
    <s v=""/>
  </r>
  <r>
    <x v="1"/>
    <x v="6"/>
    <x v="20"/>
    <s v="DMH"/>
    <x v="10"/>
    <x v="0"/>
    <s v="07/01/2020"/>
    <s v="06/30/2021"/>
    <n v="7241460.2800000003"/>
    <x v="10"/>
    <s v="07/01/2020"/>
    <s v="06/30/2021"/>
    <x v="10"/>
    <x v="11"/>
    <n v="2920"/>
    <n v="958431.6"/>
    <n v="2920"/>
    <x v="62"/>
    <s v=""/>
  </r>
  <r>
    <x v="1"/>
    <x v="6"/>
    <x v="20"/>
    <s v="DMH"/>
    <x v="6"/>
    <x v="0"/>
    <s v="07/01/2020"/>
    <s v="06/30/2021"/>
    <n v="7241460.2800000003"/>
    <x v="6"/>
    <s v="07/01/2020"/>
    <s v="06/30/2021"/>
    <x v="6"/>
    <x v="6"/>
    <n v="5476"/>
    <n v="494647.08"/>
    <n v="5476"/>
    <x v="63"/>
    <s v=""/>
  </r>
  <r>
    <x v="1"/>
    <x v="6"/>
    <x v="21"/>
    <s v="DMH"/>
    <x v="3"/>
    <x v="1"/>
    <s v="07/01/2020"/>
    <s v="06/30/2021"/>
    <n v="287055"/>
    <x v="3"/>
    <s v="07/01/2020"/>
    <s v="06/30/2021"/>
    <x v="3"/>
    <x v="3"/>
    <m/>
    <n v="275642.84000000003"/>
    <m/>
    <x v="64"/>
    <s v=""/>
  </r>
  <r>
    <x v="1"/>
    <x v="6"/>
    <x v="21"/>
    <s v="DMH"/>
    <x v="3"/>
    <x v="2"/>
    <s v="07/01/2020"/>
    <s v="06/30/2021"/>
    <n v="461364"/>
    <x v="3"/>
    <s v="07/01/2020"/>
    <s v="06/30/2021"/>
    <x v="3"/>
    <x v="3"/>
    <m/>
    <n v="449287.6"/>
    <m/>
    <x v="65"/>
    <s v=""/>
  </r>
  <r>
    <x v="1"/>
    <x v="7"/>
    <x v="22"/>
    <s v="DMH"/>
    <x v="0"/>
    <x v="0"/>
    <s v="07/01/2020"/>
    <s v="06/30/2021"/>
    <n v="13902049.039999999"/>
    <x v="0"/>
    <s v="07/01/2020"/>
    <s v="06/30/2021"/>
    <x v="0"/>
    <x v="0"/>
    <n v="70031"/>
    <n v="2886677.82"/>
    <n v="70031"/>
    <x v="66"/>
    <s v=""/>
  </r>
  <r>
    <x v="1"/>
    <x v="7"/>
    <x v="22"/>
    <s v="DMH"/>
    <x v="7"/>
    <x v="0"/>
    <s v="07/01/2020"/>
    <s v="06/30/2021"/>
    <n v="13902049.039999999"/>
    <x v="7"/>
    <s v="07/01/2020"/>
    <s v="06/30/2021"/>
    <x v="7"/>
    <x v="8"/>
    <n v="3619"/>
    <n v="614795.72"/>
    <n v="3619"/>
    <x v="67"/>
    <s v=""/>
  </r>
  <r>
    <x v="1"/>
    <x v="7"/>
    <x v="22"/>
    <s v="DMH"/>
    <x v="1"/>
    <x v="0"/>
    <s v="07/01/2020"/>
    <s v="06/30/2021"/>
    <n v="13902049.039999999"/>
    <x v="1"/>
    <s v="07/01/2020"/>
    <s v="06/30/2021"/>
    <x v="1"/>
    <x v="1"/>
    <n v="14814"/>
    <n v="4066443"/>
    <n v="14814"/>
    <x v="68"/>
    <s v=""/>
  </r>
  <r>
    <x v="1"/>
    <x v="7"/>
    <x v="22"/>
    <s v="DMH"/>
    <x v="2"/>
    <x v="0"/>
    <s v="07/01/2020"/>
    <s v="06/30/2021"/>
    <n v="13902049.039999999"/>
    <x v="2"/>
    <s v="07/01/2020"/>
    <s v="06/30/2021"/>
    <x v="2"/>
    <x v="2"/>
    <n v="23084"/>
    <n v="4676125.88"/>
    <n v="23084"/>
    <x v="69"/>
    <s v=""/>
  </r>
  <r>
    <x v="1"/>
    <x v="7"/>
    <x v="22"/>
    <s v="DMH"/>
    <x v="4"/>
    <x v="0"/>
    <s v="07/01/2020"/>
    <s v="06/30/2021"/>
    <n v="13902049.039999999"/>
    <x v="4"/>
    <s v="07/01/2020"/>
    <s v="06/30/2021"/>
    <x v="4"/>
    <x v="4"/>
    <n v="2047"/>
    <n v="938160.57"/>
    <n v="2047"/>
    <x v="70"/>
    <s v=""/>
  </r>
  <r>
    <x v="1"/>
    <x v="7"/>
    <x v="22"/>
    <s v="DMH"/>
    <x v="11"/>
    <x v="0"/>
    <s v="07/01/2020"/>
    <s v="06/30/2021"/>
    <n v="13902049.039999999"/>
    <x v="11"/>
    <s v="07/01/2020"/>
    <s v="06/30/2021"/>
    <x v="11"/>
    <x v="12"/>
    <n v="7447"/>
    <n v="575280.75"/>
    <n v="7447"/>
    <x v="71"/>
    <s v=""/>
  </r>
  <r>
    <x v="1"/>
    <x v="7"/>
    <x v="23"/>
    <s v="DMH"/>
    <x v="3"/>
    <x v="1"/>
    <s v="07/01/2020"/>
    <s v="06/30/2021"/>
    <n v="273146"/>
    <x v="3"/>
    <s v="07/01/2020"/>
    <s v="06/30/2021"/>
    <x v="3"/>
    <x v="3"/>
    <m/>
    <n v="254356.91"/>
    <m/>
    <x v="72"/>
    <s v=""/>
  </r>
  <r>
    <x v="1"/>
    <x v="7"/>
    <x v="23"/>
    <s v="DMH"/>
    <x v="3"/>
    <x v="2"/>
    <s v="07/01/2020"/>
    <s v="06/30/2021"/>
    <n v="949240.8"/>
    <x v="3"/>
    <s v="07/01/2020"/>
    <s v="06/30/2021"/>
    <x v="3"/>
    <x v="3"/>
    <m/>
    <n v="920273.4"/>
    <m/>
    <x v="73"/>
    <s v=""/>
  </r>
  <r>
    <x v="1"/>
    <x v="7"/>
    <x v="24"/>
    <s v="DMH"/>
    <x v="0"/>
    <x v="0"/>
    <s v="07/01/2020"/>
    <s v="06/30/2021"/>
    <n v="4546166.01"/>
    <x v="0"/>
    <s v="07/01/2020"/>
    <s v="06/30/2021"/>
    <x v="0"/>
    <x v="0"/>
    <n v="23008"/>
    <n v="948389.76"/>
    <n v="23008"/>
    <x v="74"/>
    <s v=""/>
  </r>
  <r>
    <x v="1"/>
    <x v="7"/>
    <x v="24"/>
    <s v="DMH"/>
    <x v="7"/>
    <x v="0"/>
    <s v="07/01/2020"/>
    <s v="06/30/2021"/>
    <n v="4546166.01"/>
    <x v="7"/>
    <s v="07/01/2020"/>
    <s v="06/30/2021"/>
    <x v="7"/>
    <x v="8"/>
    <n v="3650"/>
    <n v="620062"/>
    <n v="3650"/>
    <x v="58"/>
    <s v=""/>
  </r>
  <r>
    <x v="1"/>
    <x v="7"/>
    <x v="24"/>
    <s v="DMH"/>
    <x v="1"/>
    <x v="0"/>
    <s v="07/01/2020"/>
    <s v="06/30/2021"/>
    <n v="4546166.01"/>
    <x v="1"/>
    <s v="07/01/2020"/>
    <s v="06/30/2021"/>
    <x v="1"/>
    <x v="1"/>
    <n v="6384"/>
    <n v="1752408"/>
    <n v="6384"/>
    <x v="75"/>
    <s v=""/>
  </r>
  <r>
    <x v="1"/>
    <x v="7"/>
    <x v="24"/>
    <s v="DMH"/>
    <x v="2"/>
    <x v="0"/>
    <s v="07/01/2020"/>
    <s v="06/30/2021"/>
    <n v="4546166.01"/>
    <x v="2"/>
    <s v="07/01/2020"/>
    <s v="06/30/2021"/>
    <x v="2"/>
    <x v="2"/>
    <n v="5809"/>
    <n v="1176729.1299999999"/>
    <n v="5809"/>
    <x v="76"/>
    <s v=""/>
  </r>
  <r>
    <x v="1"/>
    <x v="7"/>
    <x v="25"/>
    <s v="DMH"/>
    <x v="3"/>
    <x v="2"/>
    <s v="07/01/2020"/>
    <s v="06/30/2021"/>
    <n v="204511.3"/>
    <x v="3"/>
    <s v="07/01/2020"/>
    <s v="06/30/2021"/>
    <x v="3"/>
    <x v="3"/>
    <m/>
    <n v="202037.4"/>
    <m/>
    <x v="77"/>
    <s v=""/>
  </r>
  <r>
    <x v="1"/>
    <x v="7"/>
    <x v="25"/>
    <s v="DMH"/>
    <x v="3"/>
    <x v="1"/>
    <s v="07/01/2020"/>
    <s v="06/30/2021"/>
    <n v="127314"/>
    <x v="3"/>
    <s v="07/01/2020"/>
    <s v="06/30/2021"/>
    <x v="3"/>
    <x v="3"/>
    <m/>
    <n v="124854.5"/>
    <m/>
    <x v="78"/>
    <s v=""/>
  </r>
  <r>
    <x v="1"/>
    <x v="5"/>
    <x v="26"/>
    <s v="DMH"/>
    <x v="0"/>
    <x v="0"/>
    <s v="07/01/2020"/>
    <s v="06/30/2021"/>
    <n v="5499710.4699999997"/>
    <x v="0"/>
    <s v="07/01/2020"/>
    <s v="06/30/2021"/>
    <x v="0"/>
    <x v="0"/>
    <n v="50315"/>
    <n v="2073984.3"/>
    <n v="50315"/>
    <x v="79"/>
    <s v=""/>
  </r>
  <r>
    <x v="1"/>
    <x v="5"/>
    <x v="26"/>
    <s v="DMH"/>
    <x v="1"/>
    <x v="0"/>
    <s v="07/01/2020"/>
    <s v="06/30/2021"/>
    <n v="5499710.4699999997"/>
    <x v="1"/>
    <s v="07/01/2020"/>
    <s v="06/30/2021"/>
    <x v="1"/>
    <x v="1"/>
    <n v="8349"/>
    <n v="2291800.5"/>
    <n v="8349"/>
    <x v="80"/>
    <s v=""/>
  </r>
  <r>
    <x v="1"/>
    <x v="5"/>
    <x v="26"/>
    <s v="DMH"/>
    <x v="2"/>
    <x v="0"/>
    <s v="07/01/2020"/>
    <s v="06/30/2021"/>
    <n v="5499710.4699999997"/>
    <x v="2"/>
    <s v="07/01/2020"/>
    <s v="06/30/2021"/>
    <x v="2"/>
    <x v="2"/>
    <n v="5429"/>
    <n v="1099752.53"/>
    <n v="5429"/>
    <x v="81"/>
    <s v=""/>
  </r>
  <r>
    <x v="1"/>
    <x v="5"/>
    <x v="27"/>
    <s v="DMH"/>
    <x v="3"/>
    <x v="1"/>
    <s v="07/01/2020"/>
    <s v="06/30/2021"/>
    <n v="406121"/>
    <x v="3"/>
    <s v="07/01/2020"/>
    <s v="06/30/2021"/>
    <x v="3"/>
    <x v="3"/>
    <m/>
    <n v="398080.15"/>
    <m/>
    <x v="82"/>
    <s v=""/>
  </r>
  <r>
    <x v="1"/>
    <x v="5"/>
    <x v="27"/>
    <s v="DMH"/>
    <x v="3"/>
    <x v="2"/>
    <s v="07/01/2020"/>
    <s v="06/30/2021"/>
    <n v="244159.2"/>
    <x v="3"/>
    <s v="07/01/2020"/>
    <s v="06/30/2021"/>
    <x v="3"/>
    <x v="3"/>
    <m/>
    <n v="223570.8"/>
    <m/>
    <x v="83"/>
    <s v=""/>
  </r>
  <r>
    <x v="2"/>
    <x v="8"/>
    <x v="28"/>
    <s v="DMH"/>
    <x v="0"/>
    <x v="0"/>
    <s v="07/01/2020"/>
    <s v="06/30/2021"/>
    <n v="10557078.74"/>
    <x v="0"/>
    <s v="07/01/2020"/>
    <s v="06/30/2021"/>
    <x v="0"/>
    <x v="0"/>
    <n v="125450"/>
    <n v="5171049"/>
    <n v="125197"/>
    <x v="84"/>
    <s v=""/>
  </r>
  <r>
    <x v="2"/>
    <x v="8"/>
    <x v="28"/>
    <s v="DMH"/>
    <x v="7"/>
    <x v="0"/>
    <s v="07/01/2020"/>
    <s v="06/30/2021"/>
    <n v="10557078.74"/>
    <x v="7"/>
    <s v="07/01/2020"/>
    <s v="06/30/2021"/>
    <x v="7"/>
    <x v="8"/>
    <n v="3650"/>
    <n v="620062"/>
    <n v="3650"/>
    <x v="58"/>
    <s v=""/>
  </r>
  <r>
    <x v="2"/>
    <x v="8"/>
    <x v="28"/>
    <s v="DMH"/>
    <x v="1"/>
    <x v="0"/>
    <s v="07/01/2020"/>
    <s v="06/30/2021"/>
    <n v="10557078.74"/>
    <x v="1"/>
    <s v="07/01/2020"/>
    <s v="06/30/2021"/>
    <x v="1"/>
    <x v="1"/>
    <n v="5797"/>
    <n v="1591276.5"/>
    <n v="5797"/>
    <x v="85"/>
    <s v=""/>
  </r>
  <r>
    <x v="2"/>
    <x v="8"/>
    <x v="28"/>
    <s v="DMH"/>
    <x v="2"/>
    <x v="0"/>
    <s v="07/01/2020"/>
    <s v="06/30/2021"/>
    <n v="10557078.74"/>
    <x v="2"/>
    <s v="07/01/2020"/>
    <s v="06/30/2021"/>
    <x v="2"/>
    <x v="2"/>
    <n v="11668"/>
    <n v="2363586.7599999998"/>
    <n v="11607"/>
    <x v="86"/>
    <s v=""/>
  </r>
  <r>
    <x v="2"/>
    <x v="8"/>
    <x v="28"/>
    <s v="DMH"/>
    <x v="12"/>
    <x v="0"/>
    <s v="07/01/2020"/>
    <s v="06/30/2021"/>
    <n v="10557078.74"/>
    <x v="12"/>
    <s v="07/01/2020"/>
    <s v="06/30/2021"/>
    <x v="12"/>
    <x v="13"/>
    <n v="2149"/>
    <n v="867379.38"/>
    <n v="2067"/>
    <x v="87"/>
    <s v=""/>
  </r>
  <r>
    <x v="2"/>
    <x v="8"/>
    <x v="29"/>
    <s v="DMH"/>
    <x v="3"/>
    <x v="1"/>
    <s v="07/01/2020"/>
    <s v="06/30/2021"/>
    <n v="121571"/>
    <x v="3"/>
    <s v="07/01/2020"/>
    <s v="06/30/2021"/>
    <x v="3"/>
    <x v="3"/>
    <m/>
    <n v="118102.13"/>
    <m/>
    <x v="88"/>
    <s v=""/>
  </r>
  <r>
    <x v="2"/>
    <x v="8"/>
    <x v="29"/>
    <s v="DMH"/>
    <x v="3"/>
    <x v="2"/>
    <s v="07/01/2020"/>
    <s v="06/30/2021"/>
    <n v="397305.53"/>
    <x v="3"/>
    <s v="07/01/2020"/>
    <s v="06/30/2021"/>
    <x v="3"/>
    <x v="3"/>
    <m/>
    <n v="388717.4"/>
    <m/>
    <x v="89"/>
    <s v=""/>
  </r>
  <r>
    <x v="2"/>
    <x v="8"/>
    <x v="30"/>
    <s v="DMH"/>
    <x v="0"/>
    <x v="0"/>
    <s v="07/01/2020"/>
    <s v="06/30/2021"/>
    <n v="13393537.48"/>
    <x v="0"/>
    <s v="07/01/2020"/>
    <s v="06/30/2021"/>
    <x v="0"/>
    <x v="0"/>
    <n v="155129"/>
    <n v="6394417.3799999999"/>
    <n v="155129"/>
    <x v="90"/>
    <s v=""/>
  </r>
  <r>
    <x v="2"/>
    <x v="8"/>
    <x v="30"/>
    <s v="DMH"/>
    <x v="7"/>
    <x v="0"/>
    <s v="07/01/2020"/>
    <s v="06/30/2021"/>
    <n v="13393537.48"/>
    <x v="7"/>
    <s v="07/01/2020"/>
    <s v="06/30/2021"/>
    <x v="7"/>
    <x v="8"/>
    <n v="3566"/>
    <n v="605792.07999999996"/>
    <n v="3566"/>
    <x v="91"/>
    <s v=""/>
  </r>
  <r>
    <x v="2"/>
    <x v="8"/>
    <x v="30"/>
    <s v="DMH"/>
    <x v="1"/>
    <x v="0"/>
    <s v="07/01/2020"/>
    <s v="06/30/2021"/>
    <n v="13393537.48"/>
    <x v="1"/>
    <s v="07/01/2020"/>
    <s v="06/30/2021"/>
    <x v="1"/>
    <x v="1"/>
    <n v="7627"/>
    <n v="2093611.5"/>
    <n v="7627"/>
    <x v="92"/>
    <s v=""/>
  </r>
  <r>
    <x v="2"/>
    <x v="8"/>
    <x v="30"/>
    <s v="DMH"/>
    <x v="2"/>
    <x v="0"/>
    <s v="07/01/2020"/>
    <s v="06/30/2021"/>
    <n v="13393537.48"/>
    <x v="2"/>
    <s v="07/01/2020"/>
    <s v="06/30/2021"/>
    <x v="2"/>
    <x v="2"/>
    <n v="8742"/>
    <n v="1770866.94"/>
    <n v="8742"/>
    <x v="93"/>
    <s v=""/>
  </r>
  <r>
    <x v="2"/>
    <x v="8"/>
    <x v="30"/>
    <s v="DMH"/>
    <x v="5"/>
    <x v="0"/>
    <s v="07/01/2020"/>
    <s v="06/30/2021"/>
    <n v="13393537.48"/>
    <x v="5"/>
    <s v="07/01/2020"/>
    <s v="06/30/2021"/>
    <x v="5"/>
    <x v="5"/>
    <n v="1578"/>
    <n v="624367.26"/>
    <n v="1578"/>
    <x v="94"/>
    <s v=""/>
  </r>
  <r>
    <x v="2"/>
    <x v="8"/>
    <x v="30"/>
    <s v="DMH"/>
    <x v="10"/>
    <x v="0"/>
    <s v="07/01/2020"/>
    <s v="06/30/2021"/>
    <n v="13393537.48"/>
    <x v="10"/>
    <s v="07/01/2020"/>
    <s v="06/30/2021"/>
    <x v="10"/>
    <x v="11"/>
    <n v="5686"/>
    <n v="1866315.78"/>
    <n v="5686"/>
    <x v="95"/>
    <s v=""/>
  </r>
  <r>
    <x v="2"/>
    <x v="8"/>
    <x v="31"/>
    <s v="DMH"/>
    <x v="3"/>
    <x v="2"/>
    <s v="07/01/2020"/>
    <s v="06/30/2021"/>
    <n v="682817.08"/>
    <x v="3"/>
    <s v="07/01/2020"/>
    <s v="06/30/2021"/>
    <x v="3"/>
    <x v="3"/>
    <m/>
    <n v="619957.80000000005"/>
    <m/>
    <x v="96"/>
    <s v=""/>
  </r>
  <r>
    <x v="2"/>
    <x v="8"/>
    <x v="31"/>
    <s v="DMH"/>
    <x v="3"/>
    <x v="1"/>
    <s v="07/01/2020"/>
    <s v="06/30/2021"/>
    <n v="244467"/>
    <x v="3"/>
    <s v="07/01/2020"/>
    <s v="06/30/2021"/>
    <x v="3"/>
    <x v="3"/>
    <m/>
    <n v="244462.33"/>
    <m/>
    <x v="97"/>
    <s v=""/>
  </r>
  <r>
    <x v="2"/>
    <x v="9"/>
    <x v="32"/>
    <s v="DMH"/>
    <x v="0"/>
    <x v="0"/>
    <s v="07/01/2020"/>
    <s v="06/30/2021"/>
    <n v="13413117.689999999"/>
    <x v="0"/>
    <s v="07/01/2020"/>
    <s v="06/30/2021"/>
    <x v="0"/>
    <x v="0"/>
    <n v="120971"/>
    <n v="4986424.62"/>
    <n v="120971"/>
    <x v="98"/>
    <s v=""/>
  </r>
  <r>
    <x v="2"/>
    <x v="9"/>
    <x v="32"/>
    <s v="DMH"/>
    <x v="7"/>
    <x v="0"/>
    <s v="07/01/2020"/>
    <s v="06/30/2021"/>
    <n v="13413117.689999999"/>
    <x v="7"/>
    <s v="07/01/2020"/>
    <s v="06/30/2021"/>
    <x v="7"/>
    <x v="8"/>
    <n v="3060"/>
    <n v="519832.8"/>
    <n v="3060"/>
    <x v="99"/>
    <s v=""/>
  </r>
  <r>
    <x v="2"/>
    <x v="9"/>
    <x v="32"/>
    <s v="DMH"/>
    <x v="2"/>
    <x v="0"/>
    <s v="07/01/2020"/>
    <s v="06/30/2021"/>
    <n v="13413117.689999999"/>
    <x v="2"/>
    <s v="07/01/2020"/>
    <s v="06/30/2021"/>
    <x v="2"/>
    <x v="2"/>
    <n v="16757"/>
    <n v="3394465.49"/>
    <n v="16757"/>
    <x v="100"/>
    <s v=""/>
  </r>
  <r>
    <x v="2"/>
    <x v="9"/>
    <x v="32"/>
    <s v="DMH"/>
    <x v="12"/>
    <x v="0"/>
    <s v="07/01/2020"/>
    <s v="06/30/2021"/>
    <n v="13413117.689999999"/>
    <x v="12"/>
    <s v="07/01/2020"/>
    <s v="06/30/2021"/>
    <x v="12"/>
    <x v="13"/>
    <n v="1374"/>
    <n v="554573.88"/>
    <n v="1374"/>
    <x v="101"/>
    <s v=""/>
  </r>
  <r>
    <x v="2"/>
    <x v="9"/>
    <x v="32"/>
    <s v="DMH"/>
    <x v="8"/>
    <x v="0"/>
    <s v="07/01/2020"/>
    <s v="06/30/2021"/>
    <n v="13413117.689999999"/>
    <x v="8"/>
    <s v="07/01/2020"/>
    <s v="06/30/2021"/>
    <x v="8"/>
    <x v="9"/>
    <n v="2920"/>
    <n v="894425.2"/>
    <n v="2920"/>
    <x v="102"/>
    <s v=""/>
  </r>
  <r>
    <x v="2"/>
    <x v="9"/>
    <x v="32"/>
    <s v="DMH"/>
    <x v="13"/>
    <x v="0"/>
    <s v="07/01/2020"/>
    <s v="06/30/2021"/>
    <n v="13413117.689999999"/>
    <x v="13"/>
    <s v="07/01/2020"/>
    <s v="06/30/2021"/>
    <x v="13"/>
    <x v="14"/>
    <n v="3588"/>
    <n v="1308256.56"/>
    <n v="3588"/>
    <x v="103"/>
    <s v=""/>
  </r>
  <r>
    <x v="2"/>
    <x v="9"/>
    <x v="32"/>
    <s v="DMH"/>
    <x v="14"/>
    <x v="0"/>
    <s v="07/01/2020"/>
    <s v="06/30/2021"/>
    <n v="13413117.689999999"/>
    <x v="14"/>
    <s v="07/01/2020"/>
    <s v="06/30/2021"/>
    <x v="14"/>
    <x v="15"/>
    <n v="3969"/>
    <n v="1174585.8600000001"/>
    <n v="3969"/>
    <x v="104"/>
    <s v=""/>
  </r>
  <r>
    <x v="2"/>
    <x v="9"/>
    <x v="32"/>
    <s v="DMH"/>
    <x v="6"/>
    <x v="0"/>
    <s v="07/01/2020"/>
    <s v="06/30/2021"/>
    <n v="13292202"/>
    <x v="6"/>
    <s v="07/01/2020"/>
    <s v="06/30/2021"/>
    <x v="3"/>
    <x v="3"/>
    <m/>
    <m/>
    <m/>
    <x v="105"/>
    <s v=""/>
  </r>
  <r>
    <x v="2"/>
    <x v="9"/>
    <x v="32"/>
    <s v="DMH"/>
    <x v="11"/>
    <x v="0"/>
    <s v="07/01/2020"/>
    <s v="06/30/2021"/>
    <n v="13413117.689999999"/>
    <x v="11"/>
    <s v="07/01/2020"/>
    <s v="06/30/2021"/>
    <x v="11"/>
    <x v="12"/>
    <n v="5995"/>
    <n v="463113.75"/>
    <n v="5995"/>
    <x v="106"/>
    <s v=""/>
  </r>
  <r>
    <x v="2"/>
    <x v="9"/>
    <x v="33"/>
    <s v="DMH"/>
    <x v="3"/>
    <x v="2"/>
    <s v="07/01/2020"/>
    <s v="06/30/2021"/>
    <n v="895675.32"/>
    <x v="3"/>
    <s v="07/01/2020"/>
    <s v="06/30/2021"/>
    <x v="3"/>
    <x v="3"/>
    <m/>
    <n v="894699.8"/>
    <m/>
    <x v="107"/>
    <s v=""/>
  </r>
  <r>
    <x v="2"/>
    <x v="9"/>
    <x v="33"/>
    <s v="DMH"/>
    <x v="3"/>
    <x v="1"/>
    <s v="07/01/2020"/>
    <s v="06/30/2021"/>
    <n v="553582"/>
    <x v="3"/>
    <s v="07/01/2020"/>
    <s v="06/30/2021"/>
    <x v="3"/>
    <x v="3"/>
    <m/>
    <n v="549079.98"/>
    <m/>
    <x v="108"/>
    <s v=""/>
  </r>
  <r>
    <x v="2"/>
    <x v="9"/>
    <x v="34"/>
    <s v="DMH"/>
    <x v="3"/>
    <x v="0"/>
    <s v="07/01/2020"/>
    <s v="06/30/2021"/>
    <n v="7579011"/>
    <x v="3"/>
    <s v="07/01/2020"/>
    <s v="06/30/2021"/>
    <x v="3"/>
    <x v="7"/>
    <s v=""/>
    <s v=""/>
    <s v=""/>
    <x v="17"/>
    <n v="10200"/>
  </r>
  <r>
    <x v="2"/>
    <x v="9"/>
    <x v="34"/>
    <s v="DMH"/>
    <x v="0"/>
    <x v="0"/>
    <s v="07/01/2020"/>
    <s v="06/30/2021"/>
    <n v="8108884.79"/>
    <x v="0"/>
    <s v="07/01/2020"/>
    <s v="06/30/2021"/>
    <x v="0"/>
    <x v="0"/>
    <n v="99557"/>
    <n v="4103739.54"/>
    <n v="99557"/>
    <x v="109"/>
    <m/>
  </r>
  <r>
    <x v="2"/>
    <x v="9"/>
    <x v="34"/>
    <s v="DMH"/>
    <x v="7"/>
    <x v="0"/>
    <s v="07/01/2020"/>
    <s v="06/30/2021"/>
    <n v="8108884.79"/>
    <x v="7"/>
    <s v="07/01/2020"/>
    <s v="06/30/2021"/>
    <x v="7"/>
    <x v="8"/>
    <n v="4352"/>
    <n v="739317.76000000001"/>
    <n v="4352"/>
    <x v="110"/>
    <m/>
  </r>
  <r>
    <x v="2"/>
    <x v="9"/>
    <x v="34"/>
    <s v="DMH"/>
    <x v="1"/>
    <x v="0"/>
    <s v="07/01/2020"/>
    <s v="06/30/2021"/>
    <n v="8108884.79"/>
    <x v="1"/>
    <s v="07/01/2020"/>
    <s v="06/30/2021"/>
    <x v="1"/>
    <x v="1"/>
    <n v="3527"/>
    <n v="968161.5"/>
    <n v="3527"/>
    <x v="111"/>
    <m/>
  </r>
  <r>
    <x v="2"/>
    <x v="9"/>
    <x v="34"/>
    <s v="DMH"/>
    <x v="2"/>
    <x v="0"/>
    <s v="07/01/2020"/>
    <s v="06/30/2021"/>
    <n v="8108884.79"/>
    <x v="2"/>
    <s v="07/01/2020"/>
    <s v="06/30/2021"/>
    <x v="2"/>
    <x v="2"/>
    <n v="8928"/>
    <n v="1808544.96"/>
    <n v="8928"/>
    <x v="112"/>
    <m/>
  </r>
  <r>
    <x v="2"/>
    <x v="9"/>
    <x v="34"/>
    <s v="DMH"/>
    <x v="6"/>
    <x v="0"/>
    <s v="07/01/2020"/>
    <s v="06/30/2021"/>
    <n v="8108884.79"/>
    <x v="6"/>
    <s v="07/01/2020"/>
    <s v="06/30/2021"/>
    <x v="6"/>
    <x v="6"/>
    <n v="5307"/>
    <n v="479381.31"/>
    <n v="5307"/>
    <x v="113"/>
    <m/>
  </r>
  <r>
    <x v="2"/>
    <x v="9"/>
    <x v="35"/>
    <s v="DMH"/>
    <x v="3"/>
    <x v="1"/>
    <s v="07/01/2020"/>
    <s v="06/30/2021"/>
    <n v="399084"/>
    <x v="3"/>
    <s v="07/01/2020"/>
    <s v="06/30/2021"/>
    <x v="3"/>
    <x v="3"/>
    <m/>
    <n v="399084"/>
    <m/>
    <x v="114"/>
    <m/>
  </r>
  <r>
    <x v="2"/>
    <x v="9"/>
    <x v="35"/>
    <s v="DMH"/>
    <x v="3"/>
    <x v="2"/>
    <s v="07/01/2020"/>
    <s v="06/30/2021"/>
    <n v="526006.06000000006"/>
    <x v="3"/>
    <s v="07/01/2020"/>
    <s v="06/30/2021"/>
    <x v="3"/>
    <x v="3"/>
    <m/>
    <n v="511459.02"/>
    <m/>
    <x v="115"/>
    <m/>
  </r>
  <r>
    <x v="2"/>
    <x v="9"/>
    <x v="36"/>
    <s v="DMH"/>
    <x v="0"/>
    <x v="0"/>
    <s v="07/01/2020"/>
    <s v="06/30/2021"/>
    <n v="11644012.310000001"/>
    <x v="0"/>
    <s v="07/01/2020"/>
    <s v="06/30/2021"/>
    <x v="0"/>
    <x v="0"/>
    <n v="116662"/>
    <n v="4808807.6399999997"/>
    <n v="116176"/>
    <x v="116"/>
    <s v=""/>
  </r>
  <r>
    <x v="2"/>
    <x v="9"/>
    <x v="36"/>
    <s v="DMH"/>
    <x v="7"/>
    <x v="0"/>
    <s v="07/01/2020"/>
    <s v="06/30/2021"/>
    <n v="11644012.310000001"/>
    <x v="7"/>
    <s v="07/01/2020"/>
    <s v="06/30/2021"/>
    <x v="7"/>
    <x v="8"/>
    <n v="11268"/>
    <n v="1914207.84"/>
    <n v="11238"/>
    <x v="117"/>
    <s v=""/>
  </r>
  <r>
    <x v="2"/>
    <x v="9"/>
    <x v="36"/>
    <s v="DMH"/>
    <x v="1"/>
    <x v="0"/>
    <s v="07/01/2020"/>
    <s v="06/30/2021"/>
    <n v="11644012.310000001"/>
    <x v="1"/>
    <s v="07/01/2020"/>
    <s v="06/30/2021"/>
    <x v="1"/>
    <x v="1"/>
    <n v="14585"/>
    <n v="4003582.5"/>
    <n v="14546"/>
    <x v="118"/>
    <s v=""/>
  </r>
  <r>
    <x v="2"/>
    <x v="9"/>
    <x v="36"/>
    <s v="DMH"/>
    <x v="2"/>
    <x v="0"/>
    <s v="07/01/2020"/>
    <s v="06/30/2021"/>
    <n v="11644012.310000001"/>
    <x v="2"/>
    <s v="07/01/2020"/>
    <s v="06/30/2021"/>
    <x v="2"/>
    <x v="2"/>
    <n v="2920"/>
    <n v="591504.4"/>
    <n v="2920"/>
    <x v="119"/>
    <s v=""/>
  </r>
  <r>
    <x v="2"/>
    <x v="9"/>
    <x v="36"/>
    <s v="DMH"/>
    <x v="6"/>
    <x v="0"/>
    <s v="07/01/2020"/>
    <s v="06/30/2021"/>
    <n v="11644012.310000001"/>
    <x v="6"/>
    <s v="07/01/2020"/>
    <s v="06/30/2021"/>
    <x v="6"/>
    <x v="6"/>
    <n v="4005"/>
    <n v="361771.65"/>
    <n v="4005"/>
    <x v="120"/>
    <s v=""/>
  </r>
  <r>
    <x v="2"/>
    <x v="9"/>
    <x v="37"/>
    <s v="DMH"/>
    <x v="3"/>
    <x v="1"/>
    <s v="07/01/2020"/>
    <s v="06/30/2021"/>
    <n v="360726"/>
    <x v="3"/>
    <s v="07/01/2020"/>
    <s v="06/30/2021"/>
    <x v="3"/>
    <x v="3"/>
    <m/>
    <n v="353121.41"/>
    <m/>
    <x v="121"/>
    <s v=""/>
  </r>
  <r>
    <x v="2"/>
    <x v="9"/>
    <x v="37"/>
    <s v="DMH"/>
    <x v="3"/>
    <x v="2"/>
    <s v="07/01/2020"/>
    <s v="06/30/2021"/>
    <n v="799290.11"/>
    <x v="3"/>
    <s v="07/01/2020"/>
    <s v="06/30/2021"/>
    <x v="3"/>
    <x v="3"/>
    <m/>
    <n v="794594.2"/>
    <m/>
    <x v="122"/>
    <s v=""/>
  </r>
  <r>
    <x v="2"/>
    <x v="9"/>
    <x v="38"/>
    <s v="DMH"/>
    <x v="0"/>
    <x v="0"/>
    <s v="07/01/2020"/>
    <s v="06/30/2021"/>
    <n v="7212260.8899999997"/>
    <x v="0"/>
    <s v="07/01/2020"/>
    <s v="06/30/2021"/>
    <x v="0"/>
    <x v="0"/>
    <n v="57599"/>
    <n v="2374230.7799999998"/>
    <n v="57599"/>
    <x v="123"/>
    <s v=""/>
  </r>
  <r>
    <x v="2"/>
    <x v="9"/>
    <x v="38"/>
    <s v="DMH"/>
    <x v="7"/>
    <x v="0"/>
    <s v="07/01/2020"/>
    <s v="06/30/2021"/>
    <n v="7212260.8899999997"/>
    <x v="7"/>
    <s v="07/01/2020"/>
    <s v="06/30/2021"/>
    <x v="7"/>
    <x v="8"/>
    <n v="6998"/>
    <n v="1188820.24"/>
    <n v="6998"/>
    <x v="124"/>
    <s v=""/>
  </r>
  <r>
    <x v="2"/>
    <x v="9"/>
    <x v="38"/>
    <s v="DMH"/>
    <x v="1"/>
    <x v="0"/>
    <s v="07/01/2020"/>
    <s v="06/30/2021"/>
    <n v="7212260.8899999997"/>
    <x v="1"/>
    <s v="07/01/2020"/>
    <s v="06/30/2021"/>
    <x v="1"/>
    <x v="1"/>
    <n v="5289"/>
    <n v="1451830.5"/>
    <n v="5289"/>
    <x v="125"/>
    <s v=""/>
  </r>
  <r>
    <x v="2"/>
    <x v="9"/>
    <x v="38"/>
    <s v="DMH"/>
    <x v="2"/>
    <x v="0"/>
    <s v="07/01/2020"/>
    <s v="06/30/2021"/>
    <n v="7212260.8899999997"/>
    <x v="2"/>
    <s v="07/01/2020"/>
    <s v="06/30/2021"/>
    <x v="2"/>
    <x v="2"/>
    <n v="2640"/>
    <n v="534784.80000000005"/>
    <n v="2610"/>
    <x v="126"/>
    <s v=""/>
  </r>
  <r>
    <x v="2"/>
    <x v="9"/>
    <x v="38"/>
    <s v="DMH"/>
    <x v="5"/>
    <x v="0"/>
    <s v="07/01/2020"/>
    <s v="06/30/2021"/>
    <n v="7212260.8899999997"/>
    <x v="5"/>
    <s v="07/01/2020"/>
    <s v="06/30/2021"/>
    <x v="5"/>
    <x v="5"/>
    <n v="1523"/>
    <n v="602605.41"/>
    <n v="1493"/>
    <x v="127"/>
    <s v=""/>
  </r>
  <r>
    <x v="2"/>
    <x v="9"/>
    <x v="38"/>
    <s v="DMH"/>
    <x v="10"/>
    <x v="0"/>
    <s v="07/01/2020"/>
    <s v="06/30/2021"/>
    <n v="7212260.8899999997"/>
    <x v="10"/>
    <s v="07/01/2020"/>
    <s v="06/30/2021"/>
    <x v="10"/>
    <x v="11"/>
    <n v="2903"/>
    <n v="952851.69"/>
    <n v="2875"/>
    <x v="128"/>
    <s v=""/>
  </r>
  <r>
    <x v="2"/>
    <x v="9"/>
    <x v="39"/>
    <s v="DMH"/>
    <x v="3"/>
    <x v="1"/>
    <s v="07/01/2020"/>
    <s v="06/30/2021"/>
    <n v="301283"/>
    <x v="3"/>
    <s v="07/01/2020"/>
    <s v="06/30/2021"/>
    <x v="3"/>
    <x v="3"/>
    <m/>
    <n v="266190.44"/>
    <m/>
    <x v="129"/>
    <s v=""/>
  </r>
  <r>
    <x v="2"/>
    <x v="9"/>
    <x v="39"/>
    <s v="DMH"/>
    <x v="3"/>
    <x v="2"/>
    <s v="07/01/2020"/>
    <s v="06/30/2021"/>
    <n v="543770.67000000004"/>
    <x v="3"/>
    <s v="07/01/2020"/>
    <s v="06/30/2021"/>
    <x v="3"/>
    <x v="3"/>
    <m/>
    <n v="529564.19999999995"/>
    <m/>
    <x v="130"/>
    <s v=""/>
  </r>
  <r>
    <x v="2"/>
    <x v="10"/>
    <x v="40"/>
    <s v="DMH"/>
    <x v="0"/>
    <x v="0"/>
    <s v="07/01/2020"/>
    <s v="06/30/2021"/>
    <n v="6769539.21"/>
    <x v="0"/>
    <s v="07/01/2020"/>
    <s v="06/30/2021"/>
    <x v="0"/>
    <x v="0"/>
    <n v="64979"/>
    <n v="2678434.38"/>
    <n v="64979"/>
    <x v="131"/>
    <s v=""/>
  </r>
  <r>
    <x v="2"/>
    <x v="10"/>
    <x v="40"/>
    <s v="DMH"/>
    <x v="1"/>
    <x v="0"/>
    <s v="07/01/2020"/>
    <s v="06/30/2021"/>
    <n v="6769539.21"/>
    <x v="1"/>
    <s v="07/01/2020"/>
    <s v="06/30/2021"/>
    <x v="1"/>
    <x v="1"/>
    <n v="8358"/>
    <n v="2294271"/>
    <n v="8358"/>
    <x v="132"/>
    <s v=""/>
  </r>
  <r>
    <x v="2"/>
    <x v="10"/>
    <x v="40"/>
    <s v="DMH"/>
    <x v="2"/>
    <x v="0"/>
    <s v="07/01/2020"/>
    <s v="06/30/2021"/>
    <n v="6769539.21"/>
    <x v="2"/>
    <s v="07/01/2020"/>
    <s v="06/30/2021"/>
    <x v="2"/>
    <x v="2"/>
    <n v="8761"/>
    <n v="1774715.77"/>
    <n v="8761"/>
    <x v="133"/>
    <s v=""/>
  </r>
  <r>
    <x v="2"/>
    <x v="10"/>
    <x v="41"/>
    <s v="DMH"/>
    <x v="3"/>
    <x v="1"/>
    <s v="07/01/2020"/>
    <s v="06/30/2021"/>
    <n v="179274"/>
    <x v="3"/>
    <s v="07/01/2020"/>
    <s v="06/30/2021"/>
    <x v="3"/>
    <x v="3"/>
    <m/>
    <n v="179274"/>
    <m/>
    <x v="134"/>
    <s v=""/>
  </r>
  <r>
    <x v="2"/>
    <x v="10"/>
    <x v="41"/>
    <s v="DMH"/>
    <x v="3"/>
    <x v="2"/>
    <s v="07/01/2020"/>
    <s v="06/30/2021"/>
    <n v="334877.78999999998"/>
    <x v="3"/>
    <s v="07/01/2020"/>
    <s v="06/30/2021"/>
    <x v="3"/>
    <x v="3"/>
    <m/>
    <n v="331336"/>
    <m/>
    <x v="135"/>
    <s v=""/>
  </r>
  <r>
    <x v="3"/>
    <x v="11"/>
    <x v="42"/>
    <s v="DMH"/>
    <x v="0"/>
    <x v="0"/>
    <s v="07/01/2020"/>
    <s v="06/30/2021"/>
    <n v="7264536.5999999996"/>
    <x v="0"/>
    <s v="07/01/2020"/>
    <s v="06/30/2021"/>
    <x v="0"/>
    <x v="0"/>
    <n v="48105"/>
    <n v="1982888.1"/>
    <n v="48105"/>
    <x v="136"/>
    <s v=""/>
  </r>
  <r>
    <x v="3"/>
    <x v="11"/>
    <x v="42"/>
    <s v="DMH"/>
    <x v="7"/>
    <x v="0"/>
    <s v="07/01/2020"/>
    <s v="06/30/2021"/>
    <n v="7264536.5999999996"/>
    <x v="7"/>
    <s v="07/01/2020"/>
    <s v="06/30/2021"/>
    <x v="7"/>
    <x v="8"/>
    <n v="8777"/>
    <n v="1491036.76"/>
    <n v="8777"/>
    <x v="137"/>
    <s v=""/>
  </r>
  <r>
    <x v="3"/>
    <x v="11"/>
    <x v="42"/>
    <s v="DMH"/>
    <x v="1"/>
    <x v="0"/>
    <s v="07/01/2020"/>
    <s v="06/30/2021"/>
    <n v="7125881"/>
    <x v="1"/>
    <s v="07/01/2020"/>
    <s v="06/30/2021"/>
    <x v="3"/>
    <x v="3"/>
    <m/>
    <m/>
    <m/>
    <x v="105"/>
    <s v=""/>
  </r>
  <r>
    <x v="3"/>
    <x v="11"/>
    <x v="42"/>
    <s v="DMH"/>
    <x v="2"/>
    <x v="0"/>
    <s v="07/01/2020"/>
    <s v="06/30/2021"/>
    <n v="7264536.5999999996"/>
    <x v="2"/>
    <s v="07/01/2020"/>
    <s v="06/30/2021"/>
    <x v="2"/>
    <x v="2"/>
    <n v="13424"/>
    <n v="2719299.68"/>
    <n v="13424"/>
    <x v="138"/>
    <s v=""/>
  </r>
  <r>
    <x v="3"/>
    <x v="11"/>
    <x v="42"/>
    <s v="DMH"/>
    <x v="12"/>
    <x v="0"/>
    <s v="07/01/2020"/>
    <s v="06/30/2021"/>
    <n v="7125881"/>
    <x v="12"/>
    <s v="07/01/2020"/>
    <s v="06/30/2021"/>
    <x v="3"/>
    <x v="3"/>
    <m/>
    <m/>
    <m/>
    <x v="105"/>
    <s v=""/>
  </r>
  <r>
    <x v="3"/>
    <x v="11"/>
    <x v="42"/>
    <s v="DMH"/>
    <x v="10"/>
    <x v="0"/>
    <s v="07/01/2020"/>
    <s v="06/30/2021"/>
    <n v="7264536.5999999996"/>
    <x v="10"/>
    <s v="07/01/2020"/>
    <s v="06/30/2021"/>
    <x v="10"/>
    <x v="11"/>
    <n v="2920"/>
    <n v="958431.6"/>
    <n v="2920"/>
    <x v="62"/>
    <s v=""/>
  </r>
  <r>
    <x v="3"/>
    <x v="11"/>
    <x v="43"/>
    <s v="DMH"/>
    <x v="3"/>
    <x v="1"/>
    <s v="07/01/2020"/>
    <s v="06/30/2021"/>
    <n v="105216"/>
    <x v="3"/>
    <s v="07/01/2020"/>
    <s v="06/30/2021"/>
    <x v="3"/>
    <x v="3"/>
    <m/>
    <n v="105216"/>
    <m/>
    <x v="139"/>
    <s v=""/>
  </r>
  <r>
    <x v="3"/>
    <x v="11"/>
    <x v="43"/>
    <s v="DMH"/>
    <x v="3"/>
    <x v="2"/>
    <s v="07/01/2020"/>
    <s v="06/30/2021"/>
    <n v="280220.79999999999"/>
    <x v="3"/>
    <s v="07/01/2020"/>
    <s v="06/30/2021"/>
    <x v="3"/>
    <x v="3"/>
    <m/>
    <n v="280220.79999999999"/>
    <m/>
    <x v="140"/>
    <s v=""/>
  </r>
  <r>
    <x v="3"/>
    <x v="12"/>
    <x v="44"/>
    <s v="DMH"/>
    <x v="0"/>
    <x v="0"/>
    <s v="07/01/2020"/>
    <s v="06/30/2021"/>
    <n v="9103260.5999999996"/>
    <x v="0"/>
    <s v="07/01/2020"/>
    <s v="06/30/2021"/>
    <x v="0"/>
    <x v="0"/>
    <n v="62435"/>
    <n v="2573570.7000000002"/>
    <n v="62435"/>
    <x v="141"/>
    <s v=""/>
  </r>
  <r>
    <x v="3"/>
    <x v="12"/>
    <x v="44"/>
    <s v="DMH"/>
    <x v="1"/>
    <x v="0"/>
    <s v="07/01/2020"/>
    <s v="06/30/2021"/>
    <n v="9103260.5999999996"/>
    <x v="1"/>
    <s v="07/01/2020"/>
    <s v="06/30/2021"/>
    <x v="1"/>
    <x v="1"/>
    <n v="4787"/>
    <n v="1314031.5"/>
    <n v="4787"/>
    <x v="142"/>
    <s v=""/>
  </r>
  <r>
    <x v="3"/>
    <x v="12"/>
    <x v="44"/>
    <s v="DMH"/>
    <x v="2"/>
    <x v="0"/>
    <s v="07/01/2020"/>
    <s v="06/30/2021"/>
    <n v="9103260.5999999996"/>
    <x v="2"/>
    <s v="07/01/2020"/>
    <s v="06/30/2021"/>
    <x v="2"/>
    <x v="2"/>
    <n v="17818"/>
    <n v="3609392.26"/>
    <n v="17818"/>
    <x v="143"/>
    <s v=""/>
  </r>
  <r>
    <x v="3"/>
    <x v="12"/>
    <x v="44"/>
    <s v="DMH"/>
    <x v="12"/>
    <x v="0"/>
    <s v="07/01/2020"/>
    <s v="06/30/2021"/>
    <n v="9103260.5999999996"/>
    <x v="12"/>
    <s v="07/01/2020"/>
    <s v="06/30/2021"/>
    <x v="12"/>
    <x v="13"/>
    <n v="1825"/>
    <n v="736606.5"/>
    <n v="1825"/>
    <x v="144"/>
    <s v=""/>
  </r>
  <r>
    <x v="3"/>
    <x v="12"/>
    <x v="44"/>
    <s v="DMH"/>
    <x v="5"/>
    <x v="0"/>
    <s v="07/01/2020"/>
    <s v="06/30/2021"/>
    <n v="8162057"/>
    <x v="5"/>
    <s v="07/01/2020"/>
    <s v="06/30/2021"/>
    <x v="3"/>
    <x v="3"/>
    <m/>
    <m/>
    <m/>
    <x v="105"/>
    <s v=""/>
  </r>
  <r>
    <x v="3"/>
    <x v="12"/>
    <x v="44"/>
    <s v="DMH"/>
    <x v="10"/>
    <x v="0"/>
    <s v="07/01/2020"/>
    <s v="06/30/2021"/>
    <n v="9103260.5999999996"/>
    <x v="10"/>
    <s v="07/01/2020"/>
    <s v="06/30/2021"/>
    <x v="10"/>
    <x v="11"/>
    <n v="2323"/>
    <n v="762478.29"/>
    <n v="2323"/>
    <x v="145"/>
    <s v=""/>
  </r>
  <r>
    <x v="3"/>
    <x v="12"/>
    <x v="45"/>
    <s v="DMH"/>
    <x v="3"/>
    <x v="1"/>
    <s v="07/01/2020"/>
    <s v="06/30/2021"/>
    <n v="129316"/>
    <x v="3"/>
    <s v="07/01/2020"/>
    <s v="06/30/2021"/>
    <x v="3"/>
    <x v="3"/>
    <m/>
    <n v="128376.01"/>
    <m/>
    <x v="146"/>
    <s v=""/>
  </r>
  <r>
    <x v="3"/>
    <x v="12"/>
    <x v="45"/>
    <s v="DMH"/>
    <x v="3"/>
    <x v="2"/>
    <s v="07/01/2020"/>
    <s v="06/30/2021"/>
    <n v="528397.4"/>
    <x v="3"/>
    <s v="07/01/2020"/>
    <s v="06/30/2021"/>
    <x v="3"/>
    <x v="3"/>
    <m/>
    <n v="526647.19999999995"/>
    <m/>
    <x v="147"/>
    <s v=""/>
  </r>
  <r>
    <x v="3"/>
    <x v="12"/>
    <x v="46"/>
    <s v="DMH"/>
    <x v="0"/>
    <x v="0"/>
    <s v="07/01/2020"/>
    <s v="06/30/2021"/>
    <n v="3561290.4"/>
    <x v="0"/>
    <s v="07/01/2020"/>
    <s v="06/30/2021"/>
    <x v="0"/>
    <x v="0"/>
    <n v="29119"/>
    <n v="1200285.18"/>
    <n v="29119"/>
    <x v="148"/>
    <s v=""/>
  </r>
  <r>
    <x v="3"/>
    <x v="12"/>
    <x v="46"/>
    <s v="DMH"/>
    <x v="1"/>
    <x v="0"/>
    <s v="07/01/2020"/>
    <s v="06/30/2021"/>
    <n v="3561290.4"/>
    <x v="1"/>
    <s v="07/01/2020"/>
    <s v="06/30/2021"/>
    <x v="1"/>
    <x v="1"/>
    <n v="4380"/>
    <n v="1202310"/>
    <n v="4380"/>
    <x v="149"/>
    <s v=""/>
  </r>
  <r>
    <x v="3"/>
    <x v="12"/>
    <x v="46"/>
    <s v="DMH"/>
    <x v="5"/>
    <x v="0"/>
    <s v="07/01/2020"/>
    <s v="06/30/2021"/>
    <n v="3561290.4"/>
    <x v="5"/>
    <s v="07/01/2020"/>
    <s v="06/30/2021"/>
    <x v="5"/>
    <x v="5"/>
    <n v="2900"/>
    <n v="1147443"/>
    <n v="2900"/>
    <x v="150"/>
    <s v=""/>
  </r>
  <r>
    <x v="3"/>
    <x v="12"/>
    <x v="47"/>
    <s v="DMH"/>
    <x v="3"/>
    <x v="2"/>
    <s v="07/01/2020"/>
    <s v="06/30/2021"/>
    <n v="137893.20000000001"/>
    <x v="3"/>
    <s v="07/01/2020"/>
    <s v="06/30/2021"/>
    <x v="3"/>
    <x v="3"/>
    <m/>
    <n v="136697.20000000001"/>
    <m/>
    <x v="151"/>
    <s v=""/>
  </r>
  <r>
    <x v="3"/>
    <x v="12"/>
    <x v="47"/>
    <s v="DMH"/>
    <x v="3"/>
    <x v="1"/>
    <s v="07/01/2020"/>
    <s v="06/30/2021"/>
    <n v="70133"/>
    <x v="3"/>
    <s v="07/01/2020"/>
    <s v="06/30/2021"/>
    <x v="3"/>
    <x v="3"/>
    <m/>
    <n v="70133"/>
    <m/>
    <x v="152"/>
    <s v=""/>
  </r>
  <r>
    <x v="3"/>
    <x v="8"/>
    <x v="48"/>
    <s v="DMH"/>
    <x v="3"/>
    <x v="0"/>
    <s v="07/01/2020"/>
    <s v="06/30/2021"/>
    <n v="5266016"/>
    <x v="3"/>
    <s v="07/01/2020"/>
    <s v="06/30/2021"/>
    <x v="3"/>
    <x v="7"/>
    <s v=""/>
    <s v=""/>
    <s v=""/>
    <x v="17"/>
    <n v="22000"/>
  </r>
  <r>
    <x v="3"/>
    <x v="8"/>
    <x v="48"/>
    <s v="DMH"/>
    <x v="0"/>
    <x v="0"/>
    <s v="07/01/2020"/>
    <s v="06/30/2021"/>
    <n v="5365040.0999999996"/>
    <x v="0"/>
    <s v="07/01/2020"/>
    <s v="06/30/2021"/>
    <x v="0"/>
    <x v="0"/>
    <n v="21212"/>
    <n v="874358.64"/>
    <n v="21212"/>
    <x v="153"/>
    <m/>
  </r>
  <r>
    <x v="3"/>
    <x v="8"/>
    <x v="48"/>
    <s v="DMH"/>
    <x v="2"/>
    <x v="0"/>
    <s v="07/01/2020"/>
    <s v="06/30/2021"/>
    <n v="5365040.0999999996"/>
    <x v="2"/>
    <s v="07/01/2020"/>
    <s v="06/30/2021"/>
    <x v="2"/>
    <x v="2"/>
    <n v="17217"/>
    <n v="3487647.69"/>
    <n v="17217"/>
    <x v="154"/>
    <m/>
  </r>
  <r>
    <x v="3"/>
    <x v="8"/>
    <x v="48"/>
    <s v="DMH"/>
    <x v="10"/>
    <x v="0"/>
    <s v="07/01/2020"/>
    <s v="06/30/2021"/>
    <n v="5365040.0999999996"/>
    <x v="10"/>
    <s v="07/01/2020"/>
    <s v="06/30/2021"/>
    <x v="10"/>
    <x v="11"/>
    <n v="2885"/>
    <n v="946943.55"/>
    <n v="2885"/>
    <x v="155"/>
    <m/>
  </r>
  <r>
    <x v="3"/>
    <x v="8"/>
    <x v="49"/>
    <s v="DMH"/>
    <x v="3"/>
    <x v="1"/>
    <s v="07/01/2020"/>
    <s v="06/30/2021"/>
    <n v="34000"/>
    <x v="3"/>
    <s v="07/01/2020"/>
    <s v="06/30/2021"/>
    <x v="3"/>
    <x v="3"/>
    <m/>
    <n v="32468.06"/>
    <m/>
    <x v="156"/>
    <m/>
  </r>
  <r>
    <x v="3"/>
    <x v="8"/>
    <x v="49"/>
    <s v="DMH"/>
    <x v="3"/>
    <x v="2"/>
    <s v="07/01/2020"/>
    <s v="06/30/2021"/>
    <n v="167922.4"/>
    <x v="3"/>
    <s v="07/01/2020"/>
    <s v="06/30/2021"/>
    <x v="3"/>
    <x v="3"/>
    <m/>
    <n v="167416"/>
    <m/>
    <x v="157"/>
    <m/>
  </r>
  <r>
    <x v="3"/>
    <x v="8"/>
    <x v="50"/>
    <s v="DMH"/>
    <x v="0"/>
    <x v="0"/>
    <s v="07/01/2020"/>
    <s v="06/30/2021"/>
    <n v="9671083.8000000007"/>
    <x v="0"/>
    <s v="07/01/2020"/>
    <s v="06/30/2021"/>
    <x v="0"/>
    <x v="0"/>
    <n v="36432"/>
    <n v="1501727.04"/>
    <n v="36479"/>
    <x v="158"/>
    <s v=""/>
  </r>
  <r>
    <x v="3"/>
    <x v="8"/>
    <x v="50"/>
    <s v="DMH"/>
    <x v="7"/>
    <x v="0"/>
    <s v="07/01/2020"/>
    <s v="06/30/2021"/>
    <n v="9671083.8000000007"/>
    <x v="7"/>
    <s v="07/01/2020"/>
    <s v="06/30/2021"/>
    <x v="7"/>
    <x v="8"/>
    <n v="4353"/>
    <n v="739487.64"/>
    <n v="4324"/>
    <x v="159"/>
    <s v=""/>
  </r>
  <r>
    <x v="3"/>
    <x v="8"/>
    <x v="50"/>
    <s v="DMH"/>
    <x v="1"/>
    <x v="0"/>
    <s v="07/01/2020"/>
    <s v="06/30/2021"/>
    <n v="9671083.8000000007"/>
    <x v="1"/>
    <s v="07/01/2020"/>
    <s v="06/30/2021"/>
    <x v="1"/>
    <x v="1"/>
    <n v="9753"/>
    <n v="2677198.5"/>
    <n v="9753"/>
    <x v="160"/>
    <s v=""/>
  </r>
  <r>
    <x v="3"/>
    <x v="8"/>
    <x v="50"/>
    <s v="DMH"/>
    <x v="2"/>
    <x v="0"/>
    <s v="07/01/2020"/>
    <s v="06/30/2021"/>
    <n v="9671083.8000000007"/>
    <x v="2"/>
    <s v="07/01/2020"/>
    <s v="06/30/2021"/>
    <x v="2"/>
    <x v="2"/>
    <n v="17401"/>
    <n v="3524920.57"/>
    <n v="17401"/>
    <x v="161"/>
    <s v=""/>
  </r>
  <r>
    <x v="3"/>
    <x v="8"/>
    <x v="50"/>
    <s v="DMH"/>
    <x v="12"/>
    <x v="0"/>
    <s v="07/01/2020"/>
    <s v="06/30/2021"/>
    <n v="9671083.8000000007"/>
    <x v="12"/>
    <s v="07/01/2020"/>
    <s v="06/30/2021"/>
    <x v="12"/>
    <x v="13"/>
    <n v="1461"/>
    <n v="589688.81999999995"/>
    <n v="1461"/>
    <x v="162"/>
    <s v=""/>
  </r>
  <r>
    <x v="3"/>
    <x v="8"/>
    <x v="50"/>
    <s v="DMH"/>
    <x v="15"/>
    <x v="0"/>
    <s v="07/01/2020"/>
    <s v="06/30/2021"/>
    <n v="9483926"/>
    <x v="15"/>
    <s v="07/01/2020"/>
    <s v="06/30/2021"/>
    <x v="3"/>
    <x v="3"/>
    <m/>
    <m/>
    <m/>
    <x v="105"/>
    <s v=""/>
  </r>
  <r>
    <x v="3"/>
    <x v="8"/>
    <x v="50"/>
    <s v="DMH"/>
    <x v="11"/>
    <x v="0"/>
    <s v="07/01/2020"/>
    <s v="06/30/2021"/>
    <n v="9671083.8000000007"/>
    <x v="11"/>
    <s v="07/01/2020"/>
    <s v="06/30/2021"/>
    <x v="11"/>
    <x v="12"/>
    <n v="7270"/>
    <n v="561607.5"/>
    <n v="7270"/>
    <x v="163"/>
    <s v=""/>
  </r>
  <r>
    <x v="3"/>
    <x v="8"/>
    <x v="51"/>
    <s v="DMH"/>
    <x v="3"/>
    <x v="2"/>
    <s v="07/01/2020"/>
    <s v="06/30/2021"/>
    <n v="752743.4"/>
    <x v="3"/>
    <s v="07/01/2020"/>
    <s v="06/30/2021"/>
    <x v="3"/>
    <x v="3"/>
    <m/>
    <n v="751943.4"/>
    <m/>
    <x v="164"/>
    <s v=""/>
  </r>
  <r>
    <x v="3"/>
    <x v="8"/>
    <x v="51"/>
    <s v="DMH"/>
    <x v="3"/>
    <x v="1"/>
    <s v="07/01/2020"/>
    <s v="06/30/2021"/>
    <n v="64000"/>
    <x v="3"/>
    <s v="07/01/2020"/>
    <s v="06/30/2021"/>
    <x v="3"/>
    <x v="3"/>
    <m/>
    <n v="53681.59"/>
    <m/>
    <x v="165"/>
    <s v=""/>
  </r>
  <r>
    <x v="3"/>
    <x v="13"/>
    <x v="52"/>
    <s v="DMH"/>
    <x v="0"/>
    <x v="0"/>
    <s v="07/01/2020"/>
    <s v="06/30/2021"/>
    <n v="6281171.8499999996"/>
    <x v="0"/>
    <s v="07/01/2020"/>
    <s v="06/30/2021"/>
    <x v="0"/>
    <x v="0"/>
    <n v="21016"/>
    <n v="866279.52"/>
    <n v="21016"/>
    <x v="166"/>
    <s v=""/>
  </r>
  <r>
    <x v="3"/>
    <x v="13"/>
    <x v="52"/>
    <s v="DMH"/>
    <x v="1"/>
    <x v="0"/>
    <s v="07/01/2020"/>
    <s v="06/30/2021"/>
    <n v="6281171.8499999996"/>
    <x v="1"/>
    <s v="07/01/2020"/>
    <s v="06/30/2021"/>
    <x v="1"/>
    <x v="1"/>
    <n v="6204"/>
    <n v="1702998"/>
    <n v="6204"/>
    <x v="167"/>
    <s v=""/>
  </r>
  <r>
    <x v="3"/>
    <x v="13"/>
    <x v="52"/>
    <s v="DMH"/>
    <x v="2"/>
    <x v="0"/>
    <s v="07/01/2020"/>
    <s v="06/30/2021"/>
    <n v="6281171.8499999996"/>
    <x v="2"/>
    <s v="07/01/2020"/>
    <s v="06/30/2021"/>
    <x v="2"/>
    <x v="2"/>
    <n v="8661"/>
    <n v="1754458.77"/>
    <n v="8661"/>
    <x v="168"/>
    <s v=""/>
  </r>
  <r>
    <x v="3"/>
    <x v="13"/>
    <x v="52"/>
    <s v="DMH"/>
    <x v="12"/>
    <x v="0"/>
    <s v="07/01/2020"/>
    <s v="06/30/2021"/>
    <n v="6281171.8499999996"/>
    <x v="12"/>
    <s v="07/01/2020"/>
    <s v="06/30/2021"/>
    <x v="12"/>
    <x v="13"/>
    <n v="2925"/>
    <n v="1180588.5"/>
    <n v="2925"/>
    <x v="169"/>
    <s v=""/>
  </r>
  <r>
    <x v="3"/>
    <x v="13"/>
    <x v="52"/>
    <s v="DMH"/>
    <x v="5"/>
    <x v="0"/>
    <s v="07/01/2020"/>
    <s v="06/30/2021"/>
    <n v="6281171.8499999996"/>
    <x v="5"/>
    <s v="07/01/2020"/>
    <s v="06/30/2021"/>
    <x v="5"/>
    <x v="5"/>
    <n v="1749"/>
    <n v="692026.83"/>
    <n v="1749"/>
    <x v="170"/>
    <s v=""/>
  </r>
  <r>
    <x v="3"/>
    <x v="13"/>
    <x v="53"/>
    <s v="DMH"/>
    <x v="3"/>
    <x v="1"/>
    <s v="07/01/2020"/>
    <s v="06/30/2021"/>
    <n v="81314"/>
    <x v="3"/>
    <s v="07/01/2020"/>
    <s v="06/30/2021"/>
    <x v="3"/>
    <x v="3"/>
    <m/>
    <n v="80267.94"/>
    <m/>
    <x v="171"/>
    <s v=""/>
  </r>
  <r>
    <x v="3"/>
    <x v="13"/>
    <x v="53"/>
    <s v="DMH"/>
    <x v="3"/>
    <x v="2"/>
    <s v="07/01/2020"/>
    <s v="06/30/2021"/>
    <n v="257513.8"/>
    <x v="3"/>
    <s v="07/01/2020"/>
    <s v="06/30/2021"/>
    <x v="3"/>
    <x v="3"/>
    <m/>
    <n v="257324.6"/>
    <m/>
    <x v="172"/>
    <s v=""/>
  </r>
  <r>
    <x v="3"/>
    <x v="14"/>
    <x v="54"/>
    <s v="DMH"/>
    <x v="0"/>
    <x v="0"/>
    <s v="07/01/2020"/>
    <s v="06/30/2021"/>
    <n v="6538263.1600000001"/>
    <x v="0"/>
    <s v="07/01/2020"/>
    <s v="06/30/2021"/>
    <x v="0"/>
    <x v="0"/>
    <n v="49446"/>
    <n v="2038164.12"/>
    <n v="49446"/>
    <x v="173"/>
    <s v=""/>
  </r>
  <r>
    <x v="3"/>
    <x v="14"/>
    <x v="54"/>
    <s v="DMH"/>
    <x v="7"/>
    <x v="0"/>
    <s v="07/01/2020"/>
    <s v="06/30/2021"/>
    <n v="6538263.1600000001"/>
    <x v="7"/>
    <s v="07/01/2020"/>
    <s v="06/30/2021"/>
    <x v="7"/>
    <x v="8"/>
    <n v="8025"/>
    <n v="1363287"/>
    <n v="8025"/>
    <x v="174"/>
    <s v=""/>
  </r>
  <r>
    <x v="3"/>
    <x v="14"/>
    <x v="54"/>
    <s v="DMH"/>
    <x v="1"/>
    <x v="0"/>
    <s v="07/01/2020"/>
    <s v="06/30/2021"/>
    <n v="6538263.1600000001"/>
    <x v="1"/>
    <s v="07/01/2020"/>
    <s v="06/30/2021"/>
    <x v="1"/>
    <x v="1"/>
    <n v="7280"/>
    <n v="1998360"/>
    <n v="7280"/>
    <x v="175"/>
    <s v=""/>
  </r>
  <r>
    <x v="3"/>
    <x v="14"/>
    <x v="54"/>
    <s v="DMH"/>
    <x v="2"/>
    <x v="0"/>
    <s v="07/01/2020"/>
    <s v="06/30/2021"/>
    <n v="6538263.1600000001"/>
    <x v="2"/>
    <s v="07/01/2020"/>
    <s v="06/30/2021"/>
    <x v="2"/>
    <x v="2"/>
    <n v="5464"/>
    <n v="1106842.48"/>
    <n v="5464"/>
    <x v="176"/>
    <s v=""/>
  </r>
  <r>
    <x v="3"/>
    <x v="14"/>
    <x v="55"/>
    <s v="DMH"/>
    <x v="3"/>
    <x v="2"/>
    <s v="07/01/2020"/>
    <s v="06/30/2021"/>
    <n v="391962.6"/>
    <x v="3"/>
    <s v="07/01/2020"/>
    <s v="06/30/2021"/>
    <x v="3"/>
    <x v="3"/>
    <m/>
    <n v="388980.4"/>
    <m/>
    <x v="177"/>
    <s v=""/>
  </r>
  <r>
    <x v="3"/>
    <x v="14"/>
    <x v="55"/>
    <s v="DMH"/>
    <x v="3"/>
    <x v="1"/>
    <s v="07/01/2020"/>
    <s v="06/30/2021"/>
    <n v="139410"/>
    <x v="3"/>
    <s v="07/01/2020"/>
    <s v="06/30/2021"/>
    <x v="3"/>
    <x v="3"/>
    <m/>
    <n v="120437.89"/>
    <m/>
    <x v="178"/>
    <s v=""/>
  </r>
  <r>
    <x v="3"/>
    <x v="14"/>
    <x v="56"/>
    <s v="DMH"/>
    <x v="0"/>
    <x v="0"/>
    <s v="07/01/2020"/>
    <s v="06/30/2021"/>
    <n v="5508514.2999999998"/>
    <x v="0"/>
    <s v="07/01/2020"/>
    <s v="06/30/2021"/>
    <x v="0"/>
    <x v="0"/>
    <n v="32010"/>
    <n v="1319452.2"/>
    <n v="32010"/>
    <x v="179"/>
    <s v=""/>
  </r>
  <r>
    <x v="3"/>
    <x v="14"/>
    <x v="56"/>
    <s v="DMH"/>
    <x v="1"/>
    <x v="0"/>
    <s v="07/01/2020"/>
    <s v="06/30/2021"/>
    <n v="5508514.2999999998"/>
    <x v="1"/>
    <s v="07/01/2020"/>
    <s v="06/30/2021"/>
    <x v="1"/>
    <x v="1"/>
    <n v="6570"/>
    <n v="1803465"/>
    <n v="6570"/>
    <x v="180"/>
    <s v=""/>
  </r>
  <r>
    <x v="3"/>
    <x v="14"/>
    <x v="56"/>
    <s v="DMH"/>
    <x v="2"/>
    <x v="0"/>
    <s v="07/01/2020"/>
    <s v="06/30/2021"/>
    <n v="5508514.2999999998"/>
    <x v="2"/>
    <s v="07/01/2020"/>
    <s v="06/30/2021"/>
    <x v="2"/>
    <x v="2"/>
    <n v="11653"/>
    <n v="2360548.21"/>
    <n v="11652"/>
    <x v="181"/>
    <s v=""/>
  </r>
  <r>
    <x v="3"/>
    <x v="14"/>
    <x v="57"/>
    <s v="DMH"/>
    <x v="3"/>
    <x v="1"/>
    <s v="07/01/2020"/>
    <s v="06/30/2021"/>
    <n v="159709"/>
    <x v="3"/>
    <s v="07/01/2020"/>
    <s v="06/30/2021"/>
    <x v="3"/>
    <x v="3"/>
    <m/>
    <n v="145685.51999999999"/>
    <m/>
    <x v="182"/>
    <s v=""/>
  </r>
  <r>
    <x v="3"/>
    <x v="14"/>
    <x v="57"/>
    <s v="DMH"/>
    <x v="3"/>
    <x v="2"/>
    <s v="07/01/2020"/>
    <s v="06/30/2021"/>
    <n v="599949.80000000005"/>
    <x v="3"/>
    <s v="07/01/2020"/>
    <s v="06/30/2021"/>
    <x v="3"/>
    <x v="3"/>
    <m/>
    <n v="598274"/>
    <m/>
    <x v="183"/>
    <s v=""/>
  </r>
  <r>
    <x v="4"/>
    <x v="15"/>
    <x v="58"/>
    <s v="DMH"/>
    <x v="0"/>
    <x v="0"/>
    <s v="07/01/2020"/>
    <s v="06/30/2021"/>
    <n v="31962605.600000001"/>
    <x v="0"/>
    <s v="07/01/2020"/>
    <s v="06/30/2021"/>
    <x v="0"/>
    <x v="0"/>
    <n v="142567"/>
    <n v="5876611.7400000002"/>
    <n v="142383"/>
    <x v="184"/>
    <s v=""/>
  </r>
  <r>
    <x v="4"/>
    <x v="15"/>
    <x v="58"/>
    <s v="DMH"/>
    <x v="7"/>
    <x v="0"/>
    <s v="07/01/2020"/>
    <s v="06/30/2021"/>
    <n v="31962605.600000001"/>
    <x v="7"/>
    <s v="07/01/2020"/>
    <s v="06/30/2021"/>
    <x v="7"/>
    <x v="8"/>
    <n v="60940"/>
    <n v="10352487.199999999"/>
    <n v="60910"/>
    <x v="185"/>
    <s v=""/>
  </r>
  <r>
    <x v="4"/>
    <x v="15"/>
    <x v="58"/>
    <s v="DMH"/>
    <x v="1"/>
    <x v="0"/>
    <s v="07/01/2020"/>
    <s v="06/30/2021"/>
    <n v="31962605.600000001"/>
    <x v="1"/>
    <s v="07/01/2020"/>
    <s v="06/30/2021"/>
    <x v="1"/>
    <x v="1"/>
    <n v="5812"/>
    <n v="1595394"/>
    <n v="5782"/>
    <x v="186"/>
    <s v=""/>
  </r>
  <r>
    <x v="4"/>
    <x v="15"/>
    <x v="58"/>
    <s v="DMH"/>
    <x v="2"/>
    <x v="0"/>
    <s v="07/01/2020"/>
    <s v="06/30/2021"/>
    <n v="31962605.600000001"/>
    <x v="2"/>
    <s v="07/01/2020"/>
    <s v="06/30/2021"/>
    <x v="2"/>
    <x v="2"/>
    <n v="46891"/>
    <n v="9498709.8699999992"/>
    <n v="46771"/>
    <x v="187"/>
    <s v=""/>
  </r>
  <r>
    <x v="4"/>
    <x v="15"/>
    <x v="58"/>
    <s v="DMH"/>
    <x v="8"/>
    <x v="0"/>
    <s v="07/01/2020"/>
    <s v="06/30/2021"/>
    <n v="31962605.600000001"/>
    <x v="8"/>
    <s v="07/01/2020"/>
    <s v="06/30/2021"/>
    <x v="8"/>
    <x v="9"/>
    <n v="6100"/>
    <n v="1868491"/>
    <n v="6070"/>
    <x v="188"/>
    <s v=""/>
  </r>
  <r>
    <x v="4"/>
    <x v="15"/>
    <x v="58"/>
    <s v="DMH"/>
    <x v="6"/>
    <x v="0"/>
    <s v="07/01/2020"/>
    <s v="06/30/2021"/>
    <n v="31962605.600000001"/>
    <x v="6"/>
    <s v="07/01/2020"/>
    <s v="06/30/2021"/>
    <x v="6"/>
    <x v="6"/>
    <n v="5840"/>
    <n v="527527.19999999995"/>
    <n v="5840"/>
    <x v="189"/>
    <s v=""/>
  </r>
  <r>
    <x v="4"/>
    <x v="15"/>
    <x v="58"/>
    <s v="DMH"/>
    <x v="11"/>
    <x v="0"/>
    <s v="07/01/2020"/>
    <s v="06/30/2021"/>
    <n v="31962605.600000001"/>
    <x v="11"/>
    <s v="07/01/2020"/>
    <s v="06/30/2021"/>
    <x v="11"/>
    <x v="12"/>
    <n v="19493"/>
    <n v="1505834.25"/>
    <n v="19478"/>
    <x v="190"/>
    <s v=""/>
  </r>
  <r>
    <x v="4"/>
    <x v="15"/>
    <x v="58"/>
    <s v="DMH"/>
    <x v="16"/>
    <x v="0"/>
    <s v="07/01/2020"/>
    <s v="06/30/2021"/>
    <n v="31962605.600000001"/>
    <x v="16"/>
    <s v="07/01/2020"/>
    <s v="06/30/2021"/>
    <x v="15"/>
    <x v="16"/>
    <n v="12360"/>
    <n v="793141.2"/>
    <n v="12360"/>
    <x v="191"/>
    <s v=""/>
  </r>
  <r>
    <x v="4"/>
    <x v="15"/>
    <x v="59"/>
    <s v="DMH"/>
    <x v="3"/>
    <x v="1"/>
    <s v="07/01/2020"/>
    <s v="06/30/2021"/>
    <n v="194719"/>
    <x v="3"/>
    <s v="07/01/2020"/>
    <s v="06/30/2021"/>
    <x v="3"/>
    <x v="3"/>
    <m/>
    <n v="194719"/>
    <m/>
    <x v="192"/>
    <s v=""/>
  </r>
  <r>
    <x v="4"/>
    <x v="15"/>
    <x v="59"/>
    <s v="DMH"/>
    <x v="3"/>
    <x v="2"/>
    <s v="07/01/2020"/>
    <s v="06/30/2021"/>
    <n v="3230016"/>
    <x v="3"/>
    <s v="07/01/2020"/>
    <s v="06/30/2021"/>
    <x v="3"/>
    <x v="3"/>
    <m/>
    <n v="3225918"/>
    <m/>
    <x v="193"/>
    <s v=""/>
  </r>
  <r>
    <x v="4"/>
    <x v="16"/>
    <x v="60"/>
    <s v="DMH"/>
    <x v="0"/>
    <x v="0"/>
    <s v="07/01/2020"/>
    <s v="06/30/2021"/>
    <n v="17872999.489999998"/>
    <x v="0"/>
    <s v="07/01/2020"/>
    <s v="06/30/2021"/>
    <x v="0"/>
    <x v="0"/>
    <n v="118653"/>
    <n v="4890876.66"/>
    <n v="118623"/>
    <x v="194"/>
    <s v=""/>
  </r>
  <r>
    <x v="4"/>
    <x v="16"/>
    <x v="60"/>
    <s v="DMH"/>
    <x v="7"/>
    <x v="0"/>
    <s v="07/01/2020"/>
    <s v="06/30/2021"/>
    <n v="17872999.489999998"/>
    <x v="7"/>
    <s v="07/01/2020"/>
    <s v="06/30/2021"/>
    <x v="7"/>
    <x v="8"/>
    <n v="12410"/>
    <n v="2108210.7999999998"/>
    <n v="12410"/>
    <x v="195"/>
    <s v=""/>
  </r>
  <r>
    <x v="4"/>
    <x v="16"/>
    <x v="60"/>
    <s v="DMH"/>
    <x v="1"/>
    <x v="0"/>
    <s v="07/01/2020"/>
    <s v="06/30/2021"/>
    <n v="17872999.489999998"/>
    <x v="1"/>
    <s v="07/01/2020"/>
    <s v="06/30/2021"/>
    <x v="1"/>
    <x v="1"/>
    <n v="9490"/>
    <n v="2605005"/>
    <n v="9490"/>
    <x v="196"/>
    <s v=""/>
  </r>
  <r>
    <x v="4"/>
    <x v="16"/>
    <x v="60"/>
    <s v="DMH"/>
    <x v="2"/>
    <x v="0"/>
    <s v="07/01/2020"/>
    <s v="06/30/2021"/>
    <n v="17872999.489999998"/>
    <x v="2"/>
    <s v="07/01/2020"/>
    <s v="06/30/2021"/>
    <x v="2"/>
    <x v="2"/>
    <n v="14996"/>
    <n v="3037739.72"/>
    <n v="14965"/>
    <x v="197"/>
    <s v=""/>
  </r>
  <r>
    <x v="4"/>
    <x v="16"/>
    <x v="60"/>
    <s v="DMH"/>
    <x v="17"/>
    <x v="0"/>
    <s v="07/01/2020"/>
    <s v="06/30/2021"/>
    <n v="17872999.489999998"/>
    <x v="17"/>
    <s v="07/01/2020"/>
    <s v="06/30/2021"/>
    <x v="16"/>
    <x v="17"/>
    <n v="4380"/>
    <n v="1156670.3999999999"/>
    <n v="4380"/>
    <x v="198"/>
    <s v=""/>
  </r>
  <r>
    <x v="4"/>
    <x v="16"/>
    <x v="60"/>
    <s v="DMH"/>
    <x v="18"/>
    <x v="0"/>
    <s v="07/01/2020"/>
    <s v="06/30/2021"/>
    <n v="17872999.489999998"/>
    <x v="18"/>
    <s v="07/01/2020"/>
    <s v="06/30/2021"/>
    <x v="17"/>
    <x v="18"/>
    <n v="4378"/>
    <n v="1003218.7"/>
    <n v="4378"/>
    <x v="199"/>
    <s v=""/>
  </r>
  <r>
    <x v="4"/>
    <x v="16"/>
    <x v="60"/>
    <s v="DMH"/>
    <x v="9"/>
    <x v="0"/>
    <s v="07/01/2020"/>
    <s v="06/30/2021"/>
    <n v="17872999.489999998"/>
    <x v="9"/>
    <s v="07/01/2020"/>
    <s v="06/30/2021"/>
    <x v="9"/>
    <x v="10"/>
    <n v="6143"/>
    <n v="2471513.19"/>
    <n v="6143"/>
    <x v="200"/>
    <s v=""/>
  </r>
  <r>
    <x v="4"/>
    <x v="16"/>
    <x v="60"/>
    <s v="DMH"/>
    <x v="5"/>
    <x v="0"/>
    <s v="07/01/2020"/>
    <s v="06/30/2021"/>
    <n v="17872999.489999998"/>
    <x v="5"/>
    <s v="07/01/2020"/>
    <s v="06/30/2021"/>
    <x v="5"/>
    <x v="5"/>
    <n v="1399"/>
    <n v="553542.32999999996"/>
    <n v="1399"/>
    <x v="201"/>
    <s v=""/>
  </r>
  <r>
    <x v="4"/>
    <x v="16"/>
    <x v="61"/>
    <s v="DMH"/>
    <x v="3"/>
    <x v="2"/>
    <s v="07/01/2020"/>
    <s v="06/30/2021"/>
    <n v="783604.8"/>
    <x v="3"/>
    <s v="07/01/2020"/>
    <s v="06/30/2021"/>
    <x v="3"/>
    <x v="3"/>
    <m/>
    <n v="783604.8"/>
    <m/>
    <x v="202"/>
    <s v=""/>
  </r>
  <r>
    <x v="4"/>
    <x v="16"/>
    <x v="61"/>
    <s v="DMH"/>
    <x v="3"/>
    <x v="1"/>
    <s v="07/01/2020"/>
    <s v="06/30/2021"/>
    <n v="316590"/>
    <x v="3"/>
    <s v="07/01/2020"/>
    <s v="06/30/2021"/>
    <x v="3"/>
    <x v="3"/>
    <m/>
    <n v="316590"/>
    <m/>
    <x v="203"/>
    <s v=""/>
  </r>
  <r>
    <x v="4"/>
    <x v="8"/>
    <x v="62"/>
    <s v="DMH"/>
    <x v="0"/>
    <x v="0"/>
    <s v="07/01/2020"/>
    <s v="06/30/2021"/>
    <n v="13093692.800000001"/>
    <x v="0"/>
    <s v="07/01/2020"/>
    <s v="06/30/2021"/>
    <x v="0"/>
    <x v="0"/>
    <n v="92432"/>
    <n v="3810047.04"/>
    <n v="92432"/>
    <x v="204"/>
    <s v=""/>
  </r>
  <r>
    <x v="4"/>
    <x v="8"/>
    <x v="62"/>
    <s v="DMH"/>
    <x v="7"/>
    <x v="0"/>
    <s v="07/01/2020"/>
    <s v="06/30/2021"/>
    <n v="13093692.800000001"/>
    <x v="7"/>
    <s v="07/01/2020"/>
    <s v="06/30/2021"/>
    <x v="7"/>
    <x v="8"/>
    <n v="10914"/>
    <n v="1854070.32"/>
    <n v="10914"/>
    <x v="205"/>
    <s v=""/>
  </r>
  <r>
    <x v="4"/>
    <x v="8"/>
    <x v="62"/>
    <s v="DMH"/>
    <x v="1"/>
    <x v="0"/>
    <s v="07/01/2020"/>
    <s v="06/30/2021"/>
    <n v="13093692.800000001"/>
    <x v="1"/>
    <s v="07/01/2020"/>
    <s v="06/30/2021"/>
    <x v="1"/>
    <x v="1"/>
    <n v="6492"/>
    <n v="1782054"/>
    <n v="6462"/>
    <x v="206"/>
    <s v=""/>
  </r>
  <r>
    <x v="4"/>
    <x v="8"/>
    <x v="62"/>
    <s v="DMH"/>
    <x v="2"/>
    <x v="0"/>
    <s v="07/01/2020"/>
    <s v="06/30/2021"/>
    <n v="13093692.800000001"/>
    <x v="2"/>
    <s v="07/01/2020"/>
    <s v="06/30/2021"/>
    <x v="2"/>
    <x v="2"/>
    <n v="27570"/>
    <n v="5584854.9000000004"/>
    <n v="27570"/>
    <x v="207"/>
    <s v=""/>
  </r>
  <r>
    <x v="4"/>
    <x v="8"/>
    <x v="63"/>
    <s v="DMH"/>
    <x v="3"/>
    <x v="1"/>
    <s v="07/01/2020"/>
    <s v="06/30/2021"/>
    <n v="198333"/>
    <x v="3"/>
    <s v="07/01/2020"/>
    <s v="06/30/2021"/>
    <x v="3"/>
    <x v="3"/>
    <m/>
    <n v="198333"/>
    <m/>
    <x v="208"/>
    <s v=""/>
  </r>
  <r>
    <x v="4"/>
    <x v="8"/>
    <x v="63"/>
    <s v="DMH"/>
    <x v="3"/>
    <x v="2"/>
    <s v="07/01/2020"/>
    <s v="06/30/2021"/>
    <n v="504933.6"/>
    <x v="3"/>
    <s v="07/01/2020"/>
    <s v="06/30/2021"/>
    <x v="3"/>
    <x v="3"/>
    <m/>
    <n v="503603.6"/>
    <m/>
    <x v="209"/>
    <s v=""/>
  </r>
  <r>
    <x v="4"/>
    <x v="8"/>
    <x v="64"/>
    <s v="DMH"/>
    <x v="0"/>
    <x v="0"/>
    <s v="07/01/2020"/>
    <s v="06/30/2021"/>
    <n v="18223158.149999999"/>
    <x v="0"/>
    <s v="07/01/2020"/>
    <s v="06/30/2021"/>
    <x v="0"/>
    <x v="0"/>
    <n v="171743"/>
    <n v="7079246.46"/>
    <n v="171743"/>
    <x v="210"/>
    <s v=""/>
  </r>
  <r>
    <x v="4"/>
    <x v="8"/>
    <x v="64"/>
    <s v="DMH"/>
    <x v="7"/>
    <x v="0"/>
    <s v="07/01/2020"/>
    <s v="06/30/2021"/>
    <n v="18223158.149999999"/>
    <x v="7"/>
    <s v="07/01/2020"/>
    <s v="06/30/2021"/>
    <x v="7"/>
    <x v="8"/>
    <n v="24422"/>
    <n v="4148809.36"/>
    <n v="24422"/>
    <x v="211"/>
    <s v=""/>
  </r>
  <r>
    <x v="4"/>
    <x v="8"/>
    <x v="64"/>
    <s v="DMH"/>
    <x v="1"/>
    <x v="0"/>
    <s v="07/01/2020"/>
    <s v="06/30/2021"/>
    <n v="18223158.149999999"/>
    <x v="1"/>
    <s v="07/01/2020"/>
    <s v="06/30/2021"/>
    <x v="1"/>
    <x v="1"/>
    <n v="3619"/>
    <n v="993415.5"/>
    <n v="3619"/>
    <x v="212"/>
    <s v=""/>
  </r>
  <r>
    <x v="4"/>
    <x v="8"/>
    <x v="64"/>
    <s v="DMH"/>
    <x v="2"/>
    <x v="0"/>
    <s v="07/01/2020"/>
    <s v="06/30/2021"/>
    <n v="18223158.149999999"/>
    <x v="2"/>
    <s v="07/01/2020"/>
    <s v="06/30/2021"/>
    <x v="2"/>
    <x v="2"/>
    <n v="25093"/>
    <n v="5083089.01"/>
    <n v="25093"/>
    <x v="213"/>
    <s v=""/>
  </r>
  <r>
    <x v="4"/>
    <x v="8"/>
    <x v="64"/>
    <s v="DMH"/>
    <x v="6"/>
    <x v="0"/>
    <s v="07/01/2020"/>
    <s v="06/30/2021"/>
    <n v="18223158.149999999"/>
    <x v="6"/>
    <s v="07/01/2020"/>
    <s v="06/30/2021"/>
    <x v="6"/>
    <x v="6"/>
    <n v="10252"/>
    <n v="926063.16"/>
    <n v="10252"/>
    <x v="214"/>
    <s v=""/>
  </r>
  <r>
    <x v="4"/>
    <x v="8"/>
    <x v="65"/>
    <s v="DMH"/>
    <x v="3"/>
    <x v="2"/>
    <s v="07/01/2020"/>
    <s v="06/30/2021"/>
    <n v="728169.8"/>
    <x v="3"/>
    <s v="07/01/2020"/>
    <s v="06/30/2021"/>
    <x v="3"/>
    <x v="3"/>
    <m/>
    <n v="728169.8"/>
    <m/>
    <x v="215"/>
    <s v=""/>
  </r>
  <r>
    <x v="4"/>
    <x v="8"/>
    <x v="65"/>
    <s v="DMH"/>
    <x v="3"/>
    <x v="1"/>
    <s v="07/01/2020"/>
    <s v="06/30/2021"/>
    <n v="114612"/>
    <x v="3"/>
    <s v="07/01/2020"/>
    <s v="06/30/2021"/>
    <x v="3"/>
    <x v="3"/>
    <m/>
    <n v="114612"/>
    <m/>
    <x v="216"/>
    <s v=""/>
  </r>
  <r>
    <x v="5"/>
    <x v="17"/>
    <x v="66"/>
    <m/>
    <x v="19"/>
    <x v="3"/>
    <m/>
    <m/>
    <m/>
    <x v="19"/>
    <m/>
    <m/>
    <x v="18"/>
    <x v="3"/>
    <m/>
    <m/>
    <m/>
    <x v="10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PivotTable7" cacheId="0" applyNumberFormats="0" applyBorderFormats="0" applyFontFormats="0" applyPatternFormats="0" applyAlignmentFormats="0" applyWidthHeightFormats="1" dataCaption="Data" updatedVersion="7" showMemberPropertyTips="0" useAutoFormatting="1" itemPrintTitles="1" createdVersion="1" indent="0" compact="0" compactData="0" gridDropZones="1">
  <location ref="A3:I44" firstHeaderRow="1" firstDataRow="3" firstDataCol="3" rowPageCount="1" colPageCount="1"/>
  <pivotFields count="19">
    <pivotField axis="axisRow" compact="0" outline="0" showAll="0" includeNewItemsInFilter="1">
      <items count="7">
        <item n="WM" x="0"/>
        <item n="CM" x="1"/>
        <item n="NE" x="2"/>
        <item n="SE" x="3"/>
        <item n="MB" x="4"/>
        <item x="5"/>
        <item t="default"/>
      </items>
    </pivotField>
    <pivotField axis="axisRow" compact="0" outline="0" showAll="0" includeNewItemsInFilter="1" defaultSubtotal="0">
      <items count="18">
        <item x="7"/>
        <item x="15"/>
        <item x="3"/>
        <item x="4"/>
        <item x="0"/>
        <item x="13"/>
        <item x="2"/>
        <item x="12"/>
        <item x="6"/>
        <item x="9"/>
        <item x="11"/>
        <item x="16"/>
        <item x="5"/>
        <item x="1"/>
        <item x="14"/>
        <item x="10"/>
        <item x="8"/>
        <item x="17"/>
      </items>
    </pivotField>
    <pivotField axis="axisRow" compact="0" outline="0" showAll="0" includeNewItemsInFilter="1">
      <items count="68">
        <item x="0"/>
        <item x="1"/>
        <item x="2"/>
        <item x="3"/>
        <item x="4"/>
        <item x="5"/>
        <item x="6"/>
        <item x="7"/>
        <item x="8"/>
        <item x="9"/>
        <item x="10"/>
        <item x="11"/>
        <item x="12"/>
        <item x="13"/>
        <item x="16"/>
        <item x="17"/>
        <item x="14"/>
        <item x="15"/>
        <item x="18"/>
        <item x="19"/>
        <item x="20"/>
        <item x="21"/>
        <item x="22"/>
        <item x="23"/>
        <item x="24"/>
        <item x="25"/>
        <item x="26"/>
        <item x="27"/>
        <item x="28"/>
        <item x="29"/>
        <item x="30"/>
        <item x="31"/>
        <item x="32"/>
        <item x="33"/>
        <item x="34"/>
        <item x="35"/>
        <item x="36"/>
        <item x="37"/>
        <item x="40"/>
        <item x="41"/>
        <item x="38"/>
        <item x="39"/>
        <item x="42"/>
        <item x="43"/>
        <item x="44"/>
        <item x="45"/>
        <item x="46"/>
        <item x="47"/>
        <item x="48"/>
        <item x="49"/>
        <item x="50"/>
        <item x="51"/>
        <item x="52"/>
        <item x="53"/>
        <item x="54"/>
        <item x="55"/>
        <item x="56"/>
        <item x="57"/>
        <item x="58"/>
        <item x="59"/>
        <item x="60"/>
        <item x="61"/>
        <item x="62"/>
        <item x="63"/>
        <item x="64"/>
        <item x="65"/>
        <item x="66"/>
        <item t="default"/>
      </items>
    </pivotField>
    <pivotField compact="0" outline="0" showAll="0" includeNewItemsInFilter="1"/>
    <pivotField axis="axisPage" compact="0" outline="0" showAll="0" includeNewItemsInFilter="1">
      <items count="21">
        <item x="3"/>
        <item x="0"/>
        <item x="7"/>
        <item x="1"/>
        <item x="2"/>
        <item x="17"/>
        <item x="12"/>
        <item x="8"/>
        <item x="18"/>
        <item x="15"/>
        <item x="13"/>
        <item x="4"/>
        <item x="9"/>
        <item x="14"/>
        <item x="5"/>
        <item x="10"/>
        <item x="6"/>
        <item x="11"/>
        <item x="16"/>
        <item x="19"/>
        <item t="default"/>
      </items>
    </pivotField>
    <pivotField axis="axisCol" compact="0" outline="0" showAll="0" includeNewItemsInFilter="1">
      <items count="5">
        <item n="Contingency" x="1"/>
        <item n="Occupancy Mixed Unit*" x="2"/>
        <item h="1" x="0"/>
        <item h="1" x="3"/>
        <item t="default"/>
      </items>
    </pivotField>
    <pivotField compact="0" outline="0" showAll="0" includeNewItemsInFilter="1"/>
    <pivotField compact="0" outline="0" showAll="0" includeNewItemsInFilter="1"/>
    <pivotField dataField="1" compact="0" outline="0" showAll="0" includeNewItemsInFilter="1"/>
    <pivotField compact="0" outline="0" showAll="0" includeNewItemsInFilter="1" defaultSubtotal="0">
      <items count="20">
        <item x="3"/>
        <item x="0"/>
        <item x="7"/>
        <item x="1"/>
        <item x="2"/>
        <item x="17"/>
        <item x="12"/>
        <item x="8"/>
        <item x="18"/>
        <item x="15"/>
        <item x="13"/>
        <item x="4"/>
        <item x="9"/>
        <item x="14"/>
        <item x="5"/>
        <item x="10"/>
        <item x="6"/>
        <item x="11"/>
        <item x="16"/>
        <item h="1" x="19"/>
      </items>
    </pivotField>
    <pivotField compact="0" outline="0" showAll="0" includeNewItemsInFilter="1"/>
    <pivotField compact="0" outline="0" showAll="0" includeNewItemsInFilter="1"/>
    <pivotField compact="0" outline="0" showAll="0" includeNewItemsInFilter="1"/>
    <pivotField compact="0" outline="0" showAll="0" includeNewItemsInFilter="1" defaultSubtotal="0">
      <items count="19">
        <item x="0"/>
        <item x="16"/>
        <item x="12"/>
        <item x="6"/>
        <item x="8"/>
        <item x="2"/>
        <item x="18"/>
        <item x="17"/>
        <item x="1"/>
        <item x="15"/>
        <item x="9"/>
        <item x="11"/>
        <item x="14"/>
        <item x="5"/>
        <item x="10"/>
        <item x="13"/>
        <item x="4"/>
        <item x="7"/>
        <item x="3"/>
      </items>
    </pivotField>
    <pivotField compact="0" outline="0" showAll="0" includeNewItemsInFilter="1"/>
    <pivotField compact="0" outline="0" showAll="0" includeNewItemsInFilter="1"/>
    <pivotField compact="0" outline="0" showAll="0" includeNewItemsInFilter="1"/>
    <pivotField dataField="1" compact="0" outline="0" showAll="0" includeNewItemsInFilter="1">
      <items count="218">
        <item x="156"/>
        <item x="31"/>
        <item x="27"/>
        <item x="165"/>
        <item x="8"/>
        <item x="15"/>
        <item x="152"/>
        <item x="3"/>
        <item x="48"/>
        <item x="171"/>
        <item x="42"/>
        <item x="22"/>
        <item x="139"/>
        <item x="216"/>
        <item x="178"/>
        <item x="88"/>
        <item x="78"/>
        <item x="146"/>
        <item x="151"/>
        <item x="43"/>
        <item x="182"/>
        <item x="157"/>
        <item x="28"/>
        <item x="4"/>
        <item x="134"/>
        <item x="56"/>
        <item x="37"/>
        <item x="192"/>
        <item x="208"/>
        <item x="77"/>
        <item x="83"/>
        <item x="97"/>
        <item x="72"/>
        <item x="172"/>
        <item x="129"/>
        <item x="64"/>
        <item x="140"/>
        <item x="32"/>
        <item x="203"/>
        <item x="16"/>
        <item x="135"/>
        <item x="121"/>
        <item x="120"/>
        <item x="49"/>
        <item x="89"/>
        <item x="177"/>
        <item x="82"/>
        <item x="114"/>
        <item x="65"/>
        <item x="23"/>
        <item x="9"/>
        <item x="106"/>
        <item x="113"/>
        <item x="54"/>
        <item x="63"/>
        <item x="39"/>
        <item x="209"/>
        <item x="115"/>
        <item x="99"/>
        <item x="147"/>
        <item x="189"/>
        <item x="126"/>
        <item x="130"/>
        <item x="108"/>
        <item x="201"/>
        <item x="101"/>
        <item x="55"/>
        <item x="163"/>
        <item x="36"/>
        <item x="71"/>
        <item x="162"/>
        <item x="12"/>
        <item x="127"/>
        <item x="119"/>
        <item x="46"/>
        <item x="183"/>
        <item x="91"/>
        <item x="67"/>
        <item x="25"/>
        <item x="7"/>
        <item x="96"/>
        <item x="58"/>
        <item x="94"/>
        <item x="40"/>
        <item x="45"/>
        <item x="170"/>
        <item x="13"/>
        <item x="215"/>
        <item x="159"/>
        <item x="144"/>
        <item x="110"/>
        <item x="21"/>
        <item x="164"/>
        <item x="145"/>
        <item x="202"/>
        <item x="191"/>
        <item x="122"/>
        <item x="87"/>
        <item x="166"/>
        <item x="153"/>
        <item x="41"/>
        <item x="53"/>
        <item x="102"/>
        <item x="107"/>
        <item x="14"/>
        <item x="73"/>
        <item x="214"/>
        <item x="70"/>
        <item x="128"/>
        <item x="155"/>
        <item x="74"/>
        <item x="62"/>
        <item x="111"/>
        <item x="212"/>
        <item x="199"/>
        <item x="81"/>
        <item x="176"/>
        <item x="61"/>
        <item x="150"/>
        <item x="198"/>
        <item x="104"/>
        <item x="76"/>
        <item x="169"/>
        <item x="60"/>
        <item x="124"/>
        <item x="148"/>
        <item x="59"/>
        <item x="149"/>
        <item x="103"/>
        <item x="142"/>
        <item x="179"/>
        <item x="174"/>
        <item x="38"/>
        <item x="20"/>
        <item x="125"/>
        <item x="137"/>
        <item x="158"/>
        <item x="190"/>
        <item x="1"/>
        <item x="57"/>
        <item x="186"/>
        <item x="85"/>
        <item x="51"/>
        <item x="167"/>
        <item x="75"/>
        <item x="168"/>
        <item x="93"/>
        <item x="206"/>
        <item x="133"/>
        <item x="180"/>
        <item x="112"/>
        <item x="205"/>
        <item x="188"/>
        <item x="95"/>
        <item x="117"/>
        <item x="136"/>
        <item x="175"/>
        <item x="173"/>
        <item x="79"/>
        <item x="92"/>
        <item x="195"/>
        <item x="80"/>
        <item x="132"/>
        <item x="26"/>
        <item x="34"/>
        <item x="47"/>
        <item x="2"/>
        <item x="86"/>
        <item x="29"/>
        <item x="181"/>
        <item x="123"/>
        <item x="44"/>
        <item x="5"/>
        <item x="200"/>
        <item x="141"/>
        <item x="196"/>
        <item x="50"/>
        <item x="160"/>
        <item x="131"/>
        <item x="138"/>
        <item x="24"/>
        <item x="30"/>
        <item x="66"/>
        <item x="197"/>
        <item x="6"/>
        <item x="193"/>
        <item x="10"/>
        <item x="100"/>
        <item x="154"/>
        <item x="161"/>
        <item x="143"/>
        <item x="0"/>
        <item x="204"/>
        <item x="33"/>
        <item x="11"/>
        <item x="118"/>
        <item x="68"/>
        <item x="109"/>
        <item x="211"/>
        <item x="35"/>
        <item x="69"/>
        <item x="52"/>
        <item x="116"/>
        <item x="194"/>
        <item x="98"/>
        <item x="213"/>
        <item x="19"/>
        <item x="84"/>
        <item x="18"/>
        <item x="207"/>
        <item x="184"/>
        <item x="90"/>
        <item x="210"/>
        <item x="187"/>
        <item x="185"/>
        <item x="17"/>
        <item x="105"/>
        <item t="default"/>
      </items>
    </pivotField>
    <pivotField compact="0" outline="0" showAll="0" includeNewItemsInFilter="1"/>
  </pivotFields>
  <rowFields count="3">
    <field x="0"/>
    <field x="1"/>
    <field x="2"/>
  </rowFields>
  <rowItems count="39">
    <i>
      <x/>
      <x v="2"/>
      <x v="9"/>
    </i>
    <i r="1">
      <x v="4"/>
      <x v="1"/>
    </i>
    <i r="1">
      <x v="6"/>
      <x v="5"/>
    </i>
    <i r="2">
      <x v="7"/>
    </i>
    <i r="1">
      <x v="13"/>
      <x v="3"/>
    </i>
    <i r="2">
      <x v="11"/>
    </i>
    <i t="default">
      <x/>
    </i>
    <i>
      <x v="1"/>
      <x/>
      <x v="23"/>
    </i>
    <i r="2">
      <x v="25"/>
    </i>
    <i r="1">
      <x v="3"/>
      <x v="13"/>
    </i>
    <i r="2">
      <x v="17"/>
    </i>
    <i r="2">
      <x v="19"/>
    </i>
    <i r="1">
      <x v="8"/>
      <x v="21"/>
    </i>
    <i r="1">
      <x v="12"/>
      <x v="15"/>
    </i>
    <i r="2">
      <x v="27"/>
    </i>
    <i t="default">
      <x v="1"/>
    </i>
    <i>
      <x v="2"/>
      <x v="9"/>
      <x v="33"/>
    </i>
    <i r="2">
      <x v="35"/>
    </i>
    <i r="2">
      <x v="37"/>
    </i>
    <i r="2">
      <x v="41"/>
    </i>
    <i r="1">
      <x v="15"/>
      <x v="39"/>
    </i>
    <i r="1">
      <x v="16"/>
      <x v="29"/>
    </i>
    <i r="2">
      <x v="31"/>
    </i>
    <i t="default">
      <x v="2"/>
    </i>
    <i>
      <x v="3"/>
      <x v="5"/>
      <x v="53"/>
    </i>
    <i r="1">
      <x v="7"/>
      <x v="45"/>
    </i>
    <i r="2">
      <x v="47"/>
    </i>
    <i r="1">
      <x v="10"/>
      <x v="43"/>
    </i>
    <i r="1">
      <x v="14"/>
      <x v="55"/>
    </i>
    <i r="2">
      <x v="57"/>
    </i>
    <i r="1">
      <x v="16"/>
      <x v="49"/>
    </i>
    <i r="2">
      <x v="51"/>
    </i>
    <i t="default">
      <x v="3"/>
    </i>
    <i>
      <x v="4"/>
      <x v="1"/>
      <x v="59"/>
    </i>
    <i r="1">
      <x v="11"/>
      <x v="61"/>
    </i>
    <i r="1">
      <x v="16"/>
      <x v="63"/>
    </i>
    <i r="2">
      <x v="65"/>
    </i>
    <i t="default">
      <x v="4"/>
    </i>
    <i t="grand">
      <x/>
    </i>
  </rowItems>
  <colFields count="2">
    <field x="5"/>
    <field x="-2"/>
  </colFields>
  <colItems count="6">
    <i>
      <x/>
      <x/>
    </i>
    <i r="1" i="1">
      <x v="1"/>
    </i>
    <i>
      <x v="1"/>
      <x/>
    </i>
    <i r="1" i="1">
      <x v="1"/>
    </i>
    <i t="grand">
      <x/>
    </i>
    <i t="grand" i="1">
      <x/>
    </i>
  </colItems>
  <pageFields count="1">
    <pageField fld="4" hier="0"/>
  </pageFields>
  <dataFields count="2">
    <dataField name="Max Ob" fld="8" baseField="0" baseItem="0"/>
    <dataField name="Paid Amount" fld="17" baseField="13" baseItem="0" numFmtId="171"/>
  </dataFields>
  <formats count="100">
    <format dxfId="102">
      <pivotArea grandRow="1" outline="0" fieldPosition="0"/>
    </format>
    <format dxfId="101">
      <pivotArea dataOnly="0" labelOnly="1" outline="0" fieldPosition="0">
        <references count="2">
          <reference field="4294967294" count="1">
            <x v="1"/>
          </reference>
          <reference field="5" count="0" selected="0"/>
        </references>
      </pivotArea>
    </format>
    <format dxfId="100">
      <pivotArea dataOnly="0" labelOnly="1" outline="0" fieldPosition="0">
        <references count="2">
          <reference field="4294967294" count="1">
            <x v="1"/>
          </reference>
          <reference field="5" count="0" selected="0"/>
        </references>
      </pivotArea>
    </format>
    <format dxfId="99">
      <pivotArea field="9" type="button" dataOnly="0" labelOnly="1" outline="0"/>
    </format>
    <format dxfId="98">
      <pivotArea field="13" type="button" dataOnly="0" labelOnly="1" outline="0"/>
    </format>
    <format dxfId="97">
      <pivotArea field="5" dataOnly="0" labelOnly="1" grandCol="1" outline="0" axis="axisCol" fieldPosition="0">
        <references count="1">
          <reference field="4294967294" count="1" selected="0">
            <x v="1"/>
          </reference>
        </references>
      </pivotArea>
    </format>
    <format dxfId="96">
      <pivotArea dataOnly="0" labelOnly="1" outline="0" fieldPosition="0">
        <references count="2">
          <reference field="4294967294" count="1">
            <x v="1"/>
          </reference>
          <reference field="5" count="0" selected="0"/>
        </references>
      </pivotArea>
    </format>
    <format dxfId="95">
      <pivotArea field="5" grandRow="1" outline="0" axis="axisCol" fieldPosition="0">
        <references count="2">
          <reference field="4294967294" count="1" selected="0">
            <x v="1"/>
          </reference>
          <reference field="5" count="0" selected="0"/>
        </references>
      </pivotArea>
    </format>
    <format dxfId="94">
      <pivotArea outline="0" fieldPosition="0"/>
    </format>
    <format dxfId="93">
      <pivotArea grandRow="1" grandCol="1" outline="0" fieldPosition="0"/>
    </format>
    <format dxfId="92">
      <pivotArea dataOnly="0" labelOnly="1" outline="0" fieldPosition="0">
        <references count="1">
          <reference field="5" count="0"/>
        </references>
      </pivotArea>
    </format>
    <format dxfId="91">
      <pivotArea field="0" type="button" dataOnly="0" labelOnly="1" outline="0" axis="axisRow" fieldPosition="0"/>
    </format>
    <format dxfId="90">
      <pivotArea field="1" type="button" dataOnly="0" labelOnly="1" outline="0" axis="axisRow" fieldPosition="1"/>
    </format>
    <format dxfId="89">
      <pivotArea field="2" type="button" dataOnly="0" labelOnly="1" outline="0" axis="axisRow" fieldPosition="2"/>
    </format>
    <format dxfId="88">
      <pivotArea dataOnly="0" labelOnly="1" outline="0" fieldPosition="0">
        <references count="1">
          <reference field="5" count="0"/>
        </references>
      </pivotArea>
    </format>
    <format dxfId="87">
      <pivotArea dataOnly="0" labelOnly="1" grandCol="1" outline="0" fieldPosition="0"/>
    </format>
    <format dxfId="86">
      <pivotArea type="all" dataOnly="0" outline="0" fieldPosition="0"/>
    </format>
    <format dxfId="85">
      <pivotArea outline="0" fieldPosition="0"/>
    </format>
    <format dxfId="84">
      <pivotArea type="origin" dataOnly="0" labelOnly="1" outline="0" fieldPosition="0"/>
    </format>
    <format dxfId="83">
      <pivotArea field="5" type="button" dataOnly="0" labelOnly="1" outline="0" axis="axisCol" fieldPosition="0"/>
    </format>
    <format dxfId="82">
      <pivotArea type="topRight" dataOnly="0" labelOnly="1" outline="0" fieldPosition="0"/>
    </format>
    <format dxfId="81">
      <pivotArea field="0" type="button" dataOnly="0" labelOnly="1" outline="0" axis="axisRow" fieldPosition="0"/>
    </format>
    <format dxfId="80">
      <pivotArea field="1" type="button" dataOnly="0" labelOnly="1" outline="0" axis="axisRow" fieldPosition="1"/>
    </format>
    <format dxfId="79">
      <pivotArea field="2" type="button" dataOnly="0" labelOnly="1" outline="0" axis="axisRow" fieldPosition="2"/>
    </format>
    <format dxfId="78">
      <pivotArea dataOnly="0" labelOnly="1" outline="0" fieldPosition="0">
        <references count="1">
          <reference field="0" count="5">
            <x v="0"/>
            <x v="1"/>
            <x v="2"/>
            <x v="3"/>
            <x v="4"/>
          </reference>
        </references>
      </pivotArea>
    </format>
    <format dxfId="77">
      <pivotArea dataOnly="0" labelOnly="1" outline="0" fieldPosition="0">
        <references count="1">
          <reference field="0" count="5" defaultSubtotal="1">
            <x v="0"/>
            <x v="1"/>
            <x v="2"/>
            <x v="3"/>
            <x v="4"/>
          </reference>
        </references>
      </pivotArea>
    </format>
    <format dxfId="76">
      <pivotArea dataOnly="0" labelOnly="1" grandRow="1" outline="0" fieldPosition="0"/>
    </format>
    <format dxfId="75">
      <pivotArea dataOnly="0" labelOnly="1" outline="0" fieldPosition="0">
        <references count="2">
          <reference field="0" count="1" selected="0">
            <x v="0"/>
          </reference>
          <reference field="1" count="4">
            <x v="2"/>
            <x v="4"/>
            <x v="6"/>
            <x v="13"/>
          </reference>
        </references>
      </pivotArea>
    </format>
    <format dxfId="74">
      <pivotArea dataOnly="0" labelOnly="1" outline="0" fieldPosition="0">
        <references count="2">
          <reference field="0" count="1" selected="0">
            <x v="1"/>
          </reference>
          <reference field="1" count="4">
            <x v="0"/>
            <x v="3"/>
            <x v="8"/>
            <x v="12"/>
          </reference>
        </references>
      </pivotArea>
    </format>
    <format dxfId="73">
      <pivotArea dataOnly="0" labelOnly="1" outline="0" fieldPosition="0">
        <references count="2">
          <reference field="0" count="1" selected="0">
            <x v="2"/>
          </reference>
          <reference field="1" count="3">
            <x v="9"/>
            <x v="15"/>
            <x v="16"/>
          </reference>
        </references>
      </pivotArea>
    </format>
    <format dxfId="72">
      <pivotArea dataOnly="0" labelOnly="1" outline="0" fieldPosition="0">
        <references count="2">
          <reference field="0" count="1" selected="0">
            <x v="3"/>
          </reference>
          <reference field="1" count="5">
            <x v="5"/>
            <x v="7"/>
            <x v="10"/>
            <x v="14"/>
            <x v="16"/>
          </reference>
        </references>
      </pivotArea>
    </format>
    <format dxfId="71">
      <pivotArea dataOnly="0" labelOnly="1" outline="0" fieldPosition="0">
        <references count="2">
          <reference field="0" count="1" selected="0">
            <x v="4"/>
          </reference>
          <reference field="1" count="3">
            <x v="1"/>
            <x v="11"/>
            <x v="16"/>
          </reference>
        </references>
      </pivotArea>
    </format>
    <format dxfId="70">
      <pivotArea dataOnly="0" labelOnly="1" outline="0" fieldPosition="0">
        <references count="3">
          <reference field="0" count="1" selected="0">
            <x v="0"/>
          </reference>
          <reference field="1" count="1" selected="0">
            <x v="2"/>
          </reference>
          <reference field="2" count="1">
            <x v="9"/>
          </reference>
        </references>
      </pivotArea>
    </format>
    <format dxfId="69">
      <pivotArea dataOnly="0" labelOnly="1" outline="0" fieldPosition="0">
        <references count="3">
          <reference field="0" count="1" selected="0">
            <x v="0"/>
          </reference>
          <reference field="1" count="1" selected="0">
            <x v="4"/>
          </reference>
          <reference field="2" count="1">
            <x v="1"/>
          </reference>
        </references>
      </pivotArea>
    </format>
    <format dxfId="68">
      <pivotArea dataOnly="0" labelOnly="1" outline="0" fieldPosition="0">
        <references count="3">
          <reference field="0" count="1" selected="0">
            <x v="0"/>
          </reference>
          <reference field="1" count="1" selected="0">
            <x v="6"/>
          </reference>
          <reference field="2" count="2">
            <x v="5"/>
            <x v="7"/>
          </reference>
        </references>
      </pivotArea>
    </format>
    <format dxfId="67">
      <pivotArea dataOnly="0" labelOnly="1" outline="0" fieldPosition="0">
        <references count="3">
          <reference field="0" count="1" selected="0">
            <x v="0"/>
          </reference>
          <reference field="1" count="1" selected="0">
            <x v="13"/>
          </reference>
          <reference field="2" count="2">
            <x v="3"/>
            <x v="11"/>
          </reference>
        </references>
      </pivotArea>
    </format>
    <format dxfId="66">
      <pivotArea dataOnly="0" labelOnly="1" outline="0" fieldPosition="0">
        <references count="3">
          <reference field="0" count="1" selected="0">
            <x v="1"/>
          </reference>
          <reference field="1" count="1" selected="0">
            <x v="0"/>
          </reference>
          <reference field="2" count="2">
            <x v="23"/>
            <x v="25"/>
          </reference>
        </references>
      </pivotArea>
    </format>
    <format dxfId="65">
      <pivotArea dataOnly="0" labelOnly="1" outline="0" fieldPosition="0">
        <references count="3">
          <reference field="0" count="1" selected="0">
            <x v="1"/>
          </reference>
          <reference field="1" count="1" selected="0">
            <x v="3"/>
          </reference>
          <reference field="2" count="3">
            <x v="13"/>
            <x v="17"/>
            <x v="19"/>
          </reference>
        </references>
      </pivotArea>
    </format>
    <format dxfId="64">
      <pivotArea dataOnly="0" labelOnly="1" outline="0" fieldPosition="0">
        <references count="3">
          <reference field="0" count="1" selected="0">
            <x v="1"/>
          </reference>
          <reference field="1" count="1" selected="0">
            <x v="8"/>
          </reference>
          <reference field="2" count="1">
            <x v="21"/>
          </reference>
        </references>
      </pivotArea>
    </format>
    <format dxfId="63">
      <pivotArea dataOnly="0" labelOnly="1" outline="0" fieldPosition="0">
        <references count="3">
          <reference field="0" count="1" selected="0">
            <x v="1"/>
          </reference>
          <reference field="1" count="1" selected="0">
            <x v="12"/>
          </reference>
          <reference field="2" count="2">
            <x v="15"/>
            <x v="27"/>
          </reference>
        </references>
      </pivotArea>
    </format>
    <format dxfId="62">
      <pivotArea dataOnly="0" labelOnly="1" outline="0" fieldPosition="0">
        <references count="3">
          <reference field="0" count="1" selected="0">
            <x v="2"/>
          </reference>
          <reference field="1" count="1" selected="0">
            <x v="9"/>
          </reference>
          <reference field="2" count="4">
            <x v="33"/>
            <x v="35"/>
            <x v="37"/>
            <x v="41"/>
          </reference>
        </references>
      </pivotArea>
    </format>
    <format dxfId="61">
      <pivotArea dataOnly="0" labelOnly="1" outline="0" fieldPosition="0">
        <references count="3">
          <reference field="0" count="1" selected="0">
            <x v="2"/>
          </reference>
          <reference field="1" count="1" selected="0">
            <x v="15"/>
          </reference>
          <reference field="2" count="1">
            <x v="39"/>
          </reference>
        </references>
      </pivotArea>
    </format>
    <format dxfId="60">
      <pivotArea dataOnly="0" labelOnly="1" outline="0" fieldPosition="0">
        <references count="3">
          <reference field="0" count="1" selected="0">
            <x v="2"/>
          </reference>
          <reference field="1" count="1" selected="0">
            <x v="16"/>
          </reference>
          <reference field="2" count="2">
            <x v="29"/>
            <x v="31"/>
          </reference>
        </references>
      </pivotArea>
    </format>
    <format dxfId="59">
      <pivotArea dataOnly="0" labelOnly="1" outline="0" fieldPosition="0">
        <references count="3">
          <reference field="0" count="1" selected="0">
            <x v="3"/>
          </reference>
          <reference field="1" count="1" selected="0">
            <x v="5"/>
          </reference>
          <reference field="2" count="1">
            <x v="53"/>
          </reference>
        </references>
      </pivotArea>
    </format>
    <format dxfId="58">
      <pivotArea dataOnly="0" labelOnly="1" outline="0" fieldPosition="0">
        <references count="3">
          <reference field="0" count="1" selected="0">
            <x v="3"/>
          </reference>
          <reference field="1" count="1" selected="0">
            <x v="7"/>
          </reference>
          <reference field="2" count="2">
            <x v="45"/>
            <x v="47"/>
          </reference>
        </references>
      </pivotArea>
    </format>
    <format dxfId="57">
      <pivotArea dataOnly="0" labelOnly="1" outline="0" fieldPosition="0">
        <references count="3">
          <reference field="0" count="1" selected="0">
            <x v="3"/>
          </reference>
          <reference field="1" count="1" selected="0">
            <x v="10"/>
          </reference>
          <reference field="2" count="1">
            <x v="43"/>
          </reference>
        </references>
      </pivotArea>
    </format>
    <format dxfId="56">
      <pivotArea dataOnly="0" labelOnly="1" outline="0" fieldPosition="0">
        <references count="3">
          <reference field="0" count="1" selected="0">
            <x v="3"/>
          </reference>
          <reference field="1" count="1" selected="0">
            <x v="14"/>
          </reference>
          <reference field="2" count="2">
            <x v="55"/>
            <x v="57"/>
          </reference>
        </references>
      </pivotArea>
    </format>
    <format dxfId="55">
      <pivotArea dataOnly="0" labelOnly="1" outline="0" fieldPosition="0">
        <references count="3">
          <reference field="0" count="1" selected="0">
            <x v="3"/>
          </reference>
          <reference field="1" count="1" selected="0">
            <x v="16"/>
          </reference>
          <reference field="2" count="2">
            <x v="49"/>
            <x v="51"/>
          </reference>
        </references>
      </pivotArea>
    </format>
    <format dxfId="54">
      <pivotArea dataOnly="0" labelOnly="1" outline="0" fieldPosition="0">
        <references count="3">
          <reference field="0" count="1" selected="0">
            <x v="4"/>
          </reference>
          <reference field="1" count="1" selected="0">
            <x v="1"/>
          </reference>
          <reference field="2" count="1">
            <x v="59"/>
          </reference>
        </references>
      </pivotArea>
    </format>
    <format dxfId="53">
      <pivotArea dataOnly="0" labelOnly="1" outline="0" fieldPosition="0">
        <references count="3">
          <reference field="0" count="1" selected="0">
            <x v="4"/>
          </reference>
          <reference field="1" count="1" selected="0">
            <x v="11"/>
          </reference>
          <reference field="2" count="1">
            <x v="61"/>
          </reference>
        </references>
      </pivotArea>
    </format>
    <format dxfId="52">
      <pivotArea dataOnly="0" labelOnly="1" outline="0" fieldPosition="0">
        <references count="3">
          <reference field="0" count="1" selected="0">
            <x v="4"/>
          </reference>
          <reference field="1" count="1" selected="0">
            <x v="16"/>
          </reference>
          <reference field="2" count="2">
            <x v="63"/>
            <x v="65"/>
          </reference>
        </references>
      </pivotArea>
    </format>
    <format dxfId="51">
      <pivotArea dataOnly="0" labelOnly="1" outline="0" fieldPosition="0">
        <references count="1">
          <reference field="5" count="0"/>
        </references>
      </pivotArea>
    </format>
    <format dxfId="50">
      <pivotArea dataOnly="0" labelOnly="1" grandCol="1" outline="0" fieldPosition="0"/>
    </format>
    <format dxfId="49">
      <pivotArea outline="0" fieldPosition="0">
        <references count="1">
          <reference field="0" count="1" selected="0" defaultSubtotal="1">
            <x v="0"/>
          </reference>
        </references>
      </pivotArea>
    </format>
    <format dxfId="48">
      <pivotArea outline="0" fieldPosition="0">
        <references count="1">
          <reference field="0" count="1" selected="0" defaultSubtotal="1">
            <x v="0"/>
          </reference>
        </references>
      </pivotArea>
    </format>
    <format dxfId="47">
      <pivotArea outline="0" fieldPosition="0">
        <references count="1">
          <reference field="0" count="1" selected="0" defaultSubtotal="1">
            <x v="0"/>
          </reference>
        </references>
      </pivotArea>
    </format>
    <format dxfId="46">
      <pivotArea dataOnly="0" labelOnly="1" outline="0" fieldPosition="0">
        <references count="1">
          <reference field="0" count="1" defaultSubtotal="1">
            <x v="0"/>
          </reference>
        </references>
      </pivotArea>
    </format>
    <format dxfId="45">
      <pivotArea outline="0" fieldPosition="0">
        <references count="1">
          <reference field="0" count="1" selected="0" defaultSubtotal="1">
            <x v="1"/>
          </reference>
        </references>
      </pivotArea>
    </format>
    <format dxfId="44">
      <pivotArea dataOnly="0" labelOnly="1" outline="0" fieldPosition="0">
        <references count="1">
          <reference field="0" count="1" defaultSubtotal="1">
            <x v="1"/>
          </reference>
        </references>
      </pivotArea>
    </format>
    <format dxfId="43">
      <pivotArea outline="0" fieldPosition="0">
        <references count="1">
          <reference field="0" count="1" selected="0" defaultSubtotal="1">
            <x v="2"/>
          </reference>
        </references>
      </pivotArea>
    </format>
    <format dxfId="42">
      <pivotArea dataOnly="0" labelOnly="1" outline="0" fieldPosition="0">
        <references count="1">
          <reference field="0" count="1" defaultSubtotal="1">
            <x v="2"/>
          </reference>
        </references>
      </pivotArea>
    </format>
    <format dxfId="41">
      <pivotArea outline="0" fieldPosition="0">
        <references count="1">
          <reference field="0" count="1" selected="0" defaultSubtotal="1">
            <x v="3"/>
          </reference>
        </references>
      </pivotArea>
    </format>
    <format dxfId="40">
      <pivotArea dataOnly="0" labelOnly="1" outline="0" fieldPosition="0">
        <references count="1">
          <reference field="0" count="1" defaultSubtotal="1">
            <x v="3"/>
          </reference>
        </references>
      </pivotArea>
    </format>
    <format dxfId="39">
      <pivotArea outline="0" fieldPosition="0">
        <references count="1">
          <reference field="0" count="1" selected="0" defaultSubtotal="1">
            <x v="4"/>
          </reference>
        </references>
      </pivotArea>
    </format>
    <format dxfId="38">
      <pivotArea dataOnly="0" labelOnly="1" outline="0" fieldPosition="0">
        <references count="1">
          <reference field="0" count="1" defaultSubtotal="1">
            <x v="4"/>
          </reference>
        </references>
      </pivotArea>
    </format>
    <format dxfId="37">
      <pivotArea dataOnly="0" labelOnly="1" outline="0" fieldPosition="0">
        <references count="1">
          <reference field="5" count="1">
            <x v="1"/>
          </reference>
        </references>
      </pivotArea>
    </format>
    <format dxfId="36">
      <pivotArea dataOnly="0" labelOnly="1" grandRow="1" outline="0" fieldPosition="0"/>
    </format>
    <format dxfId="35">
      <pivotArea dataOnly="0" labelOnly="1" outline="0" fieldPosition="0">
        <references count="2">
          <reference field="4294967294" count="1">
            <x v="0"/>
          </reference>
          <reference field="5" count="1" selected="0">
            <x v="1"/>
          </reference>
        </references>
      </pivotArea>
    </format>
    <format dxfId="34">
      <pivotArea dataOnly="0" labelOnly="1" outline="0" fieldPosition="0">
        <references count="2">
          <reference field="4294967294" count="1">
            <x v="0"/>
          </reference>
          <reference field="5" count="1" selected="0">
            <x v="1"/>
          </reference>
        </references>
      </pivotArea>
    </format>
    <format dxfId="33">
      <pivotArea dataOnly="0" labelOnly="1" outline="0" fieldPosition="0">
        <references count="2">
          <reference field="4294967294" count="1">
            <x v="0"/>
          </reference>
          <reference field="5" count="1" selected="0">
            <x v="0"/>
          </reference>
        </references>
      </pivotArea>
    </format>
    <format dxfId="32">
      <pivotArea dataOnly="0" labelOnly="1" outline="0" fieldPosition="0">
        <references count="2">
          <reference field="4294967294" count="1">
            <x v="0"/>
          </reference>
          <reference field="5" count="1" selected="0">
            <x v="0"/>
          </reference>
        </references>
      </pivotArea>
    </format>
    <format dxfId="31">
      <pivotArea field="5" dataOnly="0" labelOnly="1" grandCol="1" outline="0" axis="axisCol" fieldPosition="0">
        <references count="1">
          <reference field="4294967294" count="1" selected="0">
            <x v="0"/>
          </reference>
        </references>
      </pivotArea>
    </format>
    <format dxfId="30">
      <pivotArea field="5" dataOnly="0" labelOnly="1" grandCol="1" outline="0" axis="axisCol" fieldPosition="0">
        <references count="1">
          <reference field="4294967294" count="1" selected="0">
            <x v="1"/>
          </reference>
        </references>
      </pivotArea>
    </format>
    <format dxfId="29">
      <pivotArea field="5" grandRow="1" outline="0" axis="axisCol" fieldPosition="0">
        <references count="2">
          <reference field="4294967294" count="1" selected="0">
            <x v="0"/>
          </reference>
          <reference field="5" count="1" selected="0">
            <x v="0"/>
          </reference>
        </references>
      </pivotArea>
    </format>
    <format dxfId="28">
      <pivotArea field="5" grandRow="1" outline="0" axis="axisCol" fieldPosition="0">
        <references count="2">
          <reference field="4294967294" count="1" selected="0">
            <x v="0"/>
          </reference>
          <reference field="5" count="1" selected="0">
            <x v="1"/>
          </reference>
        </references>
      </pivotArea>
    </format>
    <format dxfId="27">
      <pivotArea outline="0" fieldPosition="0">
        <references count="1">
          <reference field="0" count="1" selected="0" defaultSubtotal="1">
            <x v="0"/>
          </reference>
        </references>
      </pivotArea>
    </format>
    <format dxfId="26">
      <pivotArea dataOnly="0" labelOnly="1" outline="0" fieldPosition="0">
        <references count="1">
          <reference field="0" count="1" defaultSubtotal="1">
            <x v="0"/>
          </reference>
        </references>
      </pivotArea>
    </format>
    <format dxfId="25">
      <pivotArea outline="0" fieldPosition="0">
        <references count="1">
          <reference field="0" count="1" selected="0" defaultSubtotal="1">
            <x v="1"/>
          </reference>
        </references>
      </pivotArea>
    </format>
    <format dxfId="24">
      <pivotArea dataOnly="0" labelOnly="1" outline="0" fieldPosition="0">
        <references count="1">
          <reference field="0" count="1" defaultSubtotal="1">
            <x v="1"/>
          </reference>
        </references>
      </pivotArea>
    </format>
    <format dxfId="23">
      <pivotArea outline="0" fieldPosition="0">
        <references count="1">
          <reference field="0" count="1" selected="0" defaultSubtotal="1">
            <x v="2"/>
          </reference>
        </references>
      </pivotArea>
    </format>
    <format dxfId="22">
      <pivotArea dataOnly="0" labelOnly="1" outline="0" fieldPosition="0">
        <references count="1">
          <reference field="0" count="1" defaultSubtotal="1">
            <x v="2"/>
          </reference>
        </references>
      </pivotArea>
    </format>
    <format dxfId="21">
      <pivotArea type="origin" dataOnly="0" labelOnly="1" outline="0" offset="A2:C2" fieldPosition="0"/>
    </format>
    <format dxfId="20">
      <pivotArea field="0" type="button" dataOnly="0" labelOnly="1" outline="0" axis="axisRow" fieldPosition="0"/>
    </format>
    <format dxfId="19">
      <pivotArea field="1" type="button" dataOnly="0" labelOnly="1" outline="0" axis="axisRow" fieldPosition="1"/>
    </format>
    <format dxfId="18">
      <pivotArea field="2" type="button" dataOnly="0" labelOnly="1" outline="0" axis="axisRow" fieldPosition="2"/>
    </format>
    <format dxfId="17">
      <pivotArea dataOnly="0" labelOnly="1" outline="0" fieldPosition="0">
        <references count="1">
          <reference field="5" count="0"/>
        </references>
      </pivotArea>
    </format>
    <format dxfId="16">
      <pivotArea field="5" dataOnly="0" labelOnly="1" grandCol="1" outline="0" axis="axisCol" fieldPosition="0">
        <references count="1">
          <reference field="4294967294" count="1" selected="0">
            <x v="0"/>
          </reference>
        </references>
      </pivotArea>
    </format>
    <format dxfId="15">
      <pivotArea field="5" dataOnly="0" labelOnly="1" grandCol="1" outline="0" axis="axisCol" fieldPosition="0">
        <references count="1">
          <reference field="4294967294" count="1" selected="0">
            <x v="1"/>
          </reference>
        </references>
      </pivotArea>
    </format>
    <format dxfId="14">
      <pivotArea dataOnly="0" labelOnly="1" outline="0" fieldPosition="0">
        <references count="2">
          <reference field="4294967294" count="2">
            <x v="0"/>
            <x v="1"/>
          </reference>
          <reference field="5" count="1" selected="0">
            <x v="0"/>
          </reference>
        </references>
      </pivotArea>
    </format>
    <format dxfId="13">
      <pivotArea dataOnly="0" labelOnly="1" outline="0" fieldPosition="0">
        <references count="2">
          <reference field="4294967294" count="2">
            <x v="0"/>
            <x v="1"/>
          </reference>
          <reference field="5" count="1" selected="0">
            <x v="1"/>
          </reference>
        </references>
      </pivotArea>
    </format>
    <format dxfId="12">
      <pivotArea outline="0" fieldPosition="0">
        <references count="1">
          <reference field="0" count="1" selected="0" defaultSubtotal="1">
            <x v="0"/>
          </reference>
        </references>
      </pivotArea>
    </format>
    <format dxfId="11">
      <pivotArea dataOnly="0" labelOnly="1" outline="0" fieldPosition="0">
        <references count="1">
          <reference field="0" count="1" defaultSubtotal="1">
            <x v="0"/>
          </reference>
        </references>
      </pivotArea>
    </format>
    <format dxfId="10">
      <pivotArea outline="0" fieldPosition="0">
        <references count="1">
          <reference field="0" count="1" selected="0" defaultSubtotal="1">
            <x v="1"/>
          </reference>
        </references>
      </pivotArea>
    </format>
    <format dxfId="9">
      <pivotArea dataOnly="0" labelOnly="1" outline="0" fieldPosition="0">
        <references count="1">
          <reference field="0" count="1" defaultSubtotal="1">
            <x v="1"/>
          </reference>
        </references>
      </pivotArea>
    </format>
    <format dxfId="8">
      <pivotArea outline="0" fieldPosition="0">
        <references count="1">
          <reference field="0" count="1" selected="0" defaultSubtotal="1">
            <x v="2"/>
          </reference>
        </references>
      </pivotArea>
    </format>
    <format dxfId="7">
      <pivotArea dataOnly="0" labelOnly="1" outline="0" fieldPosition="0">
        <references count="1">
          <reference field="0" count="1" defaultSubtotal="1">
            <x v="2"/>
          </reference>
        </references>
      </pivotArea>
    </format>
    <format dxfId="6">
      <pivotArea outline="0" fieldPosition="0">
        <references count="1">
          <reference field="0" count="1" selected="0" defaultSubtotal="1">
            <x v="3"/>
          </reference>
        </references>
      </pivotArea>
    </format>
    <format dxfId="5">
      <pivotArea dataOnly="0" labelOnly="1" outline="0" fieldPosition="0">
        <references count="1">
          <reference field="0" count="1" defaultSubtotal="1">
            <x v="3"/>
          </reference>
        </references>
      </pivotArea>
    </format>
    <format dxfId="4">
      <pivotArea outline="0" fieldPosition="0">
        <references count="1">
          <reference field="0" count="1" selected="0" defaultSubtotal="1">
            <x v="4"/>
          </reference>
        </references>
      </pivotArea>
    </format>
    <format dxfId="3">
      <pivotArea dataOnly="0" labelOnly="1" outline="0" fieldPosition="0">
        <references count="1">
          <reference field="0" count="1" defaultSubtotal="1">
            <x v="4"/>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1" dT="2023-11-24T16:09:45.82" personId="{33BAF3F1-5B00-4D02-ABB2-0891ECFFE095}" id="{4878CC46-F7C6-49E3-97AD-F0D08B601879}">
    <text>This is also in Int. Team with 1.06 FTE, and it's benchmarked to YITS.  Need to understand the difference in FTE or units whichever it is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4.bin"/><Relationship Id="rId4" Type="http://schemas.microsoft.com/office/2017/10/relationships/threadedComment" Target="../threadedComments/threadedComment1.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6"/>
  <sheetViews>
    <sheetView topLeftCell="C1" zoomScaleNormal="100" workbookViewId="0">
      <selection activeCell="C56" sqref="C56"/>
    </sheetView>
  </sheetViews>
  <sheetFormatPr defaultColWidth="9.42578125" defaultRowHeight="15"/>
  <cols>
    <col min="1" max="1" width="5.5703125" customWidth="1"/>
    <col min="2" max="2" width="33.5703125" customWidth="1"/>
    <col min="3" max="3" width="35.42578125" customWidth="1"/>
    <col min="4" max="4" width="8.5703125" customWidth="1"/>
    <col min="5" max="6" width="13.42578125" style="713" customWidth="1"/>
    <col min="7" max="7" width="8.42578125" style="711" customWidth="1"/>
    <col min="8" max="8" width="8.5703125" style="711" customWidth="1"/>
    <col min="9" max="9" width="10.5703125" style="711" customWidth="1"/>
    <col min="10" max="10" width="9.42578125" style="711" customWidth="1"/>
    <col min="11" max="11" width="9.5703125" style="711" customWidth="1"/>
    <col min="12" max="13" width="17.42578125" style="713" customWidth="1"/>
    <col min="14" max="14" width="13.5703125" customWidth="1"/>
  </cols>
  <sheetData>
    <row r="1" spans="1:15">
      <c r="A1" s="637"/>
      <c r="B1" s="638"/>
      <c r="C1" s="2429" t="s">
        <v>606</v>
      </c>
      <c r="D1" s="2430"/>
      <c r="E1" s="2431"/>
      <c r="F1" s="639"/>
      <c r="G1" s="2432" t="s">
        <v>723</v>
      </c>
      <c r="H1" s="2433"/>
      <c r="I1" s="2433"/>
      <c r="J1" s="2433"/>
      <c r="K1" s="2433"/>
      <c r="L1" s="2433"/>
      <c r="M1" s="2433"/>
      <c r="N1" s="2433"/>
    </row>
    <row r="2" spans="1:15" ht="105.75" thickBot="1">
      <c r="A2" s="641" t="s">
        <v>607</v>
      </c>
      <c r="B2" s="642" t="s">
        <v>608</v>
      </c>
      <c r="C2" s="643" t="s">
        <v>609</v>
      </c>
      <c r="D2" s="644" t="s">
        <v>610</v>
      </c>
      <c r="E2" s="645" t="s">
        <v>611</v>
      </c>
      <c r="F2" s="646" t="s">
        <v>607</v>
      </c>
      <c r="G2" s="646" t="s">
        <v>612</v>
      </c>
      <c r="H2" s="647" t="s">
        <v>613</v>
      </c>
      <c r="I2" s="647" t="s">
        <v>614</v>
      </c>
      <c r="J2" s="647" t="s">
        <v>615</v>
      </c>
      <c r="K2" s="647" t="s">
        <v>616</v>
      </c>
      <c r="L2" s="651" t="s">
        <v>618</v>
      </c>
      <c r="M2" s="651" t="s">
        <v>619</v>
      </c>
      <c r="N2" s="651" t="s">
        <v>620</v>
      </c>
    </row>
    <row r="3" spans="1:15">
      <c r="A3" s="637" t="s">
        <v>621</v>
      </c>
      <c r="B3" s="638" t="s">
        <v>622</v>
      </c>
      <c r="C3" s="652" t="s">
        <v>623</v>
      </c>
      <c r="D3" s="653">
        <v>61</v>
      </c>
      <c r="E3" s="654">
        <v>1510253</v>
      </c>
      <c r="F3" s="2434" t="s">
        <v>624</v>
      </c>
      <c r="G3" s="2424" t="s">
        <v>625</v>
      </c>
      <c r="H3" s="2416">
        <v>430</v>
      </c>
      <c r="I3" s="2416">
        <v>337</v>
      </c>
      <c r="J3" s="2416">
        <v>85</v>
      </c>
      <c r="K3" s="2416">
        <v>8</v>
      </c>
      <c r="L3" s="2418">
        <v>12343325.449999999</v>
      </c>
      <c r="M3" s="2420">
        <v>1315650</v>
      </c>
      <c r="N3" s="2422">
        <v>501434</v>
      </c>
      <c r="O3" s="2418"/>
    </row>
    <row r="4" spans="1:15">
      <c r="A4" s="656" t="s">
        <v>621</v>
      </c>
      <c r="B4" s="657" t="s">
        <v>622</v>
      </c>
      <c r="C4" s="658" t="s">
        <v>626</v>
      </c>
      <c r="D4" s="659">
        <v>138</v>
      </c>
      <c r="E4" s="660">
        <v>4123148</v>
      </c>
      <c r="F4" s="2435"/>
      <c r="G4" s="2437"/>
      <c r="H4" s="2438"/>
      <c r="I4" s="2438"/>
      <c r="J4" s="2438"/>
      <c r="K4" s="2438"/>
      <c r="L4" s="2428"/>
      <c r="M4" s="2439"/>
      <c r="N4" s="2440"/>
      <c r="O4" s="2428"/>
    </row>
    <row r="5" spans="1:15" ht="15.75" thickBot="1">
      <c r="A5" s="661" t="s">
        <v>621</v>
      </c>
      <c r="B5" s="662" t="s">
        <v>622</v>
      </c>
      <c r="C5" s="663" t="s">
        <v>627</v>
      </c>
      <c r="D5" s="664">
        <v>340</v>
      </c>
      <c r="E5" s="665">
        <v>7126390</v>
      </c>
      <c r="F5" s="2436"/>
      <c r="G5" s="2425"/>
      <c r="H5" s="2417"/>
      <c r="I5" s="2417"/>
      <c r="J5" s="2417"/>
      <c r="K5" s="2417"/>
      <c r="L5" s="2419"/>
      <c r="M5" s="2421"/>
      <c r="N5" s="2423"/>
      <c r="O5" s="2419"/>
    </row>
    <row r="6" spans="1:15">
      <c r="A6" s="637" t="s">
        <v>621</v>
      </c>
      <c r="B6" s="638" t="s">
        <v>628</v>
      </c>
      <c r="C6" s="652" t="s">
        <v>629</v>
      </c>
      <c r="D6" s="653">
        <v>300</v>
      </c>
      <c r="E6" s="654">
        <v>5538887</v>
      </c>
      <c r="F6" s="2424" t="s">
        <v>624</v>
      </c>
      <c r="G6" s="2424" t="s">
        <v>630</v>
      </c>
      <c r="H6" s="2416">
        <v>492</v>
      </c>
      <c r="I6" s="2416">
        <v>425</v>
      </c>
      <c r="J6" s="2416">
        <v>55</v>
      </c>
      <c r="K6" s="2416">
        <v>12</v>
      </c>
      <c r="L6" s="2418">
        <v>11894317.050000001</v>
      </c>
      <c r="M6" s="2420">
        <v>1027987.4999999999</v>
      </c>
      <c r="N6" s="2422">
        <v>310467</v>
      </c>
    </row>
    <row r="7" spans="1:15" ht="15.75" thickBot="1">
      <c r="A7" s="661" t="s">
        <v>621</v>
      </c>
      <c r="B7" s="662" t="s">
        <v>628</v>
      </c>
      <c r="C7" s="663" t="s">
        <v>629</v>
      </c>
      <c r="D7" s="664">
        <v>296</v>
      </c>
      <c r="E7" s="665">
        <v>4982208</v>
      </c>
      <c r="F7" s="2425"/>
      <c r="G7" s="2425"/>
      <c r="H7" s="2417"/>
      <c r="I7" s="2417"/>
      <c r="J7" s="2417"/>
      <c r="K7" s="2417"/>
      <c r="L7" s="2419"/>
      <c r="M7" s="2421"/>
      <c r="N7" s="2423"/>
    </row>
    <row r="8" spans="1:15">
      <c r="A8" s="637" t="s">
        <v>631</v>
      </c>
      <c r="B8" s="638" t="s">
        <v>539</v>
      </c>
      <c r="C8" s="652" t="s">
        <v>632</v>
      </c>
      <c r="D8" s="653">
        <v>203</v>
      </c>
      <c r="E8" s="654">
        <v>4221948</v>
      </c>
      <c r="F8" s="2424" t="s">
        <v>624</v>
      </c>
      <c r="G8" s="2424" t="s">
        <v>633</v>
      </c>
      <c r="H8" s="2416">
        <v>403</v>
      </c>
      <c r="I8" s="2416">
        <v>345</v>
      </c>
      <c r="J8" s="2416">
        <v>58</v>
      </c>
      <c r="K8" s="2416">
        <v>0</v>
      </c>
      <c r="L8" s="2418">
        <v>9355238.3500000015</v>
      </c>
      <c r="M8" s="2420">
        <v>746750</v>
      </c>
      <c r="N8" s="2422">
        <v>176571</v>
      </c>
    </row>
    <row r="9" spans="1:15" ht="15.75" thickBot="1">
      <c r="A9" s="661" t="s">
        <v>631</v>
      </c>
      <c r="B9" s="662" t="s">
        <v>539</v>
      </c>
      <c r="C9" s="663" t="s">
        <v>629</v>
      </c>
      <c r="D9" s="664">
        <v>200</v>
      </c>
      <c r="E9" s="665">
        <v>3542551</v>
      </c>
      <c r="F9" s="2425"/>
      <c r="G9" s="2425"/>
      <c r="H9" s="2417"/>
      <c r="I9" s="2417"/>
      <c r="J9" s="2417"/>
      <c r="K9" s="2417"/>
      <c r="L9" s="2419"/>
      <c r="M9" s="2421"/>
      <c r="N9" s="2423"/>
    </row>
    <row r="10" spans="1:15" ht="15.75" thickBot="1">
      <c r="A10" s="667" t="s">
        <v>621</v>
      </c>
      <c r="B10" s="668" t="s">
        <v>634</v>
      </c>
      <c r="C10" s="669" t="s">
        <v>626</v>
      </c>
      <c r="D10" s="670">
        <v>383</v>
      </c>
      <c r="E10" s="671">
        <v>6284813</v>
      </c>
      <c r="F10" s="672" t="s">
        <v>624</v>
      </c>
      <c r="G10" s="672" t="s">
        <v>635</v>
      </c>
      <c r="H10" s="673">
        <v>332</v>
      </c>
      <c r="I10" s="673">
        <v>278</v>
      </c>
      <c r="J10" s="673">
        <v>54</v>
      </c>
      <c r="K10" s="673">
        <v>0</v>
      </c>
      <c r="L10" s="675">
        <v>7310238.25</v>
      </c>
      <c r="M10" s="675">
        <v>798250</v>
      </c>
      <c r="N10" s="676">
        <v>256688</v>
      </c>
    </row>
    <row r="11" spans="1:15">
      <c r="A11" s="637" t="s">
        <v>621</v>
      </c>
      <c r="B11" s="638" t="s">
        <v>637</v>
      </c>
      <c r="C11" s="652" t="s">
        <v>626</v>
      </c>
      <c r="D11" s="653">
        <v>256</v>
      </c>
      <c r="E11" s="654">
        <v>5300098</v>
      </c>
      <c r="F11" s="2424" t="s">
        <v>624</v>
      </c>
      <c r="G11" s="2424" t="s">
        <v>638</v>
      </c>
      <c r="H11" s="2416">
        <v>411</v>
      </c>
      <c r="I11" s="2416">
        <v>332</v>
      </c>
      <c r="J11" s="2416">
        <v>79</v>
      </c>
      <c r="K11" s="2416">
        <v>0</v>
      </c>
      <c r="L11" s="2418">
        <v>11000610.900000002</v>
      </c>
      <c r="M11" s="2420">
        <v>1017125</v>
      </c>
      <c r="N11" s="2422">
        <v>381277</v>
      </c>
    </row>
    <row r="12" spans="1:15" ht="15.75" thickBot="1">
      <c r="A12" s="661" t="s">
        <v>621</v>
      </c>
      <c r="B12" s="662" t="s">
        <v>637</v>
      </c>
      <c r="C12" s="663" t="s">
        <v>640</v>
      </c>
      <c r="D12" s="664">
        <v>253</v>
      </c>
      <c r="E12" s="665">
        <v>4939030</v>
      </c>
      <c r="F12" s="2425"/>
      <c r="G12" s="2425"/>
      <c r="H12" s="2417"/>
      <c r="I12" s="2417"/>
      <c r="J12" s="2417"/>
      <c r="K12" s="2417"/>
      <c r="L12" s="2419"/>
      <c r="M12" s="2421"/>
      <c r="N12" s="2423"/>
    </row>
    <row r="13" spans="1:15" ht="15.75" thickBot="1">
      <c r="A13" s="667" t="s">
        <v>621</v>
      </c>
      <c r="B13" s="668" t="s">
        <v>642</v>
      </c>
      <c r="C13" s="669" t="s">
        <v>626</v>
      </c>
      <c r="D13" s="670">
        <v>478</v>
      </c>
      <c r="E13" s="671">
        <v>12040371</v>
      </c>
      <c r="F13" s="672" t="s">
        <v>624</v>
      </c>
      <c r="G13" s="672" t="s">
        <v>643</v>
      </c>
      <c r="H13" s="673">
        <v>442</v>
      </c>
      <c r="I13" s="673">
        <v>342</v>
      </c>
      <c r="J13" s="673">
        <v>74</v>
      </c>
      <c r="K13" s="673">
        <v>33</v>
      </c>
      <c r="L13" s="678">
        <v>12955744.350000001</v>
      </c>
      <c r="M13" s="678">
        <v>1493500</v>
      </c>
      <c r="N13" s="679">
        <v>306078</v>
      </c>
    </row>
    <row r="14" spans="1:15">
      <c r="A14" s="637" t="s">
        <v>645</v>
      </c>
      <c r="B14" s="638" t="s">
        <v>646</v>
      </c>
      <c r="C14" s="652" t="s">
        <v>647</v>
      </c>
      <c r="D14" s="653">
        <v>95</v>
      </c>
      <c r="E14" s="654">
        <v>1705563</v>
      </c>
      <c r="F14" s="2424" t="s">
        <v>648</v>
      </c>
      <c r="G14" s="2424" t="s">
        <v>649</v>
      </c>
      <c r="H14" s="2416">
        <v>305</v>
      </c>
      <c r="I14" s="2416">
        <v>256</v>
      </c>
      <c r="J14" s="2416">
        <v>49</v>
      </c>
      <c r="K14" s="2416">
        <v>0</v>
      </c>
      <c r="L14" s="2418">
        <v>7524117.3000000007</v>
      </c>
      <c r="M14" s="2420">
        <v>583100</v>
      </c>
      <c r="N14" s="2420">
        <v>73505</v>
      </c>
    </row>
    <row r="15" spans="1:15" ht="15.75" thickBot="1">
      <c r="A15" s="661" t="s">
        <v>645</v>
      </c>
      <c r="B15" s="662" t="s">
        <v>646</v>
      </c>
      <c r="C15" s="663" t="s">
        <v>647</v>
      </c>
      <c r="D15" s="664">
        <v>260</v>
      </c>
      <c r="E15" s="665">
        <v>4889973</v>
      </c>
      <c r="F15" s="2425"/>
      <c r="G15" s="2425"/>
      <c r="H15" s="2417"/>
      <c r="I15" s="2417"/>
      <c r="J15" s="2417"/>
      <c r="K15" s="2417"/>
      <c r="L15" s="2419"/>
      <c r="M15" s="2421"/>
      <c r="N15" s="2421"/>
    </row>
    <row r="16" spans="1:15">
      <c r="A16" s="637" t="s">
        <v>645</v>
      </c>
      <c r="B16" s="638" t="s">
        <v>652</v>
      </c>
      <c r="C16" s="652" t="s">
        <v>653</v>
      </c>
      <c r="D16" s="653">
        <v>210</v>
      </c>
      <c r="E16" s="654">
        <v>4448029</v>
      </c>
      <c r="F16" s="2424" t="s">
        <v>648</v>
      </c>
      <c r="G16" s="2424" t="s">
        <v>654</v>
      </c>
      <c r="H16" s="2416">
        <f>188+12</f>
        <v>200</v>
      </c>
      <c r="I16" s="2416">
        <f>153+12</f>
        <v>165</v>
      </c>
      <c r="J16" s="2416">
        <v>31</v>
      </c>
      <c r="K16" s="2416">
        <v>4</v>
      </c>
      <c r="L16" s="2418">
        <v>5819432.2500000009</v>
      </c>
      <c r="M16" s="2420">
        <v>725900</v>
      </c>
      <c r="N16" s="2420">
        <v>45308</v>
      </c>
    </row>
    <row r="17" spans="1:14" ht="15.75" thickBot="1">
      <c r="A17" s="661" t="s">
        <v>645</v>
      </c>
      <c r="B17" s="662" t="s">
        <v>656</v>
      </c>
      <c r="C17" s="663" t="s">
        <v>653</v>
      </c>
      <c r="D17" s="664">
        <v>60</v>
      </c>
      <c r="E17" s="665">
        <v>1217626</v>
      </c>
      <c r="F17" s="2425"/>
      <c r="G17" s="2425"/>
      <c r="H17" s="2417"/>
      <c r="I17" s="2417"/>
      <c r="J17" s="2417"/>
      <c r="K17" s="2417"/>
      <c r="L17" s="2419"/>
      <c r="M17" s="2421"/>
      <c r="N17" s="2421"/>
    </row>
    <row r="18" spans="1:14">
      <c r="A18" s="637" t="s">
        <v>645</v>
      </c>
      <c r="B18" s="638" t="s">
        <v>658</v>
      </c>
      <c r="C18" s="652" t="s">
        <v>659</v>
      </c>
      <c r="D18" s="653">
        <v>43</v>
      </c>
      <c r="E18" s="654">
        <v>671099</v>
      </c>
      <c r="F18" s="2424" t="s">
        <v>648</v>
      </c>
      <c r="G18" s="2424" t="s">
        <v>660</v>
      </c>
      <c r="H18" s="2416">
        <f>308-8</f>
        <v>300</v>
      </c>
      <c r="I18" s="2416">
        <f>228-8</f>
        <v>220</v>
      </c>
      <c r="J18" s="2416">
        <v>75</v>
      </c>
      <c r="K18" s="2416">
        <v>5</v>
      </c>
      <c r="L18" s="2418">
        <v>9382792.1999999993</v>
      </c>
      <c r="M18" s="2420">
        <v>974775</v>
      </c>
      <c r="N18" s="2420">
        <v>74228</v>
      </c>
    </row>
    <row r="19" spans="1:14" ht="15.75" thickBot="1">
      <c r="A19" s="661" t="s">
        <v>645</v>
      </c>
      <c r="B19" s="662" t="s">
        <v>658</v>
      </c>
      <c r="C19" s="663" t="s">
        <v>662</v>
      </c>
      <c r="D19" s="664">
        <v>301</v>
      </c>
      <c r="E19" s="665">
        <v>7524105</v>
      </c>
      <c r="F19" s="2425"/>
      <c r="G19" s="2425"/>
      <c r="H19" s="2417"/>
      <c r="I19" s="2417"/>
      <c r="J19" s="2417"/>
      <c r="K19" s="2417"/>
      <c r="L19" s="2419"/>
      <c r="M19" s="2421"/>
      <c r="N19" s="2421"/>
    </row>
    <row r="20" spans="1:14" ht="15.75" thickBot="1">
      <c r="A20" s="667" t="s">
        <v>645</v>
      </c>
      <c r="B20" s="668" t="s">
        <v>542</v>
      </c>
      <c r="C20" s="669" t="s">
        <v>662</v>
      </c>
      <c r="D20" s="670">
        <v>540</v>
      </c>
      <c r="E20" s="671">
        <v>11742750</v>
      </c>
      <c r="F20" s="672" t="s">
        <v>648</v>
      </c>
      <c r="G20" s="672" t="s">
        <v>664</v>
      </c>
      <c r="H20" s="673">
        <f>485-8</f>
        <v>477</v>
      </c>
      <c r="I20" s="673">
        <f>400-8</f>
        <v>392</v>
      </c>
      <c r="J20" s="673">
        <v>80</v>
      </c>
      <c r="K20" s="673">
        <v>5</v>
      </c>
      <c r="L20" s="678">
        <v>13547924</v>
      </c>
      <c r="M20" s="678">
        <v>1214525</v>
      </c>
      <c r="N20" s="679">
        <v>116885</v>
      </c>
    </row>
    <row r="21" spans="1:14" ht="15.75" thickBot="1">
      <c r="A21" s="667" t="s">
        <v>645</v>
      </c>
      <c r="B21" s="668" t="s">
        <v>666</v>
      </c>
      <c r="C21" s="669" t="s">
        <v>653</v>
      </c>
      <c r="D21" s="670">
        <v>195</v>
      </c>
      <c r="E21" s="671">
        <v>3676663</v>
      </c>
      <c r="F21" s="672" t="s">
        <v>648</v>
      </c>
      <c r="G21" s="672" t="s">
        <v>667</v>
      </c>
      <c r="H21" s="673">
        <f>183+4</f>
        <v>187</v>
      </c>
      <c r="I21" s="673">
        <f>154+4</f>
        <v>158</v>
      </c>
      <c r="J21" s="673">
        <v>29</v>
      </c>
      <c r="K21" s="673">
        <v>0</v>
      </c>
      <c r="L21" s="678">
        <v>5070623.8</v>
      </c>
      <c r="M21" s="678">
        <v>582487.5</v>
      </c>
      <c r="N21" s="679">
        <v>44103</v>
      </c>
    </row>
    <row r="22" spans="1:14" ht="15.75" thickBot="1">
      <c r="A22" s="667" t="s">
        <v>645</v>
      </c>
      <c r="B22" s="668" t="s">
        <v>669</v>
      </c>
      <c r="C22" s="669" t="s">
        <v>659</v>
      </c>
      <c r="D22" s="670">
        <v>255</v>
      </c>
      <c r="E22" s="671">
        <v>5292881</v>
      </c>
      <c r="F22" s="672" t="s">
        <v>648</v>
      </c>
      <c r="G22" s="672" t="s">
        <v>670</v>
      </c>
      <c r="H22" s="673">
        <v>216</v>
      </c>
      <c r="I22" s="673">
        <v>183</v>
      </c>
      <c r="J22" s="673">
        <v>33</v>
      </c>
      <c r="K22" s="673">
        <v>0</v>
      </c>
      <c r="L22" s="678">
        <v>5439518.3499999996</v>
      </c>
      <c r="M22" s="678">
        <v>392287.5</v>
      </c>
      <c r="N22" s="679">
        <v>52056</v>
      </c>
    </row>
    <row r="23" spans="1:14">
      <c r="A23" s="637" t="s">
        <v>672</v>
      </c>
      <c r="B23" s="638" t="s">
        <v>673</v>
      </c>
      <c r="C23" s="652" t="s">
        <v>623</v>
      </c>
      <c r="D23" s="653">
        <v>129</v>
      </c>
      <c r="E23" s="654">
        <v>4596558</v>
      </c>
      <c r="F23" s="681" t="s">
        <v>674</v>
      </c>
      <c r="G23" s="681" t="s">
        <v>675</v>
      </c>
      <c r="H23" s="682">
        <v>106</v>
      </c>
      <c r="I23" s="682">
        <v>60</v>
      </c>
      <c r="J23" s="682">
        <v>46</v>
      </c>
      <c r="K23" s="682">
        <v>0</v>
      </c>
      <c r="L23" s="684">
        <v>4288487.2</v>
      </c>
      <c r="M23" s="684">
        <v>575000</v>
      </c>
      <c r="N23" s="685">
        <v>127314.09</v>
      </c>
    </row>
    <row r="24" spans="1:14" ht="15.75" thickBot="1">
      <c r="A24" s="661" t="s">
        <v>672</v>
      </c>
      <c r="B24" s="662" t="s">
        <v>673</v>
      </c>
      <c r="C24" s="663" t="s">
        <v>640</v>
      </c>
      <c r="D24" s="664">
        <v>215</v>
      </c>
      <c r="E24" s="665">
        <v>6227245</v>
      </c>
      <c r="F24" s="686" t="s">
        <v>674</v>
      </c>
      <c r="G24" s="686" t="s">
        <v>677</v>
      </c>
      <c r="H24" s="687">
        <v>177</v>
      </c>
      <c r="I24" s="687">
        <v>139</v>
      </c>
      <c r="J24" s="687">
        <v>38</v>
      </c>
      <c r="K24" s="687">
        <v>0</v>
      </c>
      <c r="L24" s="689">
        <v>5262383.8499999996</v>
      </c>
      <c r="M24" s="689">
        <v>475000</v>
      </c>
      <c r="N24" s="690">
        <v>406120.63</v>
      </c>
    </row>
    <row r="25" spans="1:14" ht="15.75" thickBot="1">
      <c r="A25" s="667" t="s">
        <v>672</v>
      </c>
      <c r="B25" s="668" t="s">
        <v>678</v>
      </c>
      <c r="C25" s="669" t="s">
        <v>679</v>
      </c>
      <c r="D25" s="670">
        <v>380</v>
      </c>
      <c r="E25" s="671">
        <v>8093191</v>
      </c>
      <c r="F25" s="672" t="s">
        <v>674</v>
      </c>
      <c r="G25" s="672" t="s">
        <v>680</v>
      </c>
      <c r="H25" s="673">
        <v>342</v>
      </c>
      <c r="I25" s="673">
        <v>259</v>
      </c>
      <c r="J25" s="673">
        <v>83</v>
      </c>
      <c r="K25" s="673">
        <v>0</v>
      </c>
      <c r="L25" s="678">
        <v>10161888.350000001</v>
      </c>
      <c r="M25" s="678">
        <v>1124987.5</v>
      </c>
      <c r="N25" s="679">
        <v>198295.11</v>
      </c>
    </row>
    <row r="26" spans="1:14">
      <c r="A26" s="637" t="s">
        <v>672</v>
      </c>
      <c r="B26" s="638" t="s">
        <v>681</v>
      </c>
      <c r="C26" s="652" t="s">
        <v>679</v>
      </c>
      <c r="D26" s="653">
        <v>225</v>
      </c>
      <c r="E26" s="654">
        <v>4237029</v>
      </c>
      <c r="F26" s="681" t="s">
        <v>674</v>
      </c>
      <c r="G26" s="681" t="s">
        <v>682</v>
      </c>
      <c r="H26" s="682">
        <v>208</v>
      </c>
      <c r="I26" s="682">
        <v>159</v>
      </c>
      <c r="J26" s="682">
        <v>49</v>
      </c>
      <c r="K26" s="682">
        <v>0</v>
      </c>
      <c r="L26" s="684">
        <v>5746673.1500000004</v>
      </c>
      <c r="M26" s="684">
        <v>620462.49999999988</v>
      </c>
      <c r="N26" s="685">
        <v>97843</v>
      </c>
    </row>
    <row r="27" spans="1:14" ht="15.75" thickBot="1">
      <c r="A27" s="661" t="s">
        <v>672</v>
      </c>
      <c r="B27" s="662" t="s">
        <v>681</v>
      </c>
      <c r="C27" s="663" t="s">
        <v>683</v>
      </c>
      <c r="D27" s="664">
        <v>120</v>
      </c>
      <c r="E27" s="665">
        <v>2822542</v>
      </c>
      <c r="F27" s="686" t="s">
        <v>674</v>
      </c>
      <c r="G27" s="686" t="s">
        <v>684</v>
      </c>
      <c r="H27" s="687">
        <v>110</v>
      </c>
      <c r="I27" s="687">
        <v>83</v>
      </c>
      <c r="J27" s="687">
        <v>21</v>
      </c>
      <c r="K27" s="687">
        <v>6</v>
      </c>
      <c r="L27" s="689">
        <v>3634688.25</v>
      </c>
      <c r="M27" s="689">
        <v>341887.49999999994</v>
      </c>
      <c r="N27" s="690">
        <v>98506.4</v>
      </c>
    </row>
    <row r="28" spans="1:14">
      <c r="A28" s="637" t="s">
        <v>672</v>
      </c>
      <c r="B28" s="638" t="s">
        <v>685</v>
      </c>
      <c r="C28" s="652" t="s">
        <v>623</v>
      </c>
      <c r="D28" s="653">
        <v>336</v>
      </c>
      <c r="E28" s="654">
        <v>9815799</v>
      </c>
      <c r="F28" s="2424" t="s">
        <v>674</v>
      </c>
      <c r="G28" s="2424" t="s">
        <v>686</v>
      </c>
      <c r="H28" s="2416">
        <v>337</v>
      </c>
      <c r="I28" s="2416">
        <v>196</v>
      </c>
      <c r="J28" s="2416">
        <v>135</v>
      </c>
      <c r="K28" s="2416">
        <v>6</v>
      </c>
      <c r="L28" s="2418">
        <v>13298274.949999999</v>
      </c>
      <c r="M28" s="2420">
        <v>1891874.9999999998</v>
      </c>
      <c r="N28" s="2422">
        <v>273146</v>
      </c>
    </row>
    <row r="29" spans="1:14" ht="15.75" thickBot="1">
      <c r="A29" s="661" t="s">
        <v>672</v>
      </c>
      <c r="B29" s="662" t="s">
        <v>685</v>
      </c>
      <c r="C29" s="663" t="s">
        <v>683</v>
      </c>
      <c r="D29" s="664">
        <v>65</v>
      </c>
      <c r="E29" s="665">
        <v>3953841</v>
      </c>
      <c r="F29" s="2425"/>
      <c r="G29" s="2425"/>
      <c r="H29" s="2417"/>
      <c r="I29" s="2417"/>
      <c r="J29" s="2417"/>
      <c r="K29" s="2417"/>
      <c r="L29" s="2419"/>
      <c r="M29" s="2421"/>
      <c r="N29" s="2423"/>
    </row>
    <row r="30" spans="1:14">
      <c r="A30" s="637" t="s">
        <v>672</v>
      </c>
      <c r="B30" s="638" t="s">
        <v>543</v>
      </c>
      <c r="C30" s="652" t="s">
        <v>679</v>
      </c>
      <c r="D30" s="653">
        <v>167</v>
      </c>
      <c r="E30" s="654">
        <v>4545513</v>
      </c>
      <c r="F30" s="2424" t="s">
        <v>674</v>
      </c>
      <c r="G30" s="2424" t="s">
        <v>687</v>
      </c>
      <c r="H30" s="2416">
        <v>280</v>
      </c>
      <c r="I30" s="2416">
        <v>185</v>
      </c>
      <c r="J30" s="2416">
        <v>87</v>
      </c>
      <c r="K30" s="2416">
        <v>8</v>
      </c>
      <c r="L30" s="2418">
        <v>10162946.85</v>
      </c>
      <c r="M30" s="2420">
        <v>1198187.4999999998</v>
      </c>
      <c r="N30" s="2422">
        <v>185185</v>
      </c>
    </row>
    <row r="31" spans="1:14" ht="15.75" thickBot="1">
      <c r="A31" s="661" t="s">
        <v>672</v>
      </c>
      <c r="B31" s="662" t="s">
        <v>543</v>
      </c>
      <c r="C31" s="663" t="s">
        <v>683</v>
      </c>
      <c r="D31" s="664">
        <v>142</v>
      </c>
      <c r="E31" s="665">
        <v>4983378</v>
      </c>
      <c r="F31" s="2425"/>
      <c r="G31" s="2425"/>
      <c r="H31" s="2417"/>
      <c r="I31" s="2417"/>
      <c r="J31" s="2417"/>
      <c r="K31" s="2417"/>
      <c r="L31" s="2419"/>
      <c r="M31" s="2421"/>
      <c r="N31" s="2423"/>
    </row>
    <row r="32" spans="1:14" ht="15.75" thickBot="1">
      <c r="A32" s="667" t="s">
        <v>672</v>
      </c>
      <c r="B32" s="668" t="s">
        <v>543</v>
      </c>
      <c r="C32" s="669" t="s">
        <v>688</v>
      </c>
      <c r="D32" s="670">
        <v>190</v>
      </c>
      <c r="E32" s="671">
        <v>7297884</v>
      </c>
      <c r="F32" s="672" t="s">
        <v>674</v>
      </c>
      <c r="G32" s="672" t="s">
        <v>689</v>
      </c>
      <c r="H32" s="673">
        <v>169</v>
      </c>
      <c r="I32" s="673">
        <v>100</v>
      </c>
      <c r="J32" s="673">
        <v>53</v>
      </c>
      <c r="K32" s="673">
        <v>16</v>
      </c>
      <c r="L32" s="678">
        <v>6730151.0500000007</v>
      </c>
      <c r="M32" s="678">
        <v>870262.49999999988</v>
      </c>
      <c r="N32" s="679">
        <f>307555-20500</f>
        <v>287055</v>
      </c>
    </row>
    <row r="33" spans="1:14">
      <c r="A33" s="637" t="s">
        <v>690</v>
      </c>
      <c r="B33" s="638" t="s">
        <v>691</v>
      </c>
      <c r="C33" s="652" t="s">
        <v>692</v>
      </c>
      <c r="D33" s="653">
        <v>227</v>
      </c>
      <c r="E33" s="654">
        <v>5041696</v>
      </c>
      <c r="F33" s="681" t="s">
        <v>693</v>
      </c>
      <c r="G33" s="681" t="s">
        <v>694</v>
      </c>
      <c r="H33" s="682">
        <v>188</v>
      </c>
      <c r="I33" s="682">
        <v>137</v>
      </c>
      <c r="J33" s="682">
        <v>51</v>
      </c>
      <c r="K33" s="682">
        <v>0</v>
      </c>
      <c r="L33" s="684">
        <v>5295584.2500000009</v>
      </c>
      <c r="M33" s="684">
        <v>684675</v>
      </c>
      <c r="N33" s="685">
        <v>126909.75811530693</v>
      </c>
    </row>
    <row r="34" spans="1:14" ht="15.75" thickBot="1">
      <c r="A34" s="661" t="s">
        <v>690</v>
      </c>
      <c r="B34" s="662" t="s">
        <v>691</v>
      </c>
      <c r="C34" s="663" t="s">
        <v>629</v>
      </c>
      <c r="D34" s="664">
        <v>164</v>
      </c>
      <c r="E34" s="665">
        <v>5962041</v>
      </c>
      <c r="F34" s="686" t="s">
        <v>693</v>
      </c>
      <c r="G34" s="686" t="s">
        <v>695</v>
      </c>
      <c r="H34" s="687">
        <v>140</v>
      </c>
      <c r="I34" s="687">
        <v>89</v>
      </c>
      <c r="J34" s="687">
        <v>51</v>
      </c>
      <c r="K34" s="687">
        <v>0</v>
      </c>
      <c r="L34" s="689">
        <v>5149832.45</v>
      </c>
      <c r="M34" s="689">
        <v>966600.00000000012</v>
      </c>
      <c r="N34" s="690">
        <v>159709</v>
      </c>
    </row>
    <row r="35" spans="1:14" ht="15.75" thickBot="1">
      <c r="A35" s="667" t="s">
        <v>690</v>
      </c>
      <c r="B35" s="668" t="s">
        <v>696</v>
      </c>
      <c r="C35" s="669" t="s">
        <v>629</v>
      </c>
      <c r="D35" s="670">
        <v>155</v>
      </c>
      <c r="E35" s="671">
        <v>5234958</v>
      </c>
      <c r="F35" s="672" t="s">
        <v>693</v>
      </c>
      <c r="G35" s="672" t="s">
        <v>697</v>
      </c>
      <c r="H35" s="673">
        <v>113</v>
      </c>
      <c r="I35" s="673">
        <v>57</v>
      </c>
      <c r="J35" s="673">
        <v>48</v>
      </c>
      <c r="K35" s="673">
        <v>8</v>
      </c>
      <c r="L35" s="678">
        <v>5069218.55</v>
      </c>
      <c r="M35" s="678">
        <v>700000</v>
      </c>
      <c r="N35" s="679">
        <v>54438.442645659808</v>
      </c>
    </row>
    <row r="36" spans="1:14" ht="15.75" thickBot="1">
      <c r="A36" s="667" t="s">
        <v>690</v>
      </c>
      <c r="B36" s="668" t="s">
        <v>347</v>
      </c>
      <c r="C36" s="669" t="s">
        <v>698</v>
      </c>
      <c r="D36" s="670">
        <v>133</v>
      </c>
      <c r="E36" s="671">
        <v>5678509</v>
      </c>
      <c r="F36" s="672" t="s">
        <v>693</v>
      </c>
      <c r="G36" s="672" t="s">
        <v>699</v>
      </c>
      <c r="H36" s="673">
        <v>114</v>
      </c>
      <c r="I36" s="673">
        <v>60</v>
      </c>
      <c r="J36" s="673">
        <v>41</v>
      </c>
      <c r="K36" s="673">
        <v>13</v>
      </c>
      <c r="L36" s="678">
        <v>5959314.8499999996</v>
      </c>
      <c r="M36" s="678">
        <v>681074.99999999988</v>
      </c>
      <c r="N36" s="679">
        <v>81314.168611833957</v>
      </c>
    </row>
    <row r="37" spans="1:14">
      <c r="A37" s="637" t="s">
        <v>690</v>
      </c>
      <c r="B37" s="638" t="s">
        <v>700</v>
      </c>
      <c r="C37" s="652" t="s">
        <v>701</v>
      </c>
      <c r="D37" s="653">
        <v>154</v>
      </c>
      <c r="E37" s="654">
        <v>4061359</v>
      </c>
      <c r="F37" s="2424" t="s">
        <v>693</v>
      </c>
      <c r="G37" s="2424" t="s">
        <v>702</v>
      </c>
      <c r="H37" s="2416">
        <v>238</v>
      </c>
      <c r="I37" s="2416">
        <v>170</v>
      </c>
      <c r="J37" s="2416">
        <v>63</v>
      </c>
      <c r="K37" s="2416">
        <v>5</v>
      </c>
      <c r="L37" s="2418">
        <v>7913196.3499999996</v>
      </c>
      <c r="M37" s="2420">
        <v>853400</v>
      </c>
      <c r="N37" s="2422">
        <v>109316</v>
      </c>
    </row>
    <row r="38" spans="1:14" ht="15.75" thickBot="1">
      <c r="A38" s="661" t="s">
        <v>690</v>
      </c>
      <c r="B38" s="662" t="s">
        <v>700</v>
      </c>
      <c r="C38" s="663" t="s">
        <v>701</v>
      </c>
      <c r="D38" s="664">
        <v>128</v>
      </c>
      <c r="E38" s="665">
        <v>2509924</v>
      </c>
      <c r="F38" s="2425"/>
      <c r="G38" s="2425"/>
      <c r="H38" s="2417"/>
      <c r="I38" s="2417"/>
      <c r="J38" s="2417"/>
      <c r="K38" s="2417"/>
      <c r="L38" s="2419">
        <v>7883321.0999999996</v>
      </c>
      <c r="M38" s="2421"/>
      <c r="N38" s="2423"/>
    </row>
    <row r="39" spans="1:14" ht="15.75" thickBot="1">
      <c r="A39" s="667" t="s">
        <v>690</v>
      </c>
      <c r="B39" s="668" t="s">
        <v>533</v>
      </c>
      <c r="C39" s="669" t="s">
        <v>703</v>
      </c>
      <c r="D39" s="670">
        <v>108</v>
      </c>
      <c r="E39" s="671">
        <v>3784970</v>
      </c>
      <c r="F39" s="672" t="s">
        <v>693</v>
      </c>
      <c r="G39" s="672" t="s">
        <v>704</v>
      </c>
      <c r="H39" s="673">
        <v>100</v>
      </c>
      <c r="I39" s="673">
        <v>80</v>
      </c>
      <c r="J39" s="673">
        <v>12</v>
      </c>
      <c r="K39" s="673">
        <v>8</v>
      </c>
      <c r="L39" s="678">
        <v>3400865.5999999996</v>
      </c>
      <c r="M39" s="678">
        <v>251000</v>
      </c>
      <c r="N39" s="679">
        <v>70132.779110166011</v>
      </c>
    </row>
    <row r="40" spans="1:14" ht="15.75" thickBot="1">
      <c r="A40" s="667" t="s">
        <v>690</v>
      </c>
      <c r="B40" s="668" t="s">
        <v>540</v>
      </c>
      <c r="C40" s="669" t="s">
        <v>703</v>
      </c>
      <c r="D40" s="670">
        <v>237</v>
      </c>
      <c r="E40" s="671">
        <v>5517565</v>
      </c>
      <c r="F40" s="672" t="s">
        <v>693</v>
      </c>
      <c r="G40" s="672" t="s">
        <v>705</v>
      </c>
      <c r="H40" s="673">
        <v>202</v>
      </c>
      <c r="I40" s="673">
        <v>130</v>
      </c>
      <c r="J40" s="673">
        <v>64</v>
      </c>
      <c r="K40" s="673">
        <v>8</v>
      </c>
      <c r="L40" s="678">
        <v>6868708.7000000002</v>
      </c>
      <c r="M40" s="678">
        <v>900000</v>
      </c>
      <c r="N40" s="679">
        <v>105216.18699120828</v>
      </c>
    </row>
    <row r="41" spans="1:14">
      <c r="A41" s="637" t="s">
        <v>690</v>
      </c>
      <c r="B41" s="638" t="s">
        <v>706</v>
      </c>
      <c r="C41" s="652" t="s">
        <v>703</v>
      </c>
      <c r="D41" s="653">
        <v>143</v>
      </c>
      <c r="E41" s="654">
        <v>3992584</v>
      </c>
      <c r="F41" s="2424" t="s">
        <v>693</v>
      </c>
      <c r="G41" s="2424" t="s">
        <v>707</v>
      </c>
      <c r="H41" s="2416">
        <v>212</v>
      </c>
      <c r="I41" s="2416">
        <v>101</v>
      </c>
      <c r="J41" s="2416">
        <v>107</v>
      </c>
      <c r="K41" s="2416">
        <v>4</v>
      </c>
      <c r="L41" s="2418">
        <v>9111119.0499999989</v>
      </c>
      <c r="M41" s="2420">
        <v>1372237.5</v>
      </c>
      <c r="N41" s="2422">
        <v>154080</v>
      </c>
    </row>
    <row r="42" spans="1:14" ht="15.75" thickBot="1">
      <c r="A42" s="661" t="s">
        <v>690</v>
      </c>
      <c r="B42" s="662" t="s">
        <v>706</v>
      </c>
      <c r="C42" s="663" t="s">
        <v>629</v>
      </c>
      <c r="D42" s="664">
        <v>101</v>
      </c>
      <c r="E42" s="665">
        <v>2634080</v>
      </c>
      <c r="F42" s="2425"/>
      <c r="G42" s="2425"/>
      <c r="H42" s="2417"/>
      <c r="I42" s="2417"/>
      <c r="J42" s="2417"/>
      <c r="K42" s="2417"/>
      <c r="L42" s="2419">
        <v>9015408.75</v>
      </c>
      <c r="M42" s="2421"/>
      <c r="N42" s="2423"/>
    </row>
    <row r="43" spans="1:14" ht="15.75" thickBot="1">
      <c r="A43" s="667" t="s">
        <v>708</v>
      </c>
      <c r="B43" s="668" t="s">
        <v>709</v>
      </c>
      <c r="C43" s="669" t="s">
        <v>710</v>
      </c>
      <c r="D43" s="670">
        <v>575</v>
      </c>
      <c r="E43" s="671">
        <v>16010294</v>
      </c>
      <c r="F43" s="672" t="s">
        <v>531</v>
      </c>
      <c r="G43" s="672" t="s">
        <v>711</v>
      </c>
      <c r="H43" s="673">
        <v>461</v>
      </c>
      <c r="I43" s="673">
        <v>315</v>
      </c>
      <c r="J43" s="673">
        <v>101</v>
      </c>
      <c r="K43" s="673">
        <v>45</v>
      </c>
      <c r="L43" s="678">
        <v>16734286.400000002</v>
      </c>
      <c r="M43" s="678">
        <v>2094300.0000000002</v>
      </c>
      <c r="N43" s="679">
        <v>296590</v>
      </c>
    </row>
    <row r="44" spans="1:14" ht="15.75" thickBot="1">
      <c r="A44" s="667" t="s">
        <v>708</v>
      </c>
      <c r="B44" s="668" t="s">
        <v>712</v>
      </c>
      <c r="C44" s="669" t="s">
        <v>713</v>
      </c>
      <c r="D44" s="670">
        <v>1032</v>
      </c>
      <c r="E44" s="671">
        <v>25370621</v>
      </c>
      <c r="F44" s="672" t="s">
        <v>531</v>
      </c>
      <c r="G44" s="672" t="s">
        <v>714</v>
      </c>
      <c r="H44" s="673">
        <v>832</v>
      </c>
      <c r="I44" s="673">
        <v>394</v>
      </c>
      <c r="J44" s="673">
        <v>421</v>
      </c>
      <c r="K44" s="673">
        <v>17</v>
      </c>
      <c r="L44" s="678">
        <v>30147853.899999999</v>
      </c>
      <c r="M44" s="678">
        <v>6296325</v>
      </c>
      <c r="N44" s="679">
        <v>194719</v>
      </c>
    </row>
    <row r="45" spans="1:14" ht="15.75" thickBot="1">
      <c r="A45" s="667" t="s">
        <v>708</v>
      </c>
      <c r="B45" s="668" t="s">
        <v>715</v>
      </c>
      <c r="C45" s="669" t="s">
        <v>629</v>
      </c>
      <c r="D45" s="670">
        <v>710</v>
      </c>
      <c r="E45" s="671">
        <v>14462963</v>
      </c>
      <c r="F45" s="672" t="s">
        <v>531</v>
      </c>
      <c r="G45" s="672" t="s">
        <v>716</v>
      </c>
      <c r="H45" s="673">
        <v>645</v>
      </c>
      <c r="I45" s="673">
        <v>463</v>
      </c>
      <c r="J45" s="673">
        <v>182</v>
      </c>
      <c r="K45" s="673">
        <v>0</v>
      </c>
      <c r="L45" s="678">
        <v>17717965.050000001</v>
      </c>
      <c r="M45" s="678">
        <v>2577600</v>
      </c>
      <c r="N45" s="679">
        <v>114612</v>
      </c>
    </row>
    <row r="46" spans="1:14" ht="15.75" thickBot="1">
      <c r="A46" s="691" t="s">
        <v>708</v>
      </c>
      <c r="B46" s="692" t="s">
        <v>709</v>
      </c>
      <c r="C46" s="693" t="s">
        <v>629</v>
      </c>
      <c r="D46" s="694">
        <v>510</v>
      </c>
      <c r="E46" s="695">
        <v>12241211</v>
      </c>
      <c r="F46" s="696" t="s">
        <v>531</v>
      </c>
      <c r="G46" s="696" t="s">
        <v>717</v>
      </c>
      <c r="H46" s="697">
        <v>377</v>
      </c>
      <c r="I46" s="697">
        <v>253</v>
      </c>
      <c r="J46" s="697">
        <v>124</v>
      </c>
      <c r="K46" s="697">
        <v>0</v>
      </c>
      <c r="L46" s="699">
        <v>12412361.550000001</v>
      </c>
      <c r="M46" s="699">
        <v>1664700</v>
      </c>
      <c r="N46" s="700">
        <v>188333</v>
      </c>
    </row>
    <row r="47" spans="1:14" ht="15.75" thickBot="1">
      <c r="A47" s="701" t="s">
        <v>25</v>
      </c>
      <c r="B47" s="702"/>
      <c r="C47" s="702"/>
      <c r="D47" s="703">
        <f>SUM(D3:D46)</f>
        <v>11213</v>
      </c>
      <c r="E47" s="704">
        <f>SUM(E3:E46)</f>
        <v>269854141</v>
      </c>
      <c r="F47" s="705"/>
      <c r="G47" s="706"/>
      <c r="H47" s="707">
        <f>SUM(H3:H46)</f>
        <v>9546</v>
      </c>
      <c r="I47" s="707">
        <f>SUM(I3:I46)</f>
        <v>6863</v>
      </c>
      <c r="J47" s="707">
        <f>SUM(J3:J46)</f>
        <v>2479</v>
      </c>
      <c r="K47" s="707">
        <f>SUM(K3:K46)</f>
        <v>211</v>
      </c>
      <c r="L47" s="708">
        <v>296709682.60000002</v>
      </c>
      <c r="M47" s="708">
        <f>SUM(M3:M46)</f>
        <v>37011912.5</v>
      </c>
      <c r="N47" s="708">
        <f>SUM(N3:N46)</f>
        <v>5667435.5654741749</v>
      </c>
    </row>
    <row r="48" spans="1:14" ht="15" customHeight="1">
      <c r="B48" s="2426" t="s">
        <v>718</v>
      </c>
      <c r="C48" s="2426"/>
      <c r="D48" s="709"/>
      <c r="E48" s="2427" t="s">
        <v>719</v>
      </c>
      <c r="F48" s="2427"/>
      <c r="G48" s="2427"/>
      <c r="H48" s="2427"/>
      <c r="I48" s="2427"/>
      <c r="J48" s="2427"/>
      <c r="K48" s="2427"/>
      <c r="L48" s="2427"/>
      <c r="M48" s="710"/>
    </row>
    <row r="49" spans="11:14" ht="30" customHeight="1">
      <c r="M49" s="713" t="s">
        <v>720</v>
      </c>
      <c r="N49" s="714">
        <f>SUM(L47:N47)</f>
        <v>339389030.66547418</v>
      </c>
    </row>
    <row r="52" spans="11:14">
      <c r="L52" s="713">
        <f>L47-E47</f>
        <v>26855541.600000024</v>
      </c>
      <c r="M52" s="713">
        <f>L47+M47</f>
        <v>333721595.10000002</v>
      </c>
      <c r="N52" s="714"/>
    </row>
    <row r="54" spans="11:14">
      <c r="N54" s="714"/>
    </row>
    <row r="55" spans="11:14">
      <c r="K55" s="715">
        <f>(M52-E47)/E47</f>
        <v>0.23667398196420497</v>
      </c>
      <c r="L55" s="713">
        <f>M47+L52</f>
        <v>63867454.100000024</v>
      </c>
      <c r="M55" s="713" t="s">
        <v>721</v>
      </c>
    </row>
    <row r="56" spans="11:14">
      <c r="L56" s="713">
        <f>L55+N47</f>
        <v>69534889.665474206</v>
      </c>
      <c r="M56" s="713" t="s">
        <v>722</v>
      </c>
    </row>
  </sheetData>
  <autoFilter ref="A2:K48" xr:uid="{00000000-0009-0000-0000-000000000000}"/>
  <mergeCells count="104">
    <mergeCell ref="C1:E1"/>
    <mergeCell ref="G1:N1"/>
    <mergeCell ref="F3:F5"/>
    <mergeCell ref="G3:G5"/>
    <mergeCell ref="H3:H5"/>
    <mergeCell ref="I3:I5"/>
    <mergeCell ref="J3:J5"/>
    <mergeCell ref="K3:K5"/>
    <mergeCell ref="L3:L5"/>
    <mergeCell ref="M3:M5"/>
    <mergeCell ref="N3:N5"/>
    <mergeCell ref="O3:O5"/>
    <mergeCell ref="F6:F7"/>
    <mergeCell ref="G6:G7"/>
    <mergeCell ref="H6:H7"/>
    <mergeCell ref="I6:I7"/>
    <mergeCell ref="J6:J7"/>
    <mergeCell ref="K6:K7"/>
    <mergeCell ref="L6:L7"/>
    <mergeCell ref="M6:M7"/>
    <mergeCell ref="N6:N7"/>
    <mergeCell ref="F8:F9"/>
    <mergeCell ref="G8:G9"/>
    <mergeCell ref="H8:H9"/>
    <mergeCell ref="I8:I9"/>
    <mergeCell ref="J8:J9"/>
    <mergeCell ref="K8:K9"/>
    <mergeCell ref="L8:L9"/>
    <mergeCell ref="M8:M9"/>
    <mergeCell ref="N8:N9"/>
    <mergeCell ref="L11:L12"/>
    <mergeCell ref="M11:M12"/>
    <mergeCell ref="N11:N12"/>
    <mergeCell ref="F14:F15"/>
    <mergeCell ref="G14:G15"/>
    <mergeCell ref="H14:H15"/>
    <mergeCell ref="I14:I15"/>
    <mergeCell ref="J14:J15"/>
    <mergeCell ref="K14:K15"/>
    <mergeCell ref="L14:L15"/>
    <mergeCell ref="F11:F12"/>
    <mergeCell ref="G11:G12"/>
    <mergeCell ref="H11:H12"/>
    <mergeCell ref="I11:I12"/>
    <mergeCell ref="J11:J12"/>
    <mergeCell ref="K11:K12"/>
    <mergeCell ref="M14:M15"/>
    <mergeCell ref="N14:N15"/>
    <mergeCell ref="F16:F17"/>
    <mergeCell ref="G16:G17"/>
    <mergeCell ref="H16:H17"/>
    <mergeCell ref="I16:I17"/>
    <mergeCell ref="J16:J17"/>
    <mergeCell ref="K16:K17"/>
    <mergeCell ref="L16:L17"/>
    <mergeCell ref="M16:M17"/>
    <mergeCell ref="N16:N17"/>
    <mergeCell ref="F18:F19"/>
    <mergeCell ref="G18:G19"/>
    <mergeCell ref="H18:H19"/>
    <mergeCell ref="I18:I19"/>
    <mergeCell ref="J18:J19"/>
    <mergeCell ref="K18:K19"/>
    <mergeCell ref="L18:L19"/>
    <mergeCell ref="M18:M19"/>
    <mergeCell ref="N18:N19"/>
    <mergeCell ref="B48:C48"/>
    <mergeCell ref="E48:L48"/>
    <mergeCell ref="L28:L29"/>
    <mergeCell ref="M28:M29"/>
    <mergeCell ref="N28:N29"/>
    <mergeCell ref="F30:F31"/>
    <mergeCell ref="G30:G31"/>
    <mergeCell ref="H30:H31"/>
    <mergeCell ref="I30:I31"/>
    <mergeCell ref="J30:J31"/>
    <mergeCell ref="K30:K31"/>
    <mergeCell ref="L30:L31"/>
    <mergeCell ref="F28:F29"/>
    <mergeCell ref="G28:G29"/>
    <mergeCell ref="H28:H29"/>
    <mergeCell ref="I28:I29"/>
    <mergeCell ref="J28:J29"/>
    <mergeCell ref="K28:K29"/>
    <mergeCell ref="M30:M31"/>
    <mergeCell ref="N30:N31"/>
    <mergeCell ref="N37:N38"/>
    <mergeCell ref="F41:F42"/>
    <mergeCell ref="G41:G42"/>
    <mergeCell ref="H41:H42"/>
    <mergeCell ref="I41:I42"/>
    <mergeCell ref="J41:J42"/>
    <mergeCell ref="K41:K42"/>
    <mergeCell ref="L41:L42"/>
    <mergeCell ref="M41:M42"/>
    <mergeCell ref="N41:N42"/>
    <mergeCell ref="F37:F38"/>
    <mergeCell ref="G37:G38"/>
    <mergeCell ref="H37:H38"/>
    <mergeCell ref="I37:I38"/>
    <mergeCell ref="J37:J38"/>
    <mergeCell ref="K37:K38"/>
    <mergeCell ref="L37:L38"/>
    <mergeCell ref="M37:M38"/>
  </mergeCells>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J32"/>
  <sheetViews>
    <sheetView zoomScale="90" zoomScaleNormal="90" workbookViewId="0">
      <selection activeCell="F30" sqref="F30"/>
    </sheetView>
  </sheetViews>
  <sheetFormatPr defaultColWidth="8.5703125" defaultRowHeight="15"/>
  <cols>
    <col min="1" max="1" width="5.5703125" customWidth="1"/>
    <col min="2" max="2" width="58" customWidth="1"/>
    <col min="3" max="3" width="16.42578125" customWidth="1"/>
    <col min="4" max="4" width="10" hidden="1" customWidth="1"/>
    <col min="5" max="5" width="1.5703125" customWidth="1"/>
    <col min="6" max="6" width="50.5703125" customWidth="1"/>
    <col min="7" max="7" width="65" style="1102" customWidth="1"/>
    <col min="8" max="8" width="14.5703125" hidden="1" customWidth="1"/>
    <col min="9" max="9" width="0" hidden="1" customWidth="1"/>
    <col min="10" max="10" width="11" hidden="1" customWidth="1"/>
    <col min="11" max="11" width="0" hidden="1" customWidth="1"/>
  </cols>
  <sheetData>
    <row r="1" spans="2:10" ht="57" customHeight="1">
      <c r="B1" s="1100">
        <v>43777</v>
      </c>
      <c r="C1" s="1101" t="s">
        <v>823</v>
      </c>
      <c r="D1" s="1101" t="s">
        <v>824</v>
      </c>
    </row>
    <row r="2" spans="2:10" ht="15.75" thickBot="1">
      <c r="B2" s="10" t="s">
        <v>825</v>
      </c>
      <c r="C2" s="1103" t="s">
        <v>826</v>
      </c>
      <c r="D2" s="1101" t="s">
        <v>827</v>
      </c>
      <c r="G2" s="1104" t="s">
        <v>828</v>
      </c>
      <c r="H2" s="1101" t="s">
        <v>829</v>
      </c>
      <c r="J2" t="s">
        <v>830</v>
      </c>
    </row>
    <row r="3" spans="2:10" ht="31.35" customHeight="1">
      <c r="B3" s="1105" t="s">
        <v>831</v>
      </c>
      <c r="C3" s="1106">
        <v>15.48</v>
      </c>
      <c r="D3" s="1106">
        <f>'[17]DC I &amp; II'!J12</f>
        <v>16.796506410256413</v>
      </c>
      <c r="E3" s="1107"/>
      <c r="F3" s="2498" t="s">
        <v>832</v>
      </c>
      <c r="G3" s="2500" t="s">
        <v>833</v>
      </c>
      <c r="H3" s="1108">
        <f>H4/2080</f>
        <v>15.480288461538462</v>
      </c>
      <c r="J3" s="640">
        <f>D3-H3</f>
        <v>1.3162179487179504</v>
      </c>
    </row>
    <row r="4" spans="2:10" ht="16.5" thickBot="1">
      <c r="B4" s="1109" t="s">
        <v>834</v>
      </c>
      <c r="C4" s="1110">
        <f>C3*2080</f>
        <v>32198.400000000001</v>
      </c>
      <c r="D4" s="1110">
        <f>D3*2080</f>
        <v>34936.733333333337</v>
      </c>
      <c r="E4" s="1111"/>
      <c r="F4" s="2499"/>
      <c r="G4" s="2501"/>
      <c r="H4" s="1112">
        <v>32199</v>
      </c>
      <c r="J4" s="640"/>
    </row>
    <row r="5" spans="2:10" ht="15.75">
      <c r="B5" s="1105" t="s">
        <v>835</v>
      </c>
      <c r="C5" s="1106">
        <v>19.96</v>
      </c>
      <c r="D5" s="1106">
        <f>'[17]DC III '!J11</f>
        <v>20.893115384615385</v>
      </c>
      <c r="E5" s="1107"/>
      <c r="F5" s="1107" t="s">
        <v>836</v>
      </c>
      <c r="G5" s="2500" t="s">
        <v>837</v>
      </c>
      <c r="H5" s="1108">
        <f>H6/2080</f>
        <v>18.400480769230768</v>
      </c>
      <c r="J5" s="640">
        <f>D5-H5</f>
        <v>2.4926346153846168</v>
      </c>
    </row>
    <row r="6" spans="2:10" ht="16.5" thickBot="1">
      <c r="B6" s="1113" t="s">
        <v>838</v>
      </c>
      <c r="C6" s="1114">
        <f>C5*2080</f>
        <v>41516.800000000003</v>
      </c>
      <c r="D6" s="1114">
        <f>D5*2080</f>
        <v>43457.68</v>
      </c>
      <c r="E6" s="1115"/>
      <c r="F6" s="1115"/>
      <c r="G6" s="2501"/>
      <c r="H6" s="1112">
        <v>38273</v>
      </c>
      <c r="J6" s="640"/>
    </row>
    <row r="7" spans="2:10" ht="15.75">
      <c r="B7" s="1105" t="s">
        <v>839</v>
      </c>
      <c r="C7" s="1106">
        <v>15.53</v>
      </c>
      <c r="D7" s="1106">
        <f>[17]CNA!L13</f>
        <v>16.170000000000002</v>
      </c>
      <c r="E7" s="1107"/>
      <c r="F7" s="1107"/>
      <c r="G7" s="2500" t="s">
        <v>840</v>
      </c>
      <c r="H7" s="1108">
        <f>H8/2080</f>
        <v>20.43028846153846</v>
      </c>
      <c r="J7" s="1116">
        <f>D7-H7</f>
        <v>-4.2602884615384582</v>
      </c>
    </row>
    <row r="8" spans="2:10" ht="16.5" thickBot="1">
      <c r="B8" s="1113" t="s">
        <v>841</v>
      </c>
      <c r="C8" s="1114">
        <f>C7*2080</f>
        <v>32302.399999999998</v>
      </c>
      <c r="D8" s="1114">
        <f>D7*2080</f>
        <v>33633.600000000006</v>
      </c>
      <c r="E8" s="1115"/>
      <c r="F8" s="1115"/>
      <c r="G8" s="2501"/>
      <c r="H8" s="1112">
        <v>42495</v>
      </c>
      <c r="J8" s="640"/>
    </row>
    <row r="9" spans="2:10" ht="15.75">
      <c r="B9" s="1105" t="s">
        <v>842</v>
      </c>
      <c r="C9" s="1106">
        <f>'[17]Caseworker BA'!L9</f>
        <v>21.14</v>
      </c>
      <c r="D9" s="1106">
        <f>'[17]Caseworker BA'!J9</f>
        <v>22.073999999999998</v>
      </c>
      <c r="E9" s="1107"/>
      <c r="F9" s="1107" t="s">
        <v>843</v>
      </c>
      <c r="G9" s="2500" t="s">
        <v>844</v>
      </c>
      <c r="H9" s="2496" t="s">
        <v>181</v>
      </c>
      <c r="J9" s="640"/>
    </row>
    <row r="10" spans="2:10" ht="16.5" thickBot="1">
      <c r="B10" s="1113" t="s">
        <v>845</v>
      </c>
      <c r="C10" s="1114">
        <f>C9*2080</f>
        <v>43971.200000000004</v>
      </c>
      <c r="D10" s="1114">
        <f>D9*2080</f>
        <v>45913.919999999998</v>
      </c>
      <c r="E10" s="1115"/>
      <c r="F10" s="1115"/>
      <c r="G10" s="2501"/>
      <c r="H10" s="2497"/>
      <c r="J10" s="640"/>
    </row>
    <row r="11" spans="2:10" ht="31.5">
      <c r="B11" s="1117" t="s">
        <v>846</v>
      </c>
      <c r="C11" s="1118">
        <v>25.32</v>
      </c>
      <c r="D11" s="1118">
        <f>'[17]Casemanager MA '!J13</f>
        <v>26.866666666666664</v>
      </c>
      <c r="E11" s="1111"/>
      <c r="F11" s="1111" t="s">
        <v>943</v>
      </c>
      <c r="G11" s="2502" t="s">
        <v>847</v>
      </c>
      <c r="H11" s="1108">
        <f>H12/2080</f>
        <v>19.703365384615385</v>
      </c>
      <c r="J11" s="640">
        <f>D11-H11</f>
        <v>7.1633012820512789</v>
      </c>
    </row>
    <row r="12" spans="2:10" ht="32.25" thickBot="1">
      <c r="B12" s="1117" t="s">
        <v>848</v>
      </c>
      <c r="C12" s="1114">
        <f>C11*2080</f>
        <v>52665.599999999999</v>
      </c>
      <c r="D12" s="1114">
        <f>D11*2080</f>
        <v>55882.666666666657</v>
      </c>
      <c r="E12" s="1115"/>
      <c r="F12" s="1115" t="s">
        <v>849</v>
      </c>
      <c r="G12" s="2501"/>
      <c r="H12" s="1112">
        <v>40983</v>
      </c>
      <c r="J12" s="640"/>
    </row>
    <row r="13" spans="2:10" ht="15.75">
      <c r="B13" s="1105" t="s">
        <v>850</v>
      </c>
      <c r="C13" s="1106">
        <v>29.29</v>
      </c>
      <c r="D13" s="1106">
        <f>'[17]Clinician w indep Lic'!O13</f>
        <v>30.101111111111109</v>
      </c>
      <c r="E13" s="1107"/>
      <c r="F13" s="1107" t="s">
        <v>851</v>
      </c>
      <c r="G13" s="2500" t="s">
        <v>852</v>
      </c>
      <c r="H13" s="1108">
        <f>H14/2080</f>
        <v>27.190865384615385</v>
      </c>
      <c r="J13" s="640">
        <f>D13-H13</f>
        <v>2.9102457264957238</v>
      </c>
    </row>
    <row r="14" spans="2:10" ht="16.5" thickBot="1">
      <c r="B14" s="1113" t="s">
        <v>853</v>
      </c>
      <c r="C14" s="1114">
        <f>C13*2080</f>
        <v>60923.199999999997</v>
      </c>
      <c r="D14" s="1114">
        <f>D13*2080</f>
        <v>62610.311111111107</v>
      </c>
      <c r="E14" s="1115"/>
      <c r="F14" s="1115"/>
      <c r="G14" s="2501"/>
      <c r="H14" s="1112">
        <v>56557</v>
      </c>
      <c r="J14" s="640"/>
    </row>
    <row r="15" spans="2:10" ht="15.75">
      <c r="B15" s="1105" t="s">
        <v>854</v>
      </c>
      <c r="C15" s="1106">
        <v>40.06</v>
      </c>
      <c r="D15" s="1106">
        <f>'[17]Clinical Manager'!I6</f>
        <v>42.94</v>
      </c>
      <c r="E15" s="1107"/>
      <c r="F15" s="2503" t="s">
        <v>855</v>
      </c>
      <c r="G15" s="2500" t="s">
        <v>856</v>
      </c>
      <c r="H15" s="1108">
        <f>H16/2080</f>
        <v>33.217788461538461</v>
      </c>
      <c r="J15" s="640">
        <f>D15-H15</f>
        <v>9.7222115384615364</v>
      </c>
    </row>
    <row r="16" spans="2:10" ht="16.5" thickBot="1">
      <c r="B16" s="1113" t="s">
        <v>857</v>
      </c>
      <c r="C16" s="1114">
        <f>C15*2080</f>
        <v>83324.800000000003</v>
      </c>
      <c r="D16" s="1114">
        <f>D15*2080</f>
        <v>89315.199999999997</v>
      </c>
      <c r="E16" s="1115"/>
      <c r="F16" s="2504"/>
      <c r="G16" s="2501"/>
      <c r="H16" s="1112">
        <v>69093</v>
      </c>
      <c r="J16" s="640"/>
    </row>
    <row r="17" spans="2:10" ht="15.75">
      <c r="B17" s="1105" t="s">
        <v>858</v>
      </c>
      <c r="C17" s="1106">
        <v>27.62</v>
      </c>
      <c r="D17" s="1106">
        <f>[17]LPN!H6</f>
        <v>28.36</v>
      </c>
      <c r="E17" s="1107"/>
      <c r="F17" s="1107"/>
      <c r="G17" s="2500" t="s">
        <v>859</v>
      </c>
      <c r="H17" s="1108">
        <f>H18/2080</f>
        <v>25.143750000000001</v>
      </c>
      <c r="J17" s="640">
        <f>D17-H17</f>
        <v>3.2162499999999987</v>
      </c>
    </row>
    <row r="18" spans="2:10" ht="16.5" thickBot="1">
      <c r="B18" s="1113" t="s">
        <v>860</v>
      </c>
      <c r="C18" s="1114">
        <f>C17*2080</f>
        <v>57449.599999999999</v>
      </c>
      <c r="D18" s="1114">
        <f>D17*2080</f>
        <v>58988.799999999996</v>
      </c>
      <c r="E18" s="1115"/>
      <c r="F18" s="1115"/>
      <c r="G18" s="2501"/>
      <c r="H18" s="1112">
        <v>52299</v>
      </c>
      <c r="J18" s="640"/>
    </row>
    <row r="19" spans="2:10" ht="15.75">
      <c r="B19" s="1105" t="s">
        <v>861</v>
      </c>
      <c r="C19" s="1106">
        <v>41.76</v>
      </c>
      <c r="D19" s="1106">
        <f>'[17]BS RN'!K16</f>
        <v>44.3</v>
      </c>
      <c r="E19" s="1107"/>
      <c r="F19" s="1107"/>
      <c r="G19" s="2500" t="s">
        <v>862</v>
      </c>
      <c r="H19" s="1119">
        <f>H20/2080</f>
        <v>33.460576923076921</v>
      </c>
      <c r="J19" s="640">
        <f>D19-H19</f>
        <v>10.839423076923076</v>
      </c>
    </row>
    <row r="20" spans="2:10" ht="16.5" thickBot="1">
      <c r="B20" s="1113" t="s">
        <v>863</v>
      </c>
      <c r="C20" s="1114">
        <f>C19*2080</f>
        <v>86860.800000000003</v>
      </c>
      <c r="D20" s="1114">
        <f>D19*2080</f>
        <v>92144</v>
      </c>
      <c r="E20" s="1115"/>
      <c r="F20" s="1115"/>
      <c r="G20" s="2501"/>
      <c r="H20" s="1112">
        <v>69598</v>
      </c>
      <c r="J20" s="640"/>
    </row>
    <row r="21" spans="2:10" ht="15.75">
      <c r="B21" s="1105" t="s">
        <v>864</v>
      </c>
      <c r="C21" s="1106">
        <v>57.41</v>
      </c>
      <c r="D21" s="1106">
        <f>'[17]MS RN. APRN'!K15</f>
        <v>59.01</v>
      </c>
      <c r="E21" s="1107"/>
      <c r="F21" s="1107"/>
      <c r="G21" s="2500" t="s">
        <v>865</v>
      </c>
      <c r="H21" s="1108">
        <f>H22/2080</f>
        <v>48.354326923076925</v>
      </c>
      <c r="J21" s="640">
        <f>D21-H21</f>
        <v>10.655673076923073</v>
      </c>
    </row>
    <row r="22" spans="2:10" ht="16.5" thickBot="1">
      <c r="B22" s="1113" t="s">
        <v>866</v>
      </c>
      <c r="C22" s="1114">
        <f>C21*2080</f>
        <v>119412.79999999999</v>
      </c>
      <c r="D22" s="1114">
        <f>D21*2080</f>
        <v>122740.8</v>
      </c>
      <c r="E22" s="1115"/>
      <c r="F22" s="1115"/>
      <c r="G22" s="2501"/>
      <c r="H22" s="1112">
        <v>100577</v>
      </c>
      <c r="J22" s="640"/>
    </row>
    <row r="26" spans="2:10" ht="15.75">
      <c r="B26" s="1120" t="s">
        <v>867</v>
      </c>
      <c r="C26" s="1110">
        <f>C4</f>
        <v>32198.400000000001</v>
      </c>
    </row>
    <row r="27" spans="2:10" ht="15.75">
      <c r="B27" s="1111"/>
      <c r="C27" s="1111"/>
    </row>
    <row r="28" spans="2:10" ht="15.75">
      <c r="B28" s="1120" t="s">
        <v>868</v>
      </c>
      <c r="C28" s="1110">
        <v>29640</v>
      </c>
    </row>
    <row r="29" spans="2:10" ht="15.75">
      <c r="B29" s="1111"/>
      <c r="C29" s="1111"/>
    </row>
    <row r="30" spans="2:10" ht="15.75">
      <c r="B30" s="1120" t="s">
        <v>869</v>
      </c>
      <c r="C30" s="1720">
        <v>0.224</v>
      </c>
    </row>
    <row r="31" spans="2:10" ht="15.75">
      <c r="B31" s="1120" t="s">
        <v>870</v>
      </c>
      <c r="C31" s="1121">
        <f>'CAF 2019 Fall'!BZ25</f>
        <v>1.7780248869661817E-2</v>
      </c>
    </row>
    <row r="32" spans="2:10" ht="15.75">
      <c r="B32" s="1120" t="s">
        <v>871</v>
      </c>
      <c r="C32" s="1121">
        <v>3.7000000000000002E-3</v>
      </c>
    </row>
  </sheetData>
  <mergeCells count="13">
    <mergeCell ref="G21:G22"/>
    <mergeCell ref="G11:G12"/>
    <mergeCell ref="G13:G14"/>
    <mergeCell ref="F15:F16"/>
    <mergeCell ref="G15:G16"/>
    <mergeCell ref="G17:G18"/>
    <mergeCell ref="G19:G20"/>
    <mergeCell ref="H9:H10"/>
    <mergeCell ref="F3:F4"/>
    <mergeCell ref="G3:G4"/>
    <mergeCell ref="G5:G6"/>
    <mergeCell ref="G7:G8"/>
    <mergeCell ref="G9:G10"/>
  </mergeCells>
  <pageMargins left="0.25" right="0.25" top="0.75" bottom="0.75" header="0.3" footer="0.3"/>
  <pageSetup scale="69" fitToHeight="0" orientation="landscape" cellComments="asDisplayed"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3"/>
  <sheetViews>
    <sheetView workbookViewId="0">
      <selection activeCell="H11" sqref="H11"/>
    </sheetView>
  </sheetViews>
  <sheetFormatPr defaultColWidth="8.5703125" defaultRowHeight="15"/>
  <cols>
    <col min="1" max="1" width="41.85546875" style="314" bestFit="1" customWidth="1"/>
    <col min="2" max="2" width="8.5703125" style="314"/>
    <col min="3" max="3" width="10" style="314" customWidth="1"/>
    <col min="4" max="6" width="14" style="314" customWidth="1"/>
    <col min="7" max="7" width="8.85546875" style="1892" hidden="1" customWidth="1"/>
    <col min="8" max="16384" width="8.5703125" style="314"/>
  </cols>
  <sheetData>
    <row r="1" spans="1:7">
      <c r="A1" s="1889" t="s">
        <v>1168</v>
      </c>
      <c r="B1" s="1890"/>
      <c r="C1" s="1891"/>
      <c r="D1" s="1891"/>
      <c r="E1" s="1891"/>
      <c r="F1" s="1891"/>
    </row>
    <row r="2" spans="1:7" ht="15.75" thickBot="1">
      <c r="A2" s="1893" t="s">
        <v>1169</v>
      </c>
      <c r="B2" s="1894"/>
      <c r="C2" s="2505" t="s">
        <v>1170</v>
      </c>
      <c r="D2" s="2506"/>
      <c r="E2" s="2506"/>
      <c r="F2" s="2506"/>
    </row>
    <row r="3" spans="1:7" ht="26.25" thickBot="1">
      <c r="A3" s="1895" t="s">
        <v>1171</v>
      </c>
      <c r="B3" s="1896" t="s">
        <v>1172</v>
      </c>
      <c r="C3" s="1897" t="s">
        <v>1173</v>
      </c>
      <c r="D3" s="1898" t="s">
        <v>1174</v>
      </c>
      <c r="E3" s="1898" t="s">
        <v>1175</v>
      </c>
      <c r="F3" s="1899" t="s">
        <v>1176</v>
      </c>
      <c r="G3" s="1900" t="s">
        <v>1177</v>
      </c>
    </row>
    <row r="4" spans="1:7">
      <c r="A4" s="1901" t="s">
        <v>1178</v>
      </c>
      <c r="B4" s="1902">
        <v>41.22</v>
      </c>
      <c r="C4" s="1903">
        <v>2492382</v>
      </c>
      <c r="D4" s="1904">
        <v>102735986.04000002</v>
      </c>
      <c r="E4" s="1904">
        <v>2480029</v>
      </c>
      <c r="F4" s="1904">
        <v>102226768.48</v>
      </c>
      <c r="G4" s="1905">
        <f>E4*B4</f>
        <v>102226795.38</v>
      </c>
    </row>
    <row r="5" spans="1:7">
      <c r="A5" s="1906" t="s">
        <v>1179</v>
      </c>
      <c r="B5" s="1907">
        <v>169.88</v>
      </c>
      <c r="C5" s="1908">
        <v>181306</v>
      </c>
      <c r="D5" s="1909">
        <v>30800263.280000001</v>
      </c>
      <c r="E5" s="1909">
        <v>181217</v>
      </c>
      <c r="F5" s="1909">
        <v>30785143.960000005</v>
      </c>
      <c r="G5" s="1905">
        <f t="shared" ref="G5:G20" si="0">E5*B5</f>
        <v>30785143.960000001</v>
      </c>
    </row>
    <row r="6" spans="1:7">
      <c r="A6" s="1906" t="s">
        <v>1180</v>
      </c>
      <c r="B6" s="1907">
        <v>274.5</v>
      </c>
      <c r="C6" s="1908">
        <v>232579</v>
      </c>
      <c r="D6" s="1909">
        <v>63842935.5</v>
      </c>
      <c r="E6" s="1909">
        <v>230709</v>
      </c>
      <c r="F6" s="1909">
        <v>63329620.5</v>
      </c>
      <c r="G6" s="1905">
        <f t="shared" si="0"/>
        <v>63329620.5</v>
      </c>
    </row>
    <row r="7" spans="1:7">
      <c r="A7" s="1906" t="s">
        <v>1181</v>
      </c>
      <c r="B7" s="1907">
        <v>202.57</v>
      </c>
      <c r="C7" s="1908">
        <v>388256</v>
      </c>
      <c r="D7" s="1909">
        <v>78649017.920000017</v>
      </c>
      <c r="E7" s="1909">
        <v>387409</v>
      </c>
      <c r="F7" s="1909">
        <v>78477441.130000025</v>
      </c>
      <c r="G7" s="1905">
        <f t="shared" si="0"/>
        <v>78477441.129999995</v>
      </c>
    </row>
    <row r="8" spans="1:7">
      <c r="A8" s="1906" t="s">
        <v>1182</v>
      </c>
      <c r="B8" s="1907">
        <v>264.08</v>
      </c>
      <c r="C8" s="1908">
        <v>4380</v>
      </c>
      <c r="D8" s="1909">
        <v>1156670.3999999999</v>
      </c>
      <c r="E8" s="1909">
        <v>4380</v>
      </c>
      <c r="F8" s="1909">
        <v>1156670.3999999999</v>
      </c>
      <c r="G8" s="1905">
        <f t="shared" si="0"/>
        <v>1156670.3999999999</v>
      </c>
    </row>
    <row r="9" spans="1:7">
      <c r="A9" s="1906" t="s">
        <v>1183</v>
      </c>
      <c r="B9" s="1907">
        <v>403.62</v>
      </c>
      <c r="C9" s="1908">
        <v>9734</v>
      </c>
      <c r="D9" s="1909">
        <v>3928837.0799999996</v>
      </c>
      <c r="E9" s="1909">
        <v>9652</v>
      </c>
      <c r="F9" s="1909">
        <v>3895347.61</v>
      </c>
      <c r="G9" s="1905">
        <f t="shared" si="0"/>
        <v>3895740.24</v>
      </c>
    </row>
    <row r="10" spans="1:7">
      <c r="A10" s="1906" t="s">
        <v>1184</v>
      </c>
      <c r="B10" s="1907">
        <v>306.31</v>
      </c>
      <c r="C10" s="1908">
        <v>14843</v>
      </c>
      <c r="D10" s="1909">
        <v>4546559.33</v>
      </c>
      <c r="E10" s="1909">
        <v>14813</v>
      </c>
      <c r="F10" s="1909">
        <v>4537370.03</v>
      </c>
      <c r="G10" s="1905">
        <f t="shared" si="0"/>
        <v>4537370.03</v>
      </c>
    </row>
    <row r="11" spans="1:7">
      <c r="A11" s="1906" t="s">
        <v>1185</v>
      </c>
      <c r="B11" s="1910">
        <v>229.15</v>
      </c>
      <c r="C11" s="1908">
        <v>4378</v>
      </c>
      <c r="D11" s="1909">
        <v>1003218.7</v>
      </c>
      <c r="E11" s="1909">
        <v>4378</v>
      </c>
      <c r="F11" s="1909">
        <v>1003218.7</v>
      </c>
      <c r="G11" s="1905">
        <f>E11*B11</f>
        <v>1003218.7000000001</v>
      </c>
    </row>
    <row r="12" spans="1:7">
      <c r="A12" s="1906" t="s">
        <v>1186</v>
      </c>
      <c r="B12" s="1907">
        <v>364.62</v>
      </c>
      <c r="C12" s="1908">
        <v>3588</v>
      </c>
      <c r="D12" s="1909">
        <v>1308256.56</v>
      </c>
      <c r="E12" s="1909">
        <v>3588</v>
      </c>
      <c r="F12" s="1909">
        <v>1308256.56</v>
      </c>
      <c r="G12" s="1905">
        <f t="shared" si="0"/>
        <v>1308256.56</v>
      </c>
    </row>
    <row r="13" spans="1:7">
      <c r="A13" s="1906" t="s">
        <v>1187</v>
      </c>
      <c r="B13" s="1907">
        <v>458.31</v>
      </c>
      <c r="C13" s="1908">
        <v>5171</v>
      </c>
      <c r="D13" s="1909">
        <v>2369921.0099999998</v>
      </c>
      <c r="E13" s="1909">
        <v>5021</v>
      </c>
      <c r="F13" s="1909">
        <v>2301174.5099999998</v>
      </c>
      <c r="G13" s="1905">
        <f t="shared" si="0"/>
        <v>2301174.5100000002</v>
      </c>
    </row>
    <row r="14" spans="1:7">
      <c r="A14" s="1906" t="s">
        <v>1188</v>
      </c>
      <c r="B14" s="1907">
        <v>402.33</v>
      </c>
      <c r="C14" s="1908">
        <v>8974</v>
      </c>
      <c r="D14" s="1909">
        <v>3610509.42</v>
      </c>
      <c r="E14" s="1909">
        <v>8974</v>
      </c>
      <c r="F14" s="1909">
        <v>3610509.42</v>
      </c>
      <c r="G14" s="1905">
        <f t="shared" si="0"/>
        <v>3610509.42</v>
      </c>
    </row>
    <row r="15" spans="1:7">
      <c r="A15" s="1906" t="s">
        <v>1189</v>
      </c>
      <c r="B15" s="1907">
        <v>295.94</v>
      </c>
      <c r="C15" s="1908">
        <v>3969</v>
      </c>
      <c r="D15" s="1909">
        <v>1174585.8600000001</v>
      </c>
      <c r="E15" s="1909">
        <v>3969</v>
      </c>
      <c r="F15" s="1909">
        <v>1174585.8600000001</v>
      </c>
      <c r="G15" s="1905">
        <f t="shared" si="0"/>
        <v>1174585.8600000001</v>
      </c>
    </row>
    <row r="16" spans="1:7">
      <c r="A16" s="1906" t="s">
        <v>1190</v>
      </c>
      <c r="B16" s="1907">
        <v>395.67</v>
      </c>
      <c r="C16" s="1908">
        <v>10975</v>
      </c>
      <c r="D16" s="1909">
        <v>4342478.25</v>
      </c>
      <c r="E16" s="1909">
        <v>10945</v>
      </c>
      <c r="F16" s="1909">
        <v>4330608.1500000004</v>
      </c>
      <c r="G16" s="1905">
        <f t="shared" si="0"/>
        <v>4330608.1500000004</v>
      </c>
    </row>
    <row r="17" spans="1:7">
      <c r="A17" s="1906" t="s">
        <v>1191</v>
      </c>
      <c r="B17" s="1907">
        <v>328.23</v>
      </c>
      <c r="C17" s="1908">
        <v>19637</v>
      </c>
      <c r="D17" s="1909">
        <v>6445452.5099999998</v>
      </c>
      <c r="E17" s="1909">
        <v>19609</v>
      </c>
      <c r="F17" s="1909">
        <v>6436262.0699999994</v>
      </c>
      <c r="G17" s="1905">
        <f t="shared" si="0"/>
        <v>6436262.0700000003</v>
      </c>
    </row>
    <row r="18" spans="1:7">
      <c r="A18" s="1906" t="s">
        <v>1192</v>
      </c>
      <c r="B18" s="1907">
        <v>90.33</v>
      </c>
      <c r="C18" s="1908">
        <v>46481</v>
      </c>
      <c r="D18" s="1909">
        <v>4198628.7300000004</v>
      </c>
      <c r="E18" s="1909">
        <v>46481</v>
      </c>
      <c r="F18" s="1909">
        <v>4198628.7300000004</v>
      </c>
      <c r="G18" s="1905">
        <f t="shared" si="0"/>
        <v>4198628.7299999995</v>
      </c>
    </row>
    <row r="19" spans="1:7">
      <c r="A19" s="1906" t="s">
        <v>1193</v>
      </c>
      <c r="B19" s="1907">
        <v>77.25</v>
      </c>
      <c r="C19" s="1908">
        <v>40205</v>
      </c>
      <c r="D19" s="1909">
        <v>3105836.25</v>
      </c>
      <c r="E19" s="1909">
        <v>40190</v>
      </c>
      <c r="F19" s="1909">
        <v>3104658.9699999997</v>
      </c>
      <c r="G19" s="1905">
        <f t="shared" si="0"/>
        <v>3104677.5</v>
      </c>
    </row>
    <row r="20" spans="1:7" ht="15.75" thickBot="1">
      <c r="A20" s="1911" t="s">
        <v>1194</v>
      </c>
      <c r="B20" s="1912">
        <v>64.17</v>
      </c>
      <c r="C20" s="1913">
        <v>12360</v>
      </c>
      <c r="D20" s="1914">
        <v>793141.2</v>
      </c>
      <c r="E20" s="1914">
        <v>12360</v>
      </c>
      <c r="F20" s="1914">
        <v>793141.2</v>
      </c>
      <c r="G20" s="1915">
        <f t="shared" si="0"/>
        <v>793141.20000000007</v>
      </c>
    </row>
    <row r="21" spans="1:7">
      <c r="A21" s="1916" t="s">
        <v>1195</v>
      </c>
      <c r="B21" s="1917"/>
      <c r="C21" s="1918">
        <v>3479218</v>
      </c>
      <c r="D21" s="1919">
        <v>314012298.03999996</v>
      </c>
      <c r="E21" s="1919">
        <v>3463724</v>
      </c>
      <c r="F21" s="1919">
        <v>312669406.28000003</v>
      </c>
      <c r="G21" s="1920">
        <f>SUM(G4:G20)</f>
        <v>312669844.33999997</v>
      </c>
    </row>
    <row r="22" spans="1:7">
      <c r="A22" s="1891"/>
      <c r="B22" s="1891"/>
      <c r="C22" s="1891"/>
      <c r="D22" s="1891"/>
      <c r="E22" s="1891"/>
      <c r="F22" s="1891"/>
    </row>
    <row r="23" spans="1:7">
      <c r="C23" s="2063">
        <f>SUM(C5:C20)</f>
        <v>986836</v>
      </c>
    </row>
  </sheetData>
  <mergeCells count="1">
    <mergeCell ref="C2: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81"/>
  <sheetViews>
    <sheetView workbookViewId="0">
      <selection activeCell="H11" sqref="H11"/>
    </sheetView>
  </sheetViews>
  <sheetFormatPr defaultRowHeight="12.75"/>
  <cols>
    <col min="1" max="1" width="5.140625" style="1922" customWidth="1"/>
    <col min="2" max="2" width="15.5703125" style="1922" customWidth="1"/>
    <col min="3" max="3" width="21.5703125" style="1922" bestFit="1" customWidth="1"/>
    <col min="4" max="7" width="12.42578125" style="1922" customWidth="1"/>
    <col min="8" max="8" width="24.5703125" style="1922" customWidth="1"/>
    <col min="9" max="9" width="15.28515625" style="1922" bestFit="1" customWidth="1"/>
    <col min="10" max="10" width="6.5703125" style="1922" customWidth="1"/>
    <col min="11" max="11" width="6.140625" style="1922" customWidth="1"/>
    <col min="12" max="256" width="9.140625" style="1922"/>
    <col min="257" max="257" width="5.140625" style="1922" customWidth="1"/>
    <col min="258" max="258" width="15.5703125" style="1922" customWidth="1"/>
    <col min="259" max="259" width="21.5703125" style="1922" bestFit="1" customWidth="1"/>
    <col min="260" max="264" width="12.42578125" style="1922" customWidth="1"/>
    <col min="265" max="265" width="11.85546875" style="1922" customWidth="1"/>
    <col min="266" max="266" width="6.5703125" style="1922" customWidth="1"/>
    <col min="267" max="267" width="6.140625" style="1922" customWidth="1"/>
    <col min="268" max="512" width="9.140625" style="1922"/>
    <col min="513" max="513" width="5.140625" style="1922" customWidth="1"/>
    <col min="514" max="514" width="15.5703125" style="1922" customWidth="1"/>
    <col min="515" max="515" width="21.5703125" style="1922" bestFit="1" customWidth="1"/>
    <col min="516" max="520" width="12.42578125" style="1922" customWidth="1"/>
    <col min="521" max="521" width="11.85546875" style="1922" customWidth="1"/>
    <col min="522" max="522" width="6.5703125" style="1922" customWidth="1"/>
    <col min="523" max="523" width="6.140625" style="1922" customWidth="1"/>
    <col min="524" max="768" width="9.140625" style="1922"/>
    <col min="769" max="769" width="5.140625" style="1922" customWidth="1"/>
    <col min="770" max="770" width="15.5703125" style="1922" customWidth="1"/>
    <col min="771" max="771" width="21.5703125" style="1922" bestFit="1" customWidth="1"/>
    <col min="772" max="776" width="12.42578125" style="1922" customWidth="1"/>
    <col min="777" max="777" width="11.85546875" style="1922" customWidth="1"/>
    <col min="778" max="778" width="6.5703125" style="1922" customWidth="1"/>
    <col min="779" max="779" width="6.140625" style="1922" customWidth="1"/>
    <col min="780" max="1024" width="9.140625" style="1922"/>
    <col min="1025" max="1025" width="5.140625" style="1922" customWidth="1"/>
    <col min="1026" max="1026" width="15.5703125" style="1922" customWidth="1"/>
    <col min="1027" max="1027" width="21.5703125" style="1922" bestFit="1" customWidth="1"/>
    <col min="1028" max="1032" width="12.42578125" style="1922" customWidth="1"/>
    <col min="1033" max="1033" width="11.85546875" style="1922" customWidth="1"/>
    <col min="1034" max="1034" width="6.5703125" style="1922" customWidth="1"/>
    <col min="1035" max="1035" width="6.140625" style="1922" customWidth="1"/>
    <col min="1036" max="1280" width="9.140625" style="1922"/>
    <col min="1281" max="1281" width="5.140625" style="1922" customWidth="1"/>
    <col min="1282" max="1282" width="15.5703125" style="1922" customWidth="1"/>
    <col min="1283" max="1283" width="21.5703125" style="1922" bestFit="1" customWidth="1"/>
    <col min="1284" max="1288" width="12.42578125" style="1922" customWidth="1"/>
    <col min="1289" max="1289" width="11.85546875" style="1922" customWidth="1"/>
    <col min="1290" max="1290" width="6.5703125" style="1922" customWidth="1"/>
    <col min="1291" max="1291" width="6.140625" style="1922" customWidth="1"/>
    <col min="1292" max="1536" width="9.140625" style="1922"/>
    <col min="1537" max="1537" width="5.140625" style="1922" customWidth="1"/>
    <col min="1538" max="1538" width="15.5703125" style="1922" customWidth="1"/>
    <col min="1539" max="1539" width="21.5703125" style="1922" bestFit="1" customWidth="1"/>
    <col min="1540" max="1544" width="12.42578125" style="1922" customWidth="1"/>
    <col min="1545" max="1545" width="11.85546875" style="1922" customWidth="1"/>
    <col min="1546" max="1546" width="6.5703125" style="1922" customWidth="1"/>
    <col min="1547" max="1547" width="6.140625" style="1922" customWidth="1"/>
    <col min="1548" max="1792" width="9.140625" style="1922"/>
    <col min="1793" max="1793" width="5.140625" style="1922" customWidth="1"/>
    <col min="1794" max="1794" width="15.5703125" style="1922" customWidth="1"/>
    <col min="1795" max="1795" width="21.5703125" style="1922" bestFit="1" customWidth="1"/>
    <col min="1796" max="1800" width="12.42578125" style="1922" customWidth="1"/>
    <col min="1801" max="1801" width="11.85546875" style="1922" customWidth="1"/>
    <col min="1802" max="1802" width="6.5703125" style="1922" customWidth="1"/>
    <col min="1803" max="1803" width="6.140625" style="1922" customWidth="1"/>
    <col min="1804" max="2048" width="9.140625" style="1922"/>
    <col min="2049" max="2049" width="5.140625" style="1922" customWidth="1"/>
    <col min="2050" max="2050" width="15.5703125" style="1922" customWidth="1"/>
    <col min="2051" max="2051" width="21.5703125" style="1922" bestFit="1" customWidth="1"/>
    <col min="2052" max="2056" width="12.42578125" style="1922" customWidth="1"/>
    <col min="2057" max="2057" width="11.85546875" style="1922" customWidth="1"/>
    <col min="2058" max="2058" width="6.5703125" style="1922" customWidth="1"/>
    <col min="2059" max="2059" width="6.140625" style="1922" customWidth="1"/>
    <col min="2060" max="2304" width="9.140625" style="1922"/>
    <col min="2305" max="2305" width="5.140625" style="1922" customWidth="1"/>
    <col min="2306" max="2306" width="15.5703125" style="1922" customWidth="1"/>
    <col min="2307" max="2307" width="21.5703125" style="1922" bestFit="1" customWidth="1"/>
    <col min="2308" max="2312" width="12.42578125" style="1922" customWidth="1"/>
    <col min="2313" max="2313" width="11.85546875" style="1922" customWidth="1"/>
    <col min="2314" max="2314" width="6.5703125" style="1922" customWidth="1"/>
    <col min="2315" max="2315" width="6.140625" style="1922" customWidth="1"/>
    <col min="2316" max="2560" width="9.140625" style="1922"/>
    <col min="2561" max="2561" width="5.140625" style="1922" customWidth="1"/>
    <col min="2562" max="2562" width="15.5703125" style="1922" customWidth="1"/>
    <col min="2563" max="2563" width="21.5703125" style="1922" bestFit="1" customWidth="1"/>
    <col min="2564" max="2568" width="12.42578125" style="1922" customWidth="1"/>
    <col min="2569" max="2569" width="11.85546875" style="1922" customWidth="1"/>
    <col min="2570" max="2570" width="6.5703125" style="1922" customWidth="1"/>
    <col min="2571" max="2571" width="6.140625" style="1922" customWidth="1"/>
    <col min="2572" max="2816" width="9.140625" style="1922"/>
    <col min="2817" max="2817" width="5.140625" style="1922" customWidth="1"/>
    <col min="2818" max="2818" width="15.5703125" style="1922" customWidth="1"/>
    <col min="2819" max="2819" width="21.5703125" style="1922" bestFit="1" customWidth="1"/>
    <col min="2820" max="2824" width="12.42578125" style="1922" customWidth="1"/>
    <col min="2825" max="2825" width="11.85546875" style="1922" customWidth="1"/>
    <col min="2826" max="2826" width="6.5703125" style="1922" customWidth="1"/>
    <col min="2827" max="2827" width="6.140625" style="1922" customWidth="1"/>
    <col min="2828" max="3072" width="9.140625" style="1922"/>
    <col min="3073" max="3073" width="5.140625" style="1922" customWidth="1"/>
    <col min="3074" max="3074" width="15.5703125" style="1922" customWidth="1"/>
    <col min="3075" max="3075" width="21.5703125" style="1922" bestFit="1" customWidth="1"/>
    <col min="3076" max="3080" width="12.42578125" style="1922" customWidth="1"/>
    <col min="3081" max="3081" width="11.85546875" style="1922" customWidth="1"/>
    <col min="3082" max="3082" width="6.5703125" style="1922" customWidth="1"/>
    <col min="3083" max="3083" width="6.140625" style="1922" customWidth="1"/>
    <col min="3084" max="3328" width="9.140625" style="1922"/>
    <col min="3329" max="3329" width="5.140625" style="1922" customWidth="1"/>
    <col min="3330" max="3330" width="15.5703125" style="1922" customWidth="1"/>
    <col min="3331" max="3331" width="21.5703125" style="1922" bestFit="1" customWidth="1"/>
    <col min="3332" max="3336" width="12.42578125" style="1922" customWidth="1"/>
    <col min="3337" max="3337" width="11.85546875" style="1922" customWidth="1"/>
    <col min="3338" max="3338" width="6.5703125" style="1922" customWidth="1"/>
    <col min="3339" max="3339" width="6.140625" style="1922" customWidth="1"/>
    <col min="3340" max="3584" width="9.140625" style="1922"/>
    <col min="3585" max="3585" width="5.140625" style="1922" customWidth="1"/>
    <col min="3586" max="3586" width="15.5703125" style="1922" customWidth="1"/>
    <col min="3587" max="3587" width="21.5703125" style="1922" bestFit="1" customWidth="1"/>
    <col min="3588" max="3592" width="12.42578125" style="1922" customWidth="1"/>
    <col min="3593" max="3593" width="11.85546875" style="1922" customWidth="1"/>
    <col min="3594" max="3594" width="6.5703125" style="1922" customWidth="1"/>
    <col min="3595" max="3595" width="6.140625" style="1922" customWidth="1"/>
    <col min="3596" max="3840" width="9.140625" style="1922"/>
    <col min="3841" max="3841" width="5.140625" style="1922" customWidth="1"/>
    <col min="3842" max="3842" width="15.5703125" style="1922" customWidth="1"/>
    <col min="3843" max="3843" width="21.5703125" style="1922" bestFit="1" customWidth="1"/>
    <col min="3844" max="3848" width="12.42578125" style="1922" customWidth="1"/>
    <col min="3849" max="3849" width="11.85546875" style="1922" customWidth="1"/>
    <col min="3850" max="3850" width="6.5703125" style="1922" customWidth="1"/>
    <col min="3851" max="3851" width="6.140625" style="1922" customWidth="1"/>
    <col min="3852" max="4096" width="9.140625" style="1922"/>
    <col min="4097" max="4097" width="5.140625" style="1922" customWidth="1"/>
    <col min="4098" max="4098" width="15.5703125" style="1922" customWidth="1"/>
    <col min="4099" max="4099" width="21.5703125" style="1922" bestFit="1" customWidth="1"/>
    <col min="4100" max="4104" width="12.42578125" style="1922" customWidth="1"/>
    <col min="4105" max="4105" width="11.85546875" style="1922" customWidth="1"/>
    <col min="4106" max="4106" width="6.5703125" style="1922" customWidth="1"/>
    <col min="4107" max="4107" width="6.140625" style="1922" customWidth="1"/>
    <col min="4108" max="4352" width="9.140625" style="1922"/>
    <col min="4353" max="4353" width="5.140625" style="1922" customWidth="1"/>
    <col min="4354" max="4354" width="15.5703125" style="1922" customWidth="1"/>
    <col min="4355" max="4355" width="21.5703125" style="1922" bestFit="1" customWidth="1"/>
    <col min="4356" max="4360" width="12.42578125" style="1922" customWidth="1"/>
    <col min="4361" max="4361" width="11.85546875" style="1922" customWidth="1"/>
    <col min="4362" max="4362" width="6.5703125" style="1922" customWidth="1"/>
    <col min="4363" max="4363" width="6.140625" style="1922" customWidth="1"/>
    <col min="4364" max="4608" width="9.140625" style="1922"/>
    <col min="4609" max="4609" width="5.140625" style="1922" customWidth="1"/>
    <col min="4610" max="4610" width="15.5703125" style="1922" customWidth="1"/>
    <col min="4611" max="4611" width="21.5703125" style="1922" bestFit="1" customWidth="1"/>
    <col min="4612" max="4616" width="12.42578125" style="1922" customWidth="1"/>
    <col min="4617" max="4617" width="11.85546875" style="1922" customWidth="1"/>
    <col min="4618" max="4618" width="6.5703125" style="1922" customWidth="1"/>
    <col min="4619" max="4619" width="6.140625" style="1922" customWidth="1"/>
    <col min="4620" max="4864" width="9.140625" style="1922"/>
    <col min="4865" max="4865" width="5.140625" style="1922" customWidth="1"/>
    <col min="4866" max="4866" width="15.5703125" style="1922" customWidth="1"/>
    <col min="4867" max="4867" width="21.5703125" style="1922" bestFit="1" customWidth="1"/>
    <col min="4868" max="4872" width="12.42578125" style="1922" customWidth="1"/>
    <col min="4873" max="4873" width="11.85546875" style="1922" customWidth="1"/>
    <col min="4874" max="4874" width="6.5703125" style="1922" customWidth="1"/>
    <col min="4875" max="4875" width="6.140625" style="1922" customWidth="1"/>
    <col min="4876" max="5120" width="9.140625" style="1922"/>
    <col min="5121" max="5121" width="5.140625" style="1922" customWidth="1"/>
    <col min="5122" max="5122" width="15.5703125" style="1922" customWidth="1"/>
    <col min="5123" max="5123" width="21.5703125" style="1922" bestFit="1" customWidth="1"/>
    <col min="5124" max="5128" width="12.42578125" style="1922" customWidth="1"/>
    <col min="5129" max="5129" width="11.85546875" style="1922" customWidth="1"/>
    <col min="5130" max="5130" width="6.5703125" style="1922" customWidth="1"/>
    <col min="5131" max="5131" width="6.140625" style="1922" customWidth="1"/>
    <col min="5132" max="5376" width="9.140625" style="1922"/>
    <col min="5377" max="5377" width="5.140625" style="1922" customWidth="1"/>
    <col min="5378" max="5378" width="15.5703125" style="1922" customWidth="1"/>
    <col min="5379" max="5379" width="21.5703125" style="1922" bestFit="1" customWidth="1"/>
    <col min="5380" max="5384" width="12.42578125" style="1922" customWidth="1"/>
    <col min="5385" max="5385" width="11.85546875" style="1922" customWidth="1"/>
    <col min="5386" max="5386" width="6.5703125" style="1922" customWidth="1"/>
    <col min="5387" max="5387" width="6.140625" style="1922" customWidth="1"/>
    <col min="5388" max="5632" width="9.140625" style="1922"/>
    <col min="5633" max="5633" width="5.140625" style="1922" customWidth="1"/>
    <col min="5634" max="5634" width="15.5703125" style="1922" customWidth="1"/>
    <col min="5635" max="5635" width="21.5703125" style="1922" bestFit="1" customWidth="1"/>
    <col min="5636" max="5640" width="12.42578125" style="1922" customWidth="1"/>
    <col min="5641" max="5641" width="11.85546875" style="1922" customWidth="1"/>
    <col min="5642" max="5642" width="6.5703125" style="1922" customWidth="1"/>
    <col min="5643" max="5643" width="6.140625" style="1922" customWidth="1"/>
    <col min="5644" max="5888" width="9.140625" style="1922"/>
    <col min="5889" max="5889" width="5.140625" style="1922" customWidth="1"/>
    <col min="5890" max="5890" width="15.5703125" style="1922" customWidth="1"/>
    <col min="5891" max="5891" width="21.5703125" style="1922" bestFit="1" customWidth="1"/>
    <col min="5892" max="5896" width="12.42578125" style="1922" customWidth="1"/>
    <col min="5897" max="5897" width="11.85546875" style="1922" customWidth="1"/>
    <col min="5898" max="5898" width="6.5703125" style="1922" customWidth="1"/>
    <col min="5899" max="5899" width="6.140625" style="1922" customWidth="1"/>
    <col min="5900" max="6144" width="9.140625" style="1922"/>
    <col min="6145" max="6145" width="5.140625" style="1922" customWidth="1"/>
    <col min="6146" max="6146" width="15.5703125" style="1922" customWidth="1"/>
    <col min="6147" max="6147" width="21.5703125" style="1922" bestFit="1" customWidth="1"/>
    <col min="6148" max="6152" width="12.42578125" style="1922" customWidth="1"/>
    <col min="6153" max="6153" width="11.85546875" style="1922" customWidth="1"/>
    <col min="6154" max="6154" width="6.5703125" style="1922" customWidth="1"/>
    <col min="6155" max="6155" width="6.140625" style="1922" customWidth="1"/>
    <col min="6156" max="6400" width="9.140625" style="1922"/>
    <col min="6401" max="6401" width="5.140625" style="1922" customWidth="1"/>
    <col min="6402" max="6402" width="15.5703125" style="1922" customWidth="1"/>
    <col min="6403" max="6403" width="21.5703125" style="1922" bestFit="1" customWidth="1"/>
    <col min="6404" max="6408" width="12.42578125" style="1922" customWidth="1"/>
    <col min="6409" max="6409" width="11.85546875" style="1922" customWidth="1"/>
    <col min="6410" max="6410" width="6.5703125" style="1922" customWidth="1"/>
    <col min="6411" max="6411" width="6.140625" style="1922" customWidth="1"/>
    <col min="6412" max="6656" width="9.140625" style="1922"/>
    <col min="6657" max="6657" width="5.140625" style="1922" customWidth="1"/>
    <col min="6658" max="6658" width="15.5703125" style="1922" customWidth="1"/>
    <col min="6659" max="6659" width="21.5703125" style="1922" bestFit="1" customWidth="1"/>
    <col min="6660" max="6664" width="12.42578125" style="1922" customWidth="1"/>
    <col min="6665" max="6665" width="11.85546875" style="1922" customWidth="1"/>
    <col min="6666" max="6666" width="6.5703125" style="1922" customWidth="1"/>
    <col min="6667" max="6667" width="6.140625" style="1922" customWidth="1"/>
    <col min="6668" max="6912" width="9.140625" style="1922"/>
    <col min="6913" max="6913" width="5.140625" style="1922" customWidth="1"/>
    <col min="6914" max="6914" width="15.5703125" style="1922" customWidth="1"/>
    <col min="6915" max="6915" width="21.5703125" style="1922" bestFit="1" customWidth="1"/>
    <col min="6916" max="6920" width="12.42578125" style="1922" customWidth="1"/>
    <col min="6921" max="6921" width="11.85546875" style="1922" customWidth="1"/>
    <col min="6922" max="6922" width="6.5703125" style="1922" customWidth="1"/>
    <col min="6923" max="6923" width="6.140625" style="1922" customWidth="1"/>
    <col min="6924" max="7168" width="9.140625" style="1922"/>
    <col min="7169" max="7169" width="5.140625" style="1922" customWidth="1"/>
    <col min="7170" max="7170" width="15.5703125" style="1922" customWidth="1"/>
    <col min="7171" max="7171" width="21.5703125" style="1922" bestFit="1" customWidth="1"/>
    <col min="7172" max="7176" width="12.42578125" style="1922" customWidth="1"/>
    <col min="7177" max="7177" width="11.85546875" style="1922" customWidth="1"/>
    <col min="7178" max="7178" width="6.5703125" style="1922" customWidth="1"/>
    <col min="7179" max="7179" width="6.140625" style="1922" customWidth="1"/>
    <col min="7180" max="7424" width="9.140625" style="1922"/>
    <col min="7425" max="7425" width="5.140625" style="1922" customWidth="1"/>
    <col min="7426" max="7426" width="15.5703125" style="1922" customWidth="1"/>
    <col min="7427" max="7427" width="21.5703125" style="1922" bestFit="1" customWidth="1"/>
    <col min="7428" max="7432" width="12.42578125" style="1922" customWidth="1"/>
    <col min="7433" max="7433" width="11.85546875" style="1922" customWidth="1"/>
    <col min="7434" max="7434" width="6.5703125" style="1922" customWidth="1"/>
    <col min="7435" max="7435" width="6.140625" style="1922" customWidth="1"/>
    <col min="7436" max="7680" width="9.140625" style="1922"/>
    <col min="7681" max="7681" width="5.140625" style="1922" customWidth="1"/>
    <col min="7682" max="7682" width="15.5703125" style="1922" customWidth="1"/>
    <col min="7683" max="7683" width="21.5703125" style="1922" bestFit="1" customWidth="1"/>
    <col min="7684" max="7688" width="12.42578125" style="1922" customWidth="1"/>
    <col min="7689" max="7689" width="11.85546875" style="1922" customWidth="1"/>
    <col min="7690" max="7690" width="6.5703125" style="1922" customWidth="1"/>
    <col min="7691" max="7691" width="6.140625" style="1922" customWidth="1"/>
    <col min="7692" max="7936" width="9.140625" style="1922"/>
    <col min="7937" max="7937" width="5.140625" style="1922" customWidth="1"/>
    <col min="7938" max="7938" width="15.5703125" style="1922" customWidth="1"/>
    <col min="7939" max="7939" width="21.5703125" style="1922" bestFit="1" customWidth="1"/>
    <col min="7940" max="7944" width="12.42578125" style="1922" customWidth="1"/>
    <col min="7945" max="7945" width="11.85546875" style="1922" customWidth="1"/>
    <col min="7946" max="7946" width="6.5703125" style="1922" customWidth="1"/>
    <col min="7947" max="7947" width="6.140625" style="1922" customWidth="1"/>
    <col min="7948" max="8192" width="9.140625" style="1922"/>
    <col min="8193" max="8193" width="5.140625" style="1922" customWidth="1"/>
    <col min="8194" max="8194" width="15.5703125" style="1922" customWidth="1"/>
    <col min="8195" max="8195" width="21.5703125" style="1922" bestFit="1" customWidth="1"/>
    <col min="8196" max="8200" width="12.42578125" style="1922" customWidth="1"/>
    <col min="8201" max="8201" width="11.85546875" style="1922" customWidth="1"/>
    <col min="8202" max="8202" width="6.5703125" style="1922" customWidth="1"/>
    <col min="8203" max="8203" width="6.140625" style="1922" customWidth="1"/>
    <col min="8204" max="8448" width="9.140625" style="1922"/>
    <col min="8449" max="8449" width="5.140625" style="1922" customWidth="1"/>
    <col min="8450" max="8450" width="15.5703125" style="1922" customWidth="1"/>
    <col min="8451" max="8451" width="21.5703125" style="1922" bestFit="1" customWidth="1"/>
    <col min="8452" max="8456" width="12.42578125" style="1922" customWidth="1"/>
    <col min="8457" max="8457" width="11.85546875" style="1922" customWidth="1"/>
    <col min="8458" max="8458" width="6.5703125" style="1922" customWidth="1"/>
    <col min="8459" max="8459" width="6.140625" style="1922" customWidth="1"/>
    <col min="8460" max="8704" width="9.140625" style="1922"/>
    <col min="8705" max="8705" width="5.140625" style="1922" customWidth="1"/>
    <col min="8706" max="8706" width="15.5703125" style="1922" customWidth="1"/>
    <col min="8707" max="8707" width="21.5703125" style="1922" bestFit="1" customWidth="1"/>
    <col min="8708" max="8712" width="12.42578125" style="1922" customWidth="1"/>
    <col min="8713" max="8713" width="11.85546875" style="1922" customWidth="1"/>
    <col min="8714" max="8714" width="6.5703125" style="1922" customWidth="1"/>
    <col min="8715" max="8715" width="6.140625" style="1922" customWidth="1"/>
    <col min="8716" max="8960" width="9.140625" style="1922"/>
    <col min="8961" max="8961" width="5.140625" style="1922" customWidth="1"/>
    <col min="8962" max="8962" width="15.5703125" style="1922" customWidth="1"/>
    <col min="8963" max="8963" width="21.5703125" style="1922" bestFit="1" customWidth="1"/>
    <col min="8964" max="8968" width="12.42578125" style="1922" customWidth="1"/>
    <col min="8969" max="8969" width="11.85546875" style="1922" customWidth="1"/>
    <col min="8970" max="8970" width="6.5703125" style="1922" customWidth="1"/>
    <col min="8971" max="8971" width="6.140625" style="1922" customWidth="1"/>
    <col min="8972" max="9216" width="9.140625" style="1922"/>
    <col min="9217" max="9217" width="5.140625" style="1922" customWidth="1"/>
    <col min="9218" max="9218" width="15.5703125" style="1922" customWidth="1"/>
    <col min="9219" max="9219" width="21.5703125" style="1922" bestFit="1" customWidth="1"/>
    <col min="9220" max="9224" width="12.42578125" style="1922" customWidth="1"/>
    <col min="9225" max="9225" width="11.85546875" style="1922" customWidth="1"/>
    <col min="9226" max="9226" width="6.5703125" style="1922" customWidth="1"/>
    <col min="9227" max="9227" width="6.140625" style="1922" customWidth="1"/>
    <col min="9228" max="9472" width="9.140625" style="1922"/>
    <col min="9473" max="9473" width="5.140625" style="1922" customWidth="1"/>
    <col min="9474" max="9474" width="15.5703125" style="1922" customWidth="1"/>
    <col min="9475" max="9475" width="21.5703125" style="1922" bestFit="1" customWidth="1"/>
    <col min="9476" max="9480" width="12.42578125" style="1922" customWidth="1"/>
    <col min="9481" max="9481" width="11.85546875" style="1922" customWidth="1"/>
    <col min="9482" max="9482" width="6.5703125" style="1922" customWidth="1"/>
    <col min="9483" max="9483" width="6.140625" style="1922" customWidth="1"/>
    <col min="9484" max="9728" width="9.140625" style="1922"/>
    <col min="9729" max="9729" width="5.140625" style="1922" customWidth="1"/>
    <col min="9730" max="9730" width="15.5703125" style="1922" customWidth="1"/>
    <col min="9731" max="9731" width="21.5703125" style="1922" bestFit="1" customWidth="1"/>
    <col min="9732" max="9736" width="12.42578125" style="1922" customWidth="1"/>
    <col min="9737" max="9737" width="11.85546875" style="1922" customWidth="1"/>
    <col min="9738" max="9738" width="6.5703125" style="1922" customWidth="1"/>
    <col min="9739" max="9739" width="6.140625" style="1922" customWidth="1"/>
    <col min="9740" max="9984" width="9.140625" style="1922"/>
    <col min="9985" max="9985" width="5.140625" style="1922" customWidth="1"/>
    <col min="9986" max="9986" width="15.5703125" style="1922" customWidth="1"/>
    <col min="9987" max="9987" width="21.5703125" style="1922" bestFit="1" customWidth="1"/>
    <col min="9988" max="9992" width="12.42578125" style="1922" customWidth="1"/>
    <col min="9993" max="9993" width="11.85546875" style="1922" customWidth="1"/>
    <col min="9994" max="9994" width="6.5703125" style="1922" customWidth="1"/>
    <col min="9995" max="9995" width="6.140625" style="1922" customWidth="1"/>
    <col min="9996" max="10240" width="9.140625" style="1922"/>
    <col min="10241" max="10241" width="5.140625" style="1922" customWidth="1"/>
    <col min="10242" max="10242" width="15.5703125" style="1922" customWidth="1"/>
    <col min="10243" max="10243" width="21.5703125" style="1922" bestFit="1" customWidth="1"/>
    <col min="10244" max="10248" width="12.42578125" style="1922" customWidth="1"/>
    <col min="10249" max="10249" width="11.85546875" style="1922" customWidth="1"/>
    <col min="10250" max="10250" width="6.5703125" style="1922" customWidth="1"/>
    <col min="10251" max="10251" width="6.140625" style="1922" customWidth="1"/>
    <col min="10252" max="10496" width="9.140625" style="1922"/>
    <col min="10497" max="10497" width="5.140625" style="1922" customWidth="1"/>
    <col min="10498" max="10498" width="15.5703125" style="1922" customWidth="1"/>
    <col min="10499" max="10499" width="21.5703125" style="1922" bestFit="1" customWidth="1"/>
    <col min="10500" max="10504" width="12.42578125" style="1922" customWidth="1"/>
    <col min="10505" max="10505" width="11.85546875" style="1922" customWidth="1"/>
    <col min="10506" max="10506" width="6.5703125" style="1922" customWidth="1"/>
    <col min="10507" max="10507" width="6.140625" style="1922" customWidth="1"/>
    <col min="10508" max="10752" width="9.140625" style="1922"/>
    <col min="10753" max="10753" width="5.140625" style="1922" customWidth="1"/>
    <col min="10754" max="10754" width="15.5703125" style="1922" customWidth="1"/>
    <col min="10755" max="10755" width="21.5703125" style="1922" bestFit="1" customWidth="1"/>
    <col min="10756" max="10760" width="12.42578125" style="1922" customWidth="1"/>
    <col min="10761" max="10761" width="11.85546875" style="1922" customWidth="1"/>
    <col min="10762" max="10762" width="6.5703125" style="1922" customWidth="1"/>
    <col min="10763" max="10763" width="6.140625" style="1922" customWidth="1"/>
    <col min="10764" max="11008" width="9.140625" style="1922"/>
    <col min="11009" max="11009" width="5.140625" style="1922" customWidth="1"/>
    <col min="11010" max="11010" width="15.5703125" style="1922" customWidth="1"/>
    <col min="11011" max="11011" width="21.5703125" style="1922" bestFit="1" customWidth="1"/>
    <col min="11012" max="11016" width="12.42578125" style="1922" customWidth="1"/>
    <col min="11017" max="11017" width="11.85546875" style="1922" customWidth="1"/>
    <col min="11018" max="11018" width="6.5703125" style="1922" customWidth="1"/>
    <col min="11019" max="11019" width="6.140625" style="1922" customWidth="1"/>
    <col min="11020" max="11264" width="9.140625" style="1922"/>
    <col min="11265" max="11265" width="5.140625" style="1922" customWidth="1"/>
    <col min="11266" max="11266" width="15.5703125" style="1922" customWidth="1"/>
    <col min="11267" max="11267" width="21.5703125" style="1922" bestFit="1" customWidth="1"/>
    <col min="11268" max="11272" width="12.42578125" style="1922" customWidth="1"/>
    <col min="11273" max="11273" width="11.85546875" style="1922" customWidth="1"/>
    <col min="11274" max="11274" width="6.5703125" style="1922" customWidth="1"/>
    <col min="11275" max="11275" width="6.140625" style="1922" customWidth="1"/>
    <col min="11276" max="11520" width="9.140625" style="1922"/>
    <col min="11521" max="11521" width="5.140625" style="1922" customWidth="1"/>
    <col min="11522" max="11522" width="15.5703125" style="1922" customWidth="1"/>
    <col min="11523" max="11523" width="21.5703125" style="1922" bestFit="1" customWidth="1"/>
    <col min="11524" max="11528" width="12.42578125" style="1922" customWidth="1"/>
    <col min="11529" max="11529" width="11.85546875" style="1922" customWidth="1"/>
    <col min="11530" max="11530" width="6.5703125" style="1922" customWidth="1"/>
    <col min="11531" max="11531" width="6.140625" style="1922" customWidth="1"/>
    <col min="11532" max="11776" width="9.140625" style="1922"/>
    <col min="11777" max="11777" width="5.140625" style="1922" customWidth="1"/>
    <col min="11778" max="11778" width="15.5703125" style="1922" customWidth="1"/>
    <col min="11779" max="11779" width="21.5703125" style="1922" bestFit="1" customWidth="1"/>
    <col min="11780" max="11784" width="12.42578125" style="1922" customWidth="1"/>
    <col min="11785" max="11785" width="11.85546875" style="1922" customWidth="1"/>
    <col min="11786" max="11786" width="6.5703125" style="1922" customWidth="1"/>
    <col min="11787" max="11787" width="6.140625" style="1922" customWidth="1"/>
    <col min="11788" max="12032" width="9.140625" style="1922"/>
    <col min="12033" max="12033" width="5.140625" style="1922" customWidth="1"/>
    <col min="12034" max="12034" width="15.5703125" style="1922" customWidth="1"/>
    <col min="12035" max="12035" width="21.5703125" style="1922" bestFit="1" customWidth="1"/>
    <col min="12036" max="12040" width="12.42578125" style="1922" customWidth="1"/>
    <col min="12041" max="12041" width="11.85546875" style="1922" customWidth="1"/>
    <col min="12042" max="12042" width="6.5703125" style="1922" customWidth="1"/>
    <col min="12043" max="12043" width="6.140625" style="1922" customWidth="1"/>
    <col min="12044" max="12288" width="9.140625" style="1922"/>
    <col min="12289" max="12289" width="5.140625" style="1922" customWidth="1"/>
    <col min="12290" max="12290" width="15.5703125" style="1922" customWidth="1"/>
    <col min="12291" max="12291" width="21.5703125" style="1922" bestFit="1" customWidth="1"/>
    <col min="12292" max="12296" width="12.42578125" style="1922" customWidth="1"/>
    <col min="12297" max="12297" width="11.85546875" style="1922" customWidth="1"/>
    <col min="12298" max="12298" width="6.5703125" style="1922" customWidth="1"/>
    <col min="12299" max="12299" width="6.140625" style="1922" customWidth="1"/>
    <col min="12300" max="12544" width="9.140625" style="1922"/>
    <col min="12545" max="12545" width="5.140625" style="1922" customWidth="1"/>
    <col min="12546" max="12546" width="15.5703125" style="1922" customWidth="1"/>
    <col min="12547" max="12547" width="21.5703125" style="1922" bestFit="1" customWidth="1"/>
    <col min="12548" max="12552" width="12.42578125" style="1922" customWidth="1"/>
    <col min="12553" max="12553" width="11.85546875" style="1922" customWidth="1"/>
    <col min="12554" max="12554" width="6.5703125" style="1922" customWidth="1"/>
    <col min="12555" max="12555" width="6.140625" style="1922" customWidth="1"/>
    <col min="12556" max="12800" width="9.140625" style="1922"/>
    <col min="12801" max="12801" width="5.140625" style="1922" customWidth="1"/>
    <col min="12802" max="12802" width="15.5703125" style="1922" customWidth="1"/>
    <col min="12803" max="12803" width="21.5703125" style="1922" bestFit="1" customWidth="1"/>
    <col min="12804" max="12808" width="12.42578125" style="1922" customWidth="1"/>
    <col min="12809" max="12809" width="11.85546875" style="1922" customWidth="1"/>
    <col min="12810" max="12810" width="6.5703125" style="1922" customWidth="1"/>
    <col min="12811" max="12811" width="6.140625" style="1922" customWidth="1"/>
    <col min="12812" max="13056" width="9.140625" style="1922"/>
    <col min="13057" max="13057" width="5.140625" style="1922" customWidth="1"/>
    <col min="13058" max="13058" width="15.5703125" style="1922" customWidth="1"/>
    <col min="13059" max="13059" width="21.5703125" style="1922" bestFit="1" customWidth="1"/>
    <col min="13060" max="13064" width="12.42578125" style="1922" customWidth="1"/>
    <col min="13065" max="13065" width="11.85546875" style="1922" customWidth="1"/>
    <col min="13066" max="13066" width="6.5703125" style="1922" customWidth="1"/>
    <col min="13067" max="13067" width="6.140625" style="1922" customWidth="1"/>
    <col min="13068" max="13312" width="9.140625" style="1922"/>
    <col min="13313" max="13313" width="5.140625" style="1922" customWidth="1"/>
    <col min="13314" max="13314" width="15.5703125" style="1922" customWidth="1"/>
    <col min="13315" max="13315" width="21.5703125" style="1922" bestFit="1" customWidth="1"/>
    <col min="13316" max="13320" width="12.42578125" style="1922" customWidth="1"/>
    <col min="13321" max="13321" width="11.85546875" style="1922" customWidth="1"/>
    <col min="13322" max="13322" width="6.5703125" style="1922" customWidth="1"/>
    <col min="13323" max="13323" width="6.140625" style="1922" customWidth="1"/>
    <col min="13324" max="13568" width="9.140625" style="1922"/>
    <col min="13569" max="13569" width="5.140625" style="1922" customWidth="1"/>
    <col min="13570" max="13570" width="15.5703125" style="1922" customWidth="1"/>
    <col min="13571" max="13571" width="21.5703125" style="1922" bestFit="1" customWidth="1"/>
    <col min="13572" max="13576" width="12.42578125" style="1922" customWidth="1"/>
    <col min="13577" max="13577" width="11.85546875" style="1922" customWidth="1"/>
    <col min="13578" max="13578" width="6.5703125" style="1922" customWidth="1"/>
    <col min="13579" max="13579" width="6.140625" style="1922" customWidth="1"/>
    <col min="13580" max="13824" width="9.140625" style="1922"/>
    <col min="13825" max="13825" width="5.140625" style="1922" customWidth="1"/>
    <col min="13826" max="13826" width="15.5703125" style="1922" customWidth="1"/>
    <col min="13827" max="13827" width="21.5703125" style="1922" bestFit="1" customWidth="1"/>
    <col min="13828" max="13832" width="12.42578125" style="1922" customWidth="1"/>
    <col min="13833" max="13833" width="11.85546875" style="1922" customWidth="1"/>
    <col min="13834" max="13834" width="6.5703125" style="1922" customWidth="1"/>
    <col min="13835" max="13835" width="6.140625" style="1922" customWidth="1"/>
    <col min="13836" max="14080" width="9.140625" style="1922"/>
    <col min="14081" max="14081" width="5.140625" style="1922" customWidth="1"/>
    <col min="14082" max="14082" width="15.5703125" style="1922" customWidth="1"/>
    <col min="14083" max="14083" width="21.5703125" style="1922" bestFit="1" customWidth="1"/>
    <col min="14084" max="14088" width="12.42578125" style="1922" customWidth="1"/>
    <col min="14089" max="14089" width="11.85546875" style="1922" customWidth="1"/>
    <col min="14090" max="14090" width="6.5703125" style="1922" customWidth="1"/>
    <col min="14091" max="14091" width="6.140625" style="1922" customWidth="1"/>
    <col min="14092" max="14336" width="9.140625" style="1922"/>
    <col min="14337" max="14337" width="5.140625" style="1922" customWidth="1"/>
    <col min="14338" max="14338" width="15.5703125" style="1922" customWidth="1"/>
    <col min="14339" max="14339" width="21.5703125" style="1922" bestFit="1" customWidth="1"/>
    <col min="14340" max="14344" width="12.42578125" style="1922" customWidth="1"/>
    <col min="14345" max="14345" width="11.85546875" style="1922" customWidth="1"/>
    <col min="14346" max="14346" width="6.5703125" style="1922" customWidth="1"/>
    <col min="14347" max="14347" width="6.140625" style="1922" customWidth="1"/>
    <col min="14348" max="14592" width="9.140625" style="1922"/>
    <col min="14593" max="14593" width="5.140625" style="1922" customWidth="1"/>
    <col min="14594" max="14594" width="15.5703125" style="1922" customWidth="1"/>
    <col min="14595" max="14595" width="21.5703125" style="1922" bestFit="1" customWidth="1"/>
    <col min="14596" max="14600" width="12.42578125" style="1922" customWidth="1"/>
    <col min="14601" max="14601" width="11.85546875" style="1922" customWidth="1"/>
    <col min="14602" max="14602" width="6.5703125" style="1922" customWidth="1"/>
    <col min="14603" max="14603" width="6.140625" style="1922" customWidth="1"/>
    <col min="14604" max="14848" width="9.140625" style="1922"/>
    <col min="14849" max="14849" width="5.140625" style="1922" customWidth="1"/>
    <col min="14850" max="14850" width="15.5703125" style="1922" customWidth="1"/>
    <col min="14851" max="14851" width="21.5703125" style="1922" bestFit="1" customWidth="1"/>
    <col min="14852" max="14856" width="12.42578125" style="1922" customWidth="1"/>
    <col min="14857" max="14857" width="11.85546875" style="1922" customWidth="1"/>
    <col min="14858" max="14858" width="6.5703125" style="1922" customWidth="1"/>
    <col min="14859" max="14859" width="6.140625" style="1922" customWidth="1"/>
    <col min="14860" max="15104" width="9.140625" style="1922"/>
    <col min="15105" max="15105" width="5.140625" style="1922" customWidth="1"/>
    <col min="15106" max="15106" width="15.5703125" style="1922" customWidth="1"/>
    <col min="15107" max="15107" width="21.5703125" style="1922" bestFit="1" customWidth="1"/>
    <col min="15108" max="15112" width="12.42578125" style="1922" customWidth="1"/>
    <col min="15113" max="15113" width="11.85546875" style="1922" customWidth="1"/>
    <col min="15114" max="15114" width="6.5703125" style="1922" customWidth="1"/>
    <col min="15115" max="15115" width="6.140625" style="1922" customWidth="1"/>
    <col min="15116" max="15360" width="9.140625" style="1922"/>
    <col min="15361" max="15361" width="5.140625" style="1922" customWidth="1"/>
    <col min="15362" max="15362" width="15.5703125" style="1922" customWidth="1"/>
    <col min="15363" max="15363" width="21.5703125" style="1922" bestFit="1" customWidth="1"/>
    <col min="15364" max="15368" width="12.42578125" style="1922" customWidth="1"/>
    <col min="15369" max="15369" width="11.85546875" style="1922" customWidth="1"/>
    <col min="15370" max="15370" width="6.5703125" style="1922" customWidth="1"/>
    <col min="15371" max="15371" width="6.140625" style="1922" customWidth="1"/>
    <col min="15372" max="15616" width="9.140625" style="1922"/>
    <col min="15617" max="15617" width="5.140625" style="1922" customWidth="1"/>
    <col min="15618" max="15618" width="15.5703125" style="1922" customWidth="1"/>
    <col min="15619" max="15619" width="21.5703125" style="1922" bestFit="1" customWidth="1"/>
    <col min="15620" max="15624" width="12.42578125" style="1922" customWidth="1"/>
    <col min="15625" max="15625" width="11.85546875" style="1922" customWidth="1"/>
    <col min="15626" max="15626" width="6.5703125" style="1922" customWidth="1"/>
    <col min="15627" max="15627" width="6.140625" style="1922" customWidth="1"/>
    <col min="15628" max="15872" width="9.140625" style="1922"/>
    <col min="15873" max="15873" width="5.140625" style="1922" customWidth="1"/>
    <col min="15874" max="15874" width="15.5703125" style="1922" customWidth="1"/>
    <col min="15875" max="15875" width="21.5703125" style="1922" bestFit="1" customWidth="1"/>
    <col min="15876" max="15880" width="12.42578125" style="1922" customWidth="1"/>
    <col min="15881" max="15881" width="11.85546875" style="1922" customWidth="1"/>
    <col min="15882" max="15882" width="6.5703125" style="1922" customWidth="1"/>
    <col min="15883" max="15883" width="6.140625" style="1922" customWidth="1"/>
    <col min="15884" max="16128" width="9.140625" style="1922"/>
    <col min="16129" max="16129" width="5.140625" style="1922" customWidth="1"/>
    <col min="16130" max="16130" width="15.5703125" style="1922" customWidth="1"/>
    <col min="16131" max="16131" width="21.5703125" style="1922" bestFit="1" customWidth="1"/>
    <col min="16132" max="16136" width="12.42578125" style="1922" customWidth="1"/>
    <col min="16137" max="16137" width="11.85546875" style="1922" customWidth="1"/>
    <col min="16138" max="16138" width="6.5703125" style="1922" customWidth="1"/>
    <col min="16139" max="16139" width="6.140625" style="1922" customWidth="1"/>
    <col min="16140" max="16384" width="9.140625" style="1922"/>
  </cols>
  <sheetData>
    <row r="1" spans="1:11" ht="11.1" customHeight="1">
      <c r="A1" s="1921" t="s">
        <v>1196</v>
      </c>
      <c r="B1" s="1921" t="s">
        <v>1197</v>
      </c>
    </row>
    <row r="2" spans="1:11" ht="11.1" customHeight="1"/>
    <row r="3" spans="1:11" ht="11.1" customHeight="1">
      <c r="A3" s="1923"/>
      <c r="B3" s="1924"/>
      <c r="C3" s="1924"/>
      <c r="D3" s="1923" t="s">
        <v>1198</v>
      </c>
      <c r="E3" s="1924" t="s">
        <v>1199</v>
      </c>
      <c r="F3" s="1924"/>
      <c r="G3" s="1924"/>
      <c r="H3" s="1924"/>
      <c r="I3" s="1925"/>
    </row>
    <row r="4" spans="1:11" s="1933" customFormat="1" ht="11.1" customHeight="1">
      <c r="A4" s="1926"/>
      <c r="B4" s="1927"/>
      <c r="C4" s="1927"/>
      <c r="D4" s="1928" t="s">
        <v>1200</v>
      </c>
      <c r="E4" s="1929"/>
      <c r="F4" s="1930" t="s">
        <v>1201</v>
      </c>
      <c r="G4" s="1931"/>
      <c r="H4" s="1928" t="s">
        <v>1202</v>
      </c>
      <c r="I4" s="1932" t="s">
        <v>1203</v>
      </c>
      <c r="J4" s="2507" t="s">
        <v>1204</v>
      </c>
      <c r="K4" s="2508"/>
    </row>
    <row r="5" spans="1:11" s="1933" customFormat="1" ht="11.1" customHeight="1">
      <c r="A5" s="1934" t="s">
        <v>607</v>
      </c>
      <c r="B5" s="1934" t="s">
        <v>990</v>
      </c>
      <c r="C5" s="1934" t="s">
        <v>1205</v>
      </c>
      <c r="D5" s="1928" t="s">
        <v>1206</v>
      </c>
      <c r="E5" s="1935" t="s">
        <v>1207</v>
      </c>
      <c r="F5" s="1928" t="s">
        <v>1206</v>
      </c>
      <c r="G5" s="1935" t="s">
        <v>1207</v>
      </c>
      <c r="H5" s="1936"/>
      <c r="I5" s="1937"/>
      <c r="J5" s="1938" t="s">
        <v>1208</v>
      </c>
      <c r="K5" s="1938" t="s">
        <v>1209</v>
      </c>
    </row>
    <row r="6" spans="1:11" ht="11.1" customHeight="1">
      <c r="A6" s="1923" t="s">
        <v>1210</v>
      </c>
      <c r="B6" s="1923" t="s">
        <v>659</v>
      </c>
      <c r="C6" s="1923" t="s">
        <v>1001</v>
      </c>
      <c r="D6" s="1939">
        <v>52056</v>
      </c>
      <c r="E6" s="1940">
        <v>50324.68</v>
      </c>
      <c r="F6" s="1939">
        <v>194375.4</v>
      </c>
      <c r="G6" s="1940">
        <v>175090.4</v>
      </c>
      <c r="H6" s="1939">
        <v>246431.4</v>
      </c>
      <c r="I6" s="1941">
        <v>225415.08</v>
      </c>
      <c r="J6" s="1942">
        <f>E6/D6</f>
        <v>0.96674120178269551</v>
      </c>
      <c r="K6" s="1942">
        <f>G6/F6</f>
        <v>0.90078477008921909</v>
      </c>
    </row>
    <row r="7" spans="1:11" ht="11.1" customHeight="1">
      <c r="A7" s="1943"/>
      <c r="B7" s="1923" t="s">
        <v>1211</v>
      </c>
      <c r="C7" s="1923" t="s">
        <v>994</v>
      </c>
      <c r="D7" s="1939">
        <v>73505</v>
      </c>
      <c r="E7" s="1940">
        <v>73505</v>
      </c>
      <c r="F7" s="1939">
        <v>182704.8</v>
      </c>
      <c r="G7" s="1940">
        <v>179167</v>
      </c>
      <c r="H7" s="1939">
        <v>256209.8</v>
      </c>
      <c r="I7" s="1941">
        <v>252672</v>
      </c>
      <c r="J7" s="1942">
        <f t="shared" ref="J7:J44" si="0">E7/D7</f>
        <v>1</v>
      </c>
      <c r="K7" s="1942">
        <f t="shared" ref="K7:K44" si="1">G7/F7</f>
        <v>0.98063652405410262</v>
      </c>
    </row>
    <row r="8" spans="1:11" ht="11.1" customHeight="1">
      <c r="A8" s="1943"/>
      <c r="B8" s="1923" t="s">
        <v>1212</v>
      </c>
      <c r="C8" s="1923" t="s">
        <v>998</v>
      </c>
      <c r="D8" s="1939">
        <v>74228</v>
      </c>
      <c r="E8" s="1940">
        <v>68170.92</v>
      </c>
      <c r="F8" s="1939">
        <v>344338</v>
      </c>
      <c r="G8" s="1940">
        <v>328457.8</v>
      </c>
      <c r="H8" s="1939">
        <v>418566</v>
      </c>
      <c r="I8" s="1941">
        <v>396628.72</v>
      </c>
      <c r="J8" s="1942">
        <f t="shared" si="0"/>
        <v>0.91839898690521093</v>
      </c>
      <c r="K8" s="1942">
        <f t="shared" si="1"/>
        <v>0.9538819415806562</v>
      </c>
    </row>
    <row r="9" spans="1:11" ht="11.1" customHeight="1">
      <c r="A9" s="1943"/>
      <c r="B9" s="1943"/>
      <c r="C9" s="1944" t="s">
        <v>999</v>
      </c>
      <c r="D9" s="1945">
        <v>116885</v>
      </c>
      <c r="E9" s="1946">
        <v>99762.74</v>
      </c>
      <c r="F9" s="1945">
        <v>470302.2</v>
      </c>
      <c r="G9" s="1946">
        <v>435137</v>
      </c>
      <c r="H9" s="1945">
        <v>587187.19999999995</v>
      </c>
      <c r="I9" s="1947">
        <v>534899.74</v>
      </c>
      <c r="J9" s="1942">
        <f t="shared" si="0"/>
        <v>0.85351191341917276</v>
      </c>
      <c r="K9" s="1942">
        <f t="shared" si="1"/>
        <v>0.92522850201423679</v>
      </c>
    </row>
    <row r="10" spans="1:11" ht="11.1" customHeight="1">
      <c r="A10" s="1943"/>
      <c r="B10" s="1923" t="s">
        <v>1213</v>
      </c>
      <c r="C10" s="1923" t="s">
        <v>996</v>
      </c>
      <c r="D10" s="1939">
        <v>69225</v>
      </c>
      <c r="E10" s="1940">
        <v>64358.93</v>
      </c>
      <c r="F10" s="1939">
        <v>477203.20000000001</v>
      </c>
      <c r="G10" s="1940">
        <v>452412</v>
      </c>
      <c r="H10" s="1939">
        <v>546428.19999999995</v>
      </c>
      <c r="I10" s="1941">
        <v>516770.93</v>
      </c>
      <c r="J10" s="1942">
        <f t="shared" si="0"/>
        <v>0.92970646442759119</v>
      </c>
      <c r="K10" s="1942">
        <f t="shared" si="1"/>
        <v>0.94804896530450755</v>
      </c>
    </row>
    <row r="11" spans="1:11" s="1948" customFormat="1" ht="11.1" customHeight="1">
      <c r="A11" s="1943"/>
      <c r="B11" s="1943"/>
      <c r="C11" s="1944" t="s">
        <v>1002</v>
      </c>
      <c r="D11" s="1945">
        <v>44103</v>
      </c>
      <c r="E11" s="1946">
        <v>44088.61</v>
      </c>
      <c r="F11" s="1945">
        <v>339333.6</v>
      </c>
      <c r="G11" s="1946">
        <v>314648.8</v>
      </c>
      <c r="H11" s="1945">
        <v>383436.6</v>
      </c>
      <c r="I11" s="1947">
        <v>358737.41</v>
      </c>
      <c r="J11" s="1942">
        <f t="shared" si="0"/>
        <v>0.99967371834115593</v>
      </c>
      <c r="K11" s="1942">
        <f t="shared" si="1"/>
        <v>0.92725506699012417</v>
      </c>
    </row>
    <row r="12" spans="1:11" ht="11.1" customHeight="1">
      <c r="A12" s="1949" t="s">
        <v>1214</v>
      </c>
      <c r="B12" s="1950"/>
      <c r="C12" s="1950"/>
      <c r="D12" s="1951">
        <v>430002</v>
      </c>
      <c r="E12" s="1952">
        <v>400210.87999999995</v>
      </c>
      <c r="F12" s="1951">
        <v>2008257.1999999997</v>
      </c>
      <c r="G12" s="1952">
        <v>1884913</v>
      </c>
      <c r="H12" s="1951">
        <v>2438259.1999999997</v>
      </c>
      <c r="I12" s="1953">
        <v>2285123.88</v>
      </c>
      <c r="J12" s="1954">
        <f t="shared" si="0"/>
        <v>0.93071864782024261</v>
      </c>
      <c r="K12" s="1954">
        <f t="shared" si="1"/>
        <v>0.93858147253250246</v>
      </c>
    </row>
    <row r="13" spans="1:11" ht="11.1" customHeight="1">
      <c r="A13" s="1923" t="s">
        <v>1215</v>
      </c>
      <c r="B13" s="1923" t="s">
        <v>1216</v>
      </c>
      <c r="C13" s="1923" t="s">
        <v>1012</v>
      </c>
      <c r="D13" s="1939">
        <v>273146</v>
      </c>
      <c r="E13" s="1940">
        <v>254356.91</v>
      </c>
      <c r="F13" s="1939">
        <v>949240.8</v>
      </c>
      <c r="G13" s="1940">
        <v>920273.4</v>
      </c>
      <c r="H13" s="1939">
        <v>1222386.8</v>
      </c>
      <c r="I13" s="1941">
        <v>1174630.31</v>
      </c>
      <c r="J13" s="1942">
        <f t="shared" si="0"/>
        <v>0.93121228207625228</v>
      </c>
      <c r="K13" s="1942">
        <f t="shared" si="1"/>
        <v>0.96948361258808091</v>
      </c>
    </row>
    <row r="14" spans="1:11" ht="11.1" customHeight="1">
      <c r="A14" s="1943"/>
      <c r="B14" s="1943"/>
      <c r="C14" s="1944" t="s">
        <v>1013</v>
      </c>
      <c r="D14" s="1945">
        <v>127314</v>
      </c>
      <c r="E14" s="1946">
        <v>124854.5</v>
      </c>
      <c r="F14" s="1945">
        <v>204511.3</v>
      </c>
      <c r="G14" s="1946">
        <v>202037.4</v>
      </c>
      <c r="H14" s="1945">
        <v>331825.3</v>
      </c>
      <c r="I14" s="1947">
        <v>326891.90000000002</v>
      </c>
      <c r="J14" s="1942">
        <f t="shared" si="0"/>
        <v>0.98068162181692509</v>
      </c>
      <c r="K14" s="1942">
        <f t="shared" si="1"/>
        <v>0.98790335790736261</v>
      </c>
    </row>
    <row r="15" spans="1:11" ht="11.1" customHeight="1">
      <c r="A15" s="1943"/>
      <c r="B15" s="1923" t="s">
        <v>1217</v>
      </c>
      <c r="C15" s="1923" t="s">
        <v>1004</v>
      </c>
      <c r="D15" s="1939">
        <v>198295</v>
      </c>
      <c r="E15" s="1940">
        <v>193668.57</v>
      </c>
      <c r="F15" s="1939">
        <v>576771.19999999995</v>
      </c>
      <c r="G15" s="1940">
        <v>574383.80000000005</v>
      </c>
      <c r="H15" s="1939">
        <v>775066.2</v>
      </c>
      <c r="I15" s="1941">
        <v>768052.37000000011</v>
      </c>
      <c r="J15" s="1942">
        <f t="shared" si="0"/>
        <v>0.97666895282281452</v>
      </c>
      <c r="K15" s="1942">
        <f t="shared" si="1"/>
        <v>0.99586075032872667</v>
      </c>
    </row>
    <row r="16" spans="1:11" ht="11.1" customHeight="1">
      <c r="A16" s="1943"/>
      <c r="B16" s="1943"/>
      <c r="C16" s="1944" t="s">
        <v>1007</v>
      </c>
      <c r="D16" s="1945">
        <v>98506</v>
      </c>
      <c r="E16" s="1946">
        <v>81756.91</v>
      </c>
      <c r="F16" s="1945">
        <v>143491</v>
      </c>
      <c r="G16" s="1946">
        <v>141982.20000000001</v>
      </c>
      <c r="H16" s="1945">
        <v>241997</v>
      </c>
      <c r="I16" s="1947">
        <v>223739.11000000002</v>
      </c>
      <c r="J16" s="1942">
        <f t="shared" si="0"/>
        <v>0.82996883438572278</v>
      </c>
      <c r="K16" s="1942">
        <f t="shared" si="1"/>
        <v>0.98948505481180016</v>
      </c>
    </row>
    <row r="17" spans="1:11" ht="11.1" customHeight="1">
      <c r="A17" s="1943"/>
      <c r="B17" s="1943"/>
      <c r="C17" s="1944" t="s">
        <v>1008</v>
      </c>
      <c r="D17" s="1945">
        <v>185185</v>
      </c>
      <c r="E17" s="1946">
        <v>185185</v>
      </c>
      <c r="F17" s="1945">
        <v>568401.6</v>
      </c>
      <c r="G17" s="1946">
        <v>560528</v>
      </c>
      <c r="H17" s="1945">
        <v>753586.6</v>
      </c>
      <c r="I17" s="1947">
        <v>745713</v>
      </c>
      <c r="J17" s="1942">
        <f t="shared" si="0"/>
        <v>1</v>
      </c>
      <c r="K17" s="1942">
        <f t="shared" si="1"/>
        <v>0.98614782224399089</v>
      </c>
    </row>
    <row r="18" spans="1:11" ht="11.1" customHeight="1">
      <c r="A18" s="1943"/>
      <c r="B18" s="1923" t="s">
        <v>1218</v>
      </c>
      <c r="C18" s="1923" t="s">
        <v>1010</v>
      </c>
      <c r="D18" s="1939">
        <v>287055</v>
      </c>
      <c r="E18" s="1940">
        <v>275642.84000000003</v>
      </c>
      <c r="F18" s="1939">
        <v>461364</v>
      </c>
      <c r="G18" s="1940">
        <v>411771.6</v>
      </c>
      <c r="H18" s="1939">
        <v>748419</v>
      </c>
      <c r="I18" s="1941">
        <v>687414.44</v>
      </c>
      <c r="J18" s="1942">
        <f t="shared" si="0"/>
        <v>0.9602439950532129</v>
      </c>
      <c r="K18" s="1942">
        <f t="shared" si="1"/>
        <v>0.89250916846567996</v>
      </c>
    </row>
    <row r="19" spans="1:11" ht="11.1" customHeight="1">
      <c r="A19" s="1943"/>
      <c r="B19" s="1923" t="s">
        <v>640</v>
      </c>
      <c r="C19" s="1923" t="s">
        <v>1006</v>
      </c>
      <c r="D19" s="1939">
        <v>97843</v>
      </c>
      <c r="E19" s="1940">
        <v>78347.850000000006</v>
      </c>
      <c r="F19" s="1939">
        <v>394687.2</v>
      </c>
      <c r="G19" s="1940">
        <v>380243.4</v>
      </c>
      <c r="H19" s="1939">
        <v>492530.2</v>
      </c>
      <c r="I19" s="1941">
        <v>458591.25</v>
      </c>
      <c r="J19" s="1942">
        <f t="shared" si="0"/>
        <v>0.80075069243584118</v>
      </c>
      <c r="K19" s="1942">
        <f t="shared" si="1"/>
        <v>0.9634044377420905</v>
      </c>
    </row>
    <row r="20" spans="1:11" s="1933" customFormat="1" ht="11.1" customHeight="1">
      <c r="A20" s="1943"/>
      <c r="B20" s="1943"/>
      <c r="C20" s="1944" t="s">
        <v>1014</v>
      </c>
      <c r="D20" s="1945">
        <v>406121</v>
      </c>
      <c r="E20" s="1946">
        <v>398080.15</v>
      </c>
      <c r="F20" s="1945">
        <v>244159.2</v>
      </c>
      <c r="G20" s="1946">
        <v>223570.8</v>
      </c>
      <c r="H20" s="1945">
        <v>650280.19999999995</v>
      </c>
      <c r="I20" s="1947">
        <v>621650.94999999995</v>
      </c>
      <c r="J20" s="1942">
        <f t="shared" si="0"/>
        <v>0.98020085147037461</v>
      </c>
      <c r="K20" s="1942">
        <f t="shared" si="1"/>
        <v>0.91567632921470898</v>
      </c>
    </row>
    <row r="21" spans="1:11" ht="11.1" customHeight="1">
      <c r="A21" s="1949" t="s">
        <v>1219</v>
      </c>
      <c r="B21" s="1950"/>
      <c r="C21" s="1950"/>
      <c r="D21" s="1955">
        <v>1673465</v>
      </c>
      <c r="E21" s="1956">
        <v>1591892.73</v>
      </c>
      <c r="F21" s="1955">
        <v>3542626.3000000003</v>
      </c>
      <c r="G21" s="1956">
        <v>3414790.5999999996</v>
      </c>
      <c r="H21" s="1955">
        <v>5216091.3</v>
      </c>
      <c r="I21" s="1957">
        <v>5006683.33</v>
      </c>
      <c r="J21" s="1954">
        <f t="shared" si="0"/>
        <v>0.95125546695030971</v>
      </c>
      <c r="K21" s="1954">
        <f t="shared" si="1"/>
        <v>0.96391499154172688</v>
      </c>
    </row>
    <row r="22" spans="1:11" ht="11.1" customHeight="1">
      <c r="A22" s="1923" t="s">
        <v>1220</v>
      </c>
      <c r="B22" s="1923" t="s">
        <v>1221</v>
      </c>
      <c r="C22" s="1923" t="s">
        <v>1019</v>
      </c>
      <c r="D22" s="1939">
        <v>553582</v>
      </c>
      <c r="E22" s="1940">
        <v>549079.98</v>
      </c>
      <c r="F22" s="1939">
        <v>895675.32</v>
      </c>
      <c r="G22" s="1940">
        <v>894699.8</v>
      </c>
      <c r="H22" s="1939">
        <v>1449257.3199999998</v>
      </c>
      <c r="I22" s="1941">
        <v>1443779.78</v>
      </c>
      <c r="J22" s="1942">
        <f t="shared" si="0"/>
        <v>0.99186747401468978</v>
      </c>
      <c r="K22" s="1942">
        <f t="shared" si="1"/>
        <v>0.99891085533092516</v>
      </c>
    </row>
    <row r="23" spans="1:11" ht="11.1" customHeight="1">
      <c r="A23" s="1943"/>
      <c r="B23" s="1943"/>
      <c r="C23" s="1944" t="s">
        <v>1020</v>
      </c>
      <c r="D23" s="1945">
        <v>399084</v>
      </c>
      <c r="E23" s="1946">
        <v>399084</v>
      </c>
      <c r="F23" s="1945">
        <v>526006.06000000006</v>
      </c>
      <c r="G23" s="1946">
        <v>511459.02</v>
      </c>
      <c r="H23" s="1945">
        <v>925090.06</v>
      </c>
      <c r="I23" s="1947">
        <v>910543.02</v>
      </c>
      <c r="J23" s="1942">
        <f t="shared" si="0"/>
        <v>1</v>
      </c>
      <c r="K23" s="1942">
        <f t="shared" si="1"/>
        <v>0.97234434903658706</v>
      </c>
    </row>
    <row r="24" spans="1:11" ht="11.1" customHeight="1">
      <c r="A24" s="1943"/>
      <c r="B24" s="1943"/>
      <c r="C24" s="1944" t="s">
        <v>1021</v>
      </c>
      <c r="D24" s="1945">
        <v>360726</v>
      </c>
      <c r="E24" s="1946">
        <v>353121.41</v>
      </c>
      <c r="F24" s="1945">
        <v>799290.11</v>
      </c>
      <c r="G24" s="1946">
        <v>794594.2</v>
      </c>
      <c r="H24" s="1945">
        <v>1160016.1099999999</v>
      </c>
      <c r="I24" s="1947">
        <v>1147715.6099999999</v>
      </c>
      <c r="J24" s="1942">
        <f t="shared" si="0"/>
        <v>0.97891865293879554</v>
      </c>
      <c r="K24" s="1942">
        <f t="shared" si="1"/>
        <v>0.99412489915582714</v>
      </c>
    </row>
    <row r="25" spans="1:11" ht="11.1" customHeight="1">
      <c r="A25" s="1943"/>
      <c r="B25" s="1943"/>
      <c r="C25" s="1944" t="s">
        <v>1024</v>
      </c>
      <c r="D25" s="1945">
        <v>301283</v>
      </c>
      <c r="E25" s="1946">
        <v>266190.44</v>
      </c>
      <c r="F25" s="1945">
        <v>543770.67000000004</v>
      </c>
      <c r="G25" s="1946">
        <v>529564.19999999995</v>
      </c>
      <c r="H25" s="1945">
        <v>845053.67</v>
      </c>
      <c r="I25" s="1947">
        <v>795754.6399999999</v>
      </c>
      <c r="J25" s="1942">
        <f t="shared" si="0"/>
        <v>0.88352293358735812</v>
      </c>
      <c r="K25" s="1942">
        <f t="shared" si="1"/>
        <v>0.97387415176327907</v>
      </c>
    </row>
    <row r="26" spans="1:11" ht="11.1" customHeight="1">
      <c r="A26" s="1943"/>
      <c r="B26" s="1923" t="s">
        <v>1222</v>
      </c>
      <c r="C26" s="1923" t="s">
        <v>1023</v>
      </c>
      <c r="D26" s="1939">
        <v>179274</v>
      </c>
      <c r="E26" s="1940">
        <v>179274</v>
      </c>
      <c r="F26" s="1939">
        <v>334877.78999999998</v>
      </c>
      <c r="G26" s="1940">
        <v>331336</v>
      </c>
      <c r="H26" s="1939">
        <v>514151.79</v>
      </c>
      <c r="I26" s="1941">
        <v>510610</v>
      </c>
      <c r="J26" s="1942">
        <f t="shared" si="0"/>
        <v>1</v>
      </c>
      <c r="K26" s="1942">
        <f t="shared" si="1"/>
        <v>0.98942363421593293</v>
      </c>
    </row>
    <row r="27" spans="1:11" ht="11.1" customHeight="1">
      <c r="A27" s="1943"/>
      <c r="B27" s="1923" t="s">
        <v>1223</v>
      </c>
      <c r="C27" s="1923" t="s">
        <v>1016</v>
      </c>
      <c r="D27" s="1939">
        <v>121571</v>
      </c>
      <c r="E27" s="1940">
        <v>118102.13</v>
      </c>
      <c r="F27" s="1939">
        <v>397305.53</v>
      </c>
      <c r="G27" s="1940">
        <v>388717.4</v>
      </c>
      <c r="H27" s="1939">
        <v>518876.53</v>
      </c>
      <c r="I27" s="1941">
        <v>506819.53</v>
      </c>
      <c r="J27" s="1942">
        <f t="shared" si="0"/>
        <v>0.97146630364149344</v>
      </c>
      <c r="K27" s="1942">
        <f t="shared" si="1"/>
        <v>0.97838406628772567</v>
      </c>
    </row>
    <row r="28" spans="1:11" s="1933" customFormat="1" ht="11.1" customHeight="1">
      <c r="A28" s="1943"/>
      <c r="B28" s="1943"/>
      <c r="C28" s="1944" t="s">
        <v>1017</v>
      </c>
      <c r="D28" s="1945">
        <v>244467</v>
      </c>
      <c r="E28" s="1946">
        <v>244462.33</v>
      </c>
      <c r="F28" s="1945">
        <v>682817.08</v>
      </c>
      <c r="G28" s="1946">
        <v>619957.80000000005</v>
      </c>
      <c r="H28" s="1945">
        <v>927284.08</v>
      </c>
      <c r="I28" s="1947">
        <v>864420.13</v>
      </c>
      <c r="J28" s="1942">
        <f t="shared" si="0"/>
        <v>0.99998089721721128</v>
      </c>
      <c r="K28" s="1942">
        <f t="shared" si="1"/>
        <v>0.90794126005166731</v>
      </c>
    </row>
    <row r="29" spans="1:11" ht="11.1" customHeight="1">
      <c r="A29" s="1949" t="s">
        <v>1224</v>
      </c>
      <c r="B29" s="1950"/>
      <c r="C29" s="1950"/>
      <c r="D29" s="1955">
        <v>2159987</v>
      </c>
      <c r="E29" s="1956">
        <v>2109314.29</v>
      </c>
      <c r="F29" s="1955">
        <v>4179742.5599999996</v>
      </c>
      <c r="G29" s="1956">
        <v>4070328.42</v>
      </c>
      <c r="H29" s="1955">
        <v>6339729.5600000005</v>
      </c>
      <c r="I29" s="1957">
        <v>6179642.71</v>
      </c>
      <c r="J29" s="1954">
        <f t="shared" si="0"/>
        <v>0.97654027084422268</v>
      </c>
      <c r="K29" s="1954">
        <f t="shared" si="1"/>
        <v>0.97382275620343473</v>
      </c>
    </row>
    <row r="30" spans="1:11" ht="11.1" customHeight="1">
      <c r="A30" s="1923" t="s">
        <v>1225</v>
      </c>
      <c r="B30" s="1923" t="s">
        <v>1226</v>
      </c>
      <c r="C30" s="1923" t="s">
        <v>1033</v>
      </c>
      <c r="D30" s="1939">
        <v>81314</v>
      </c>
      <c r="E30" s="1940">
        <v>80267.94</v>
      </c>
      <c r="F30" s="1939">
        <v>257513.8</v>
      </c>
      <c r="G30" s="1940">
        <v>257324.6</v>
      </c>
      <c r="H30" s="1939">
        <v>338827.8</v>
      </c>
      <c r="I30" s="1941">
        <v>337592.54000000004</v>
      </c>
      <c r="J30" s="1942">
        <f t="shared" si="0"/>
        <v>0.98713554861401487</v>
      </c>
      <c r="K30" s="1942">
        <f t="shared" si="1"/>
        <v>0.99926528209361987</v>
      </c>
    </row>
    <row r="31" spans="1:11" ht="11.1" customHeight="1">
      <c r="A31" s="1943"/>
      <c r="B31" s="1923" t="s">
        <v>1227</v>
      </c>
      <c r="C31" s="1923" t="s">
        <v>1028</v>
      </c>
      <c r="D31" s="1939">
        <v>129316</v>
      </c>
      <c r="E31" s="1940">
        <v>128376.01</v>
      </c>
      <c r="F31" s="1939">
        <v>528397.4</v>
      </c>
      <c r="G31" s="1940">
        <v>526647.19999999995</v>
      </c>
      <c r="H31" s="1939">
        <v>657713.4</v>
      </c>
      <c r="I31" s="1941">
        <v>655023.21</v>
      </c>
      <c r="J31" s="1942">
        <f t="shared" si="0"/>
        <v>0.99273106189489313</v>
      </c>
      <c r="K31" s="1942">
        <f t="shared" si="1"/>
        <v>0.99668772026508823</v>
      </c>
    </row>
    <row r="32" spans="1:11" ht="11.1" customHeight="1">
      <c r="A32" s="1943"/>
      <c r="B32" s="1943"/>
      <c r="C32" s="1944" t="s">
        <v>1029</v>
      </c>
      <c r="D32" s="1945">
        <v>70133</v>
      </c>
      <c r="E32" s="1946">
        <v>70133</v>
      </c>
      <c r="F32" s="1945">
        <v>137893.20000000001</v>
      </c>
      <c r="G32" s="1946">
        <v>136697.20000000001</v>
      </c>
      <c r="H32" s="1945">
        <v>208026.2</v>
      </c>
      <c r="I32" s="1947">
        <v>206830.2</v>
      </c>
      <c r="J32" s="1942">
        <f t="shared" si="0"/>
        <v>1</v>
      </c>
      <c r="K32" s="1942">
        <f t="shared" si="1"/>
        <v>0.99132662089211065</v>
      </c>
    </row>
    <row r="33" spans="1:11" ht="11.1" customHeight="1">
      <c r="A33" s="1943"/>
      <c r="B33" s="1923" t="s">
        <v>703</v>
      </c>
      <c r="C33" s="1923" t="s">
        <v>1026</v>
      </c>
      <c r="D33" s="1939">
        <v>105216</v>
      </c>
      <c r="E33" s="1940">
        <v>105216</v>
      </c>
      <c r="F33" s="1939">
        <v>280220.79999999999</v>
      </c>
      <c r="G33" s="1940">
        <v>280220.79999999999</v>
      </c>
      <c r="H33" s="1939">
        <v>385436.8</v>
      </c>
      <c r="I33" s="1941">
        <v>385436.8</v>
      </c>
      <c r="J33" s="1942">
        <f t="shared" si="0"/>
        <v>1</v>
      </c>
      <c r="K33" s="1942">
        <f t="shared" si="1"/>
        <v>1</v>
      </c>
    </row>
    <row r="34" spans="1:11" ht="11.1" customHeight="1">
      <c r="A34" s="1943"/>
      <c r="B34" s="1923" t="s">
        <v>1228</v>
      </c>
      <c r="C34" s="1923" t="s">
        <v>1035</v>
      </c>
      <c r="D34" s="1939">
        <v>139410</v>
      </c>
      <c r="E34" s="1940">
        <v>117452.63</v>
      </c>
      <c r="F34" s="1939">
        <v>391962.6</v>
      </c>
      <c r="G34" s="1940">
        <v>388980.4</v>
      </c>
      <c r="H34" s="1939">
        <v>531372.6</v>
      </c>
      <c r="I34" s="1941">
        <v>506433.03</v>
      </c>
      <c r="J34" s="1942">
        <f t="shared" si="0"/>
        <v>0.84249788393945924</v>
      </c>
      <c r="K34" s="1942">
        <f t="shared" si="1"/>
        <v>0.99239162103731338</v>
      </c>
    </row>
    <row r="35" spans="1:11" ht="11.1" customHeight="1">
      <c r="A35" s="1943"/>
      <c r="B35" s="1943"/>
      <c r="C35" s="1944" t="s">
        <v>1036</v>
      </c>
      <c r="D35" s="1945">
        <v>159709</v>
      </c>
      <c r="E35" s="1946">
        <v>145685.51999999999</v>
      </c>
      <c r="F35" s="1945">
        <v>599949.80000000005</v>
      </c>
      <c r="G35" s="1946">
        <v>598274</v>
      </c>
      <c r="H35" s="1945">
        <v>759658.8</v>
      </c>
      <c r="I35" s="1947">
        <v>743959.52</v>
      </c>
      <c r="J35" s="1942">
        <f t="shared" si="0"/>
        <v>0.91219355202274133</v>
      </c>
      <c r="K35" s="1942">
        <f t="shared" si="1"/>
        <v>0.99720676629944693</v>
      </c>
    </row>
    <row r="36" spans="1:11" ht="11.1" customHeight="1">
      <c r="A36" s="1943"/>
      <c r="B36" s="1923" t="s">
        <v>1223</v>
      </c>
      <c r="C36" s="1923" t="s">
        <v>1030</v>
      </c>
      <c r="D36" s="1939">
        <v>34000</v>
      </c>
      <c r="E36" s="1940">
        <v>32468.06</v>
      </c>
      <c r="F36" s="1939">
        <v>167922.4</v>
      </c>
      <c r="G36" s="1940">
        <v>167416</v>
      </c>
      <c r="H36" s="1939">
        <v>201922.4</v>
      </c>
      <c r="I36" s="1941">
        <v>199884.06</v>
      </c>
      <c r="J36" s="1942">
        <f t="shared" si="0"/>
        <v>0.95494294117647061</v>
      </c>
      <c r="K36" s="1942">
        <f t="shared" si="1"/>
        <v>0.99698432132937598</v>
      </c>
    </row>
    <row r="37" spans="1:11" s="1933" customFormat="1" ht="11.1" customHeight="1">
      <c r="A37" s="1943"/>
      <c r="B37" s="1943"/>
      <c r="C37" s="1944" t="s">
        <v>1031</v>
      </c>
      <c r="D37" s="1945">
        <v>64000</v>
      </c>
      <c r="E37" s="1946">
        <v>53681.59</v>
      </c>
      <c r="F37" s="1945">
        <v>752743.4</v>
      </c>
      <c r="G37" s="1946">
        <v>751943.4</v>
      </c>
      <c r="H37" s="1945">
        <v>816743.4</v>
      </c>
      <c r="I37" s="1947">
        <v>805624.99</v>
      </c>
      <c r="J37" s="1942">
        <f t="shared" si="0"/>
        <v>0.83877484375</v>
      </c>
      <c r="K37" s="1942">
        <f t="shared" si="1"/>
        <v>0.99893722083780478</v>
      </c>
    </row>
    <row r="38" spans="1:11" ht="11.1" customHeight="1">
      <c r="A38" s="1949" t="s">
        <v>1229</v>
      </c>
      <c r="B38" s="1950"/>
      <c r="C38" s="1950"/>
      <c r="D38" s="1955">
        <v>783098</v>
      </c>
      <c r="E38" s="1956">
        <v>733280.75</v>
      </c>
      <c r="F38" s="1955">
        <v>3116603.3999999994</v>
      </c>
      <c r="G38" s="1956">
        <v>3107503.6</v>
      </c>
      <c r="H38" s="1955">
        <v>3899701.3999999994</v>
      </c>
      <c r="I38" s="1957">
        <v>3840784.3499999996</v>
      </c>
      <c r="J38" s="1954">
        <f t="shared" si="0"/>
        <v>0.93638439888749558</v>
      </c>
      <c r="K38" s="1954">
        <f t="shared" si="1"/>
        <v>0.99708021880486963</v>
      </c>
    </row>
    <row r="39" spans="1:11" ht="11.1" customHeight="1">
      <c r="A39" s="1923" t="s">
        <v>1230</v>
      </c>
      <c r="B39" s="1923" t="s">
        <v>713</v>
      </c>
      <c r="C39" s="1923" t="s">
        <v>1038</v>
      </c>
      <c r="D39" s="1939">
        <v>194719</v>
      </c>
      <c r="E39" s="1940">
        <v>194719</v>
      </c>
      <c r="F39" s="1939">
        <v>3230016</v>
      </c>
      <c r="G39" s="1940">
        <v>3225918</v>
      </c>
      <c r="H39" s="1939">
        <v>3424735</v>
      </c>
      <c r="I39" s="1941">
        <v>3420637</v>
      </c>
      <c r="J39" s="1942">
        <f t="shared" si="0"/>
        <v>1</v>
      </c>
      <c r="K39" s="1942">
        <f t="shared" si="1"/>
        <v>0.99873127563454789</v>
      </c>
    </row>
    <row r="40" spans="1:11" ht="11.1" customHeight="1">
      <c r="A40" s="1943"/>
      <c r="B40" s="1923" t="s">
        <v>1231</v>
      </c>
      <c r="C40" s="1923" t="s">
        <v>1040</v>
      </c>
      <c r="D40" s="1939">
        <v>316590</v>
      </c>
      <c r="E40" s="1940">
        <v>316590</v>
      </c>
      <c r="F40" s="1939">
        <v>783604.8</v>
      </c>
      <c r="G40" s="1940">
        <v>783604.8</v>
      </c>
      <c r="H40" s="1939">
        <v>1100194.8</v>
      </c>
      <c r="I40" s="1941">
        <v>1100194.8</v>
      </c>
      <c r="J40" s="1942">
        <f t="shared" si="0"/>
        <v>1</v>
      </c>
      <c r="K40" s="1942">
        <f t="shared" si="1"/>
        <v>1</v>
      </c>
    </row>
    <row r="41" spans="1:11" ht="11.1" customHeight="1">
      <c r="A41" s="1943"/>
      <c r="B41" s="1923" t="s">
        <v>1223</v>
      </c>
      <c r="C41" s="1923" t="s">
        <v>1041</v>
      </c>
      <c r="D41" s="1939">
        <v>198333</v>
      </c>
      <c r="E41" s="1940">
        <v>198333</v>
      </c>
      <c r="F41" s="1939">
        <v>504933.6</v>
      </c>
      <c r="G41" s="1940">
        <v>503603.6</v>
      </c>
      <c r="H41" s="1939">
        <v>703266.6</v>
      </c>
      <c r="I41" s="1941">
        <v>701936.6</v>
      </c>
      <c r="J41" s="1942">
        <f t="shared" si="0"/>
        <v>1</v>
      </c>
      <c r="K41" s="1942">
        <f t="shared" si="1"/>
        <v>0.99736599030050688</v>
      </c>
    </row>
    <row r="42" spans="1:11" s="1933" customFormat="1" ht="11.1" customHeight="1">
      <c r="A42" s="1943"/>
      <c r="B42" s="1943"/>
      <c r="C42" s="1944" t="s">
        <v>1042</v>
      </c>
      <c r="D42" s="1945">
        <v>114612</v>
      </c>
      <c r="E42" s="1946">
        <v>114612</v>
      </c>
      <c r="F42" s="1945">
        <v>728169.8</v>
      </c>
      <c r="G42" s="1946">
        <v>728169.8</v>
      </c>
      <c r="H42" s="1945">
        <v>842781.8</v>
      </c>
      <c r="I42" s="1947">
        <v>842781.8</v>
      </c>
      <c r="J42" s="1942">
        <f t="shared" si="0"/>
        <v>1</v>
      </c>
      <c r="K42" s="1942">
        <f t="shared" si="1"/>
        <v>1</v>
      </c>
    </row>
    <row r="43" spans="1:11" ht="11.1" customHeight="1">
      <c r="A43" s="1949" t="s">
        <v>1232</v>
      </c>
      <c r="B43" s="1950"/>
      <c r="C43" s="1950"/>
      <c r="D43" s="1955">
        <v>824254</v>
      </c>
      <c r="E43" s="1956">
        <v>824254</v>
      </c>
      <c r="F43" s="1955">
        <v>5246724.1999999993</v>
      </c>
      <c r="G43" s="1956">
        <v>5241296.1999999993</v>
      </c>
      <c r="H43" s="1955">
        <v>6070978.1999999993</v>
      </c>
      <c r="I43" s="1957">
        <v>6065550.1999999993</v>
      </c>
      <c r="J43" s="1954">
        <f t="shared" si="0"/>
        <v>1</v>
      </c>
      <c r="K43" s="1954">
        <f t="shared" si="1"/>
        <v>0.99896544971813084</v>
      </c>
    </row>
    <row r="44" spans="1:11" ht="21" customHeight="1">
      <c r="A44" s="1958" t="s">
        <v>1195</v>
      </c>
      <c r="B44" s="1959"/>
      <c r="C44" s="1959"/>
      <c r="D44" s="1960">
        <v>5870806</v>
      </c>
      <c r="E44" s="1961">
        <v>5658952.6499999985</v>
      </c>
      <c r="F44" s="1960">
        <v>18093953.660000004</v>
      </c>
      <c r="G44" s="1961">
        <v>17718831.820000004</v>
      </c>
      <c r="H44" s="1960">
        <v>23964759.66</v>
      </c>
      <c r="I44" s="1962">
        <v>23377784.470000003</v>
      </c>
      <c r="J44" s="1963">
        <f t="shared" si="0"/>
        <v>0.96391409458939681</v>
      </c>
      <c r="K44" s="1963">
        <f t="shared" si="1"/>
        <v>0.97926811093645749</v>
      </c>
    </row>
    <row r="45" spans="1:11" ht="11.1" customHeight="1"/>
    <row r="46" spans="1:11" ht="11.1" customHeight="1">
      <c r="A46" s="1922" t="s">
        <v>1233</v>
      </c>
    </row>
    <row r="47" spans="1:11" ht="11.1" customHeight="1"/>
    <row r="48" spans="1:11" ht="11.1" customHeight="1"/>
    <row r="49" spans="5:8" ht="11.1" customHeight="1"/>
    <row r="50" spans="5:8" ht="11.1" customHeight="1"/>
    <row r="51" spans="5:8" ht="11.1" customHeight="1"/>
    <row r="52" spans="5:8" ht="11.1" customHeight="1"/>
    <row r="53" spans="5:8" ht="11.1" customHeight="1"/>
    <row r="54" spans="5:8" ht="11.1" customHeight="1">
      <c r="E54" s="1933" t="s">
        <v>1234</v>
      </c>
      <c r="F54" s="1964" t="s">
        <v>981</v>
      </c>
      <c r="G54" s="1922" t="s">
        <v>1235</v>
      </c>
    </row>
    <row r="55" spans="5:8" ht="11.1" customHeight="1"/>
    <row r="56" spans="5:8" ht="11.1" customHeight="1"/>
    <row r="57" spans="5:8" ht="11.1" customHeight="1">
      <c r="E57" s="1933"/>
      <c r="F57" s="1933"/>
      <c r="G57" s="1933"/>
      <c r="H57" s="1933"/>
    </row>
    <row r="58" spans="5:8" ht="11.1" customHeight="1"/>
    <row r="59" spans="5:8" ht="11.1" customHeight="1">
      <c r="E59" s="1922" t="s">
        <v>1236</v>
      </c>
      <c r="F59" s="1965">
        <v>2479957</v>
      </c>
      <c r="G59" s="1965">
        <v>102051081.27995916</v>
      </c>
      <c r="H59" s="1966">
        <v>41.150343042221763</v>
      </c>
    </row>
    <row r="60" spans="5:8" ht="11.1" customHeight="1">
      <c r="E60" s="1922" t="s">
        <v>1237</v>
      </c>
      <c r="F60" s="1965">
        <v>178266</v>
      </c>
      <c r="G60" s="1965">
        <v>31076827.169996746</v>
      </c>
      <c r="H60" s="1966">
        <v>174.3284034532482</v>
      </c>
    </row>
    <row r="61" spans="5:8" ht="11.1" customHeight="1">
      <c r="E61" s="1922" t="s">
        <v>1238</v>
      </c>
      <c r="F61" s="1965">
        <v>230839</v>
      </c>
      <c r="G61" s="1965">
        <v>63417281.379999951</v>
      </c>
      <c r="H61" s="1966">
        <v>274.72516073973611</v>
      </c>
    </row>
    <row r="62" spans="5:8" ht="11.1" customHeight="1"/>
    <row r="63" spans="5:8" ht="11.1" customHeight="1">
      <c r="E63" s="1922" t="s">
        <v>1239</v>
      </c>
      <c r="F63" s="1965">
        <v>387053</v>
      </c>
      <c r="G63" s="1965">
        <v>79296038.509997904</v>
      </c>
      <c r="H63" s="1966">
        <v>204.87126700993895</v>
      </c>
    </row>
    <row r="64" spans="5:8" ht="11.1" customHeight="1">
      <c r="E64" s="1922" t="s">
        <v>1240</v>
      </c>
      <c r="F64" s="1965">
        <v>4380</v>
      </c>
      <c r="G64" s="1965">
        <v>1173981.1199999889</v>
      </c>
      <c r="H64" s="1966">
        <v>268.03221917807969</v>
      </c>
    </row>
    <row r="65" spans="5:8" ht="11.1" customHeight="1">
      <c r="E65" s="1922" t="s">
        <v>1241</v>
      </c>
      <c r="F65" s="1965">
        <v>9682</v>
      </c>
      <c r="G65" s="1965">
        <v>3993832.5699999765</v>
      </c>
      <c r="H65" s="1966">
        <v>412.50078186324896</v>
      </c>
    </row>
    <row r="66" spans="5:8" ht="11.1" customHeight="1"/>
    <row r="67" spans="5:8" ht="11.1" customHeight="1">
      <c r="E67" s="1922" t="s">
        <v>1242</v>
      </c>
      <c r="F67" s="1965">
        <v>14843</v>
      </c>
      <c r="G67" s="1965">
        <v>4541982.8299999842</v>
      </c>
      <c r="H67" s="1966">
        <v>306.00167284241621</v>
      </c>
    </row>
    <row r="68" spans="5:8" ht="11.1" customHeight="1">
      <c r="E68" s="1922" t="s">
        <v>1243</v>
      </c>
      <c r="F68" s="1965">
        <v>4378</v>
      </c>
      <c r="G68" s="1965">
        <v>1018241.259999987</v>
      </c>
      <c r="H68" s="1966">
        <v>232.58137505710073</v>
      </c>
    </row>
    <row r="69" spans="5:8" ht="11.1" customHeight="1"/>
    <row r="70" spans="5:8" ht="11.1" customHeight="1">
      <c r="E70" s="1922" t="s">
        <v>1244</v>
      </c>
      <c r="F70" s="1965">
        <v>3588</v>
      </c>
      <c r="G70" s="1965">
        <v>1315126.5599999917</v>
      </c>
      <c r="H70" s="1966">
        <v>366.53471571906124</v>
      </c>
    </row>
    <row r="71" spans="5:8" ht="11.1" customHeight="1">
      <c r="E71" s="1922" t="s">
        <v>1245</v>
      </c>
      <c r="F71" s="1965">
        <v>5021</v>
      </c>
      <c r="G71" s="1965">
        <v>2301174.5099999947</v>
      </c>
      <c r="H71" s="1966">
        <v>458.30999999999892</v>
      </c>
    </row>
    <row r="72" spans="5:8" ht="11.1" customHeight="1">
      <c r="E72" s="1922" t="s">
        <v>1246</v>
      </c>
      <c r="F72" s="1965">
        <v>8974</v>
      </c>
      <c r="G72" s="1965">
        <v>3647870.6599999713</v>
      </c>
      <c r="H72" s="1966">
        <v>406.49327613104202</v>
      </c>
    </row>
    <row r="73" spans="5:8" ht="11.1" customHeight="1">
      <c r="E73" s="1922" t="s">
        <v>1247</v>
      </c>
      <c r="F73" s="1965">
        <v>3969</v>
      </c>
      <c r="G73" s="1965">
        <v>1180717.260000004</v>
      </c>
      <c r="H73" s="1966">
        <v>297.48482237339482</v>
      </c>
    </row>
    <row r="74" spans="5:8" ht="11.1" customHeight="1">
      <c r="E74" s="1922" t="s">
        <v>1248</v>
      </c>
      <c r="F74" s="1965">
        <v>10945</v>
      </c>
      <c r="G74" s="1965">
        <v>4339254.5500000212</v>
      </c>
      <c r="H74" s="1966">
        <v>396.45998629511388</v>
      </c>
    </row>
    <row r="75" spans="5:8" ht="11.1" customHeight="1"/>
    <row r="76" spans="5:8" ht="11.1" customHeight="1">
      <c r="E76" s="1922" t="s">
        <v>1249</v>
      </c>
      <c r="F76" s="1965">
        <v>19609</v>
      </c>
      <c r="G76" s="1965">
        <v>6436262.0700000161</v>
      </c>
      <c r="H76" s="1966">
        <v>328.23000000000081</v>
      </c>
    </row>
    <row r="77" spans="5:8" ht="11.1" customHeight="1">
      <c r="E77" s="1922" t="s">
        <v>1250</v>
      </c>
      <c r="F77" s="1965">
        <v>46481</v>
      </c>
      <c r="G77" s="1965">
        <v>4230192.5699999481</v>
      </c>
      <c r="H77" s="1966">
        <v>91.009069727414385</v>
      </c>
    </row>
    <row r="78" spans="5:8" ht="11.1" customHeight="1"/>
    <row r="79" spans="5:8" ht="11.1" customHeight="1">
      <c r="E79" s="1922" t="s">
        <v>1251</v>
      </c>
      <c r="F79" s="1965">
        <v>40174</v>
      </c>
      <c r="G79" s="1965">
        <v>3198374.9299999997</v>
      </c>
      <c r="H79" s="1966">
        <v>79.613056454423258</v>
      </c>
    </row>
    <row r="80" spans="5:8" ht="11.1" customHeight="1">
      <c r="E80" s="1922" t="s">
        <v>1252</v>
      </c>
      <c r="F80" s="1965">
        <v>12360</v>
      </c>
      <c r="G80" s="1965">
        <v>793141.20000004128</v>
      </c>
      <c r="H80" s="1966">
        <v>64.170000000003341</v>
      </c>
    </row>
    <row r="81" spans="5:7" ht="11.1" customHeight="1">
      <c r="E81" s="1933" t="s">
        <v>1195</v>
      </c>
      <c r="F81" s="1967">
        <v>3460519</v>
      </c>
      <c r="G81" s="1967">
        <v>314011380.42995369</v>
      </c>
    </row>
  </sheetData>
  <mergeCells count="1">
    <mergeCell ref="J4:K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F19"/>
  <sheetViews>
    <sheetView workbookViewId="0">
      <selection activeCell="H11" sqref="H11"/>
    </sheetView>
  </sheetViews>
  <sheetFormatPr defaultRowHeight="15"/>
  <sheetData>
    <row r="2" spans="1:6" ht="18.75">
      <c r="A2" s="2240" t="s">
        <v>1158</v>
      </c>
      <c r="B2" s="2241"/>
      <c r="C2" s="2241"/>
      <c r="D2" s="2241"/>
      <c r="E2" s="2241"/>
      <c r="F2" s="2242"/>
    </row>
    <row r="3" spans="1:6" ht="18.75">
      <c r="A3" s="2242" t="s">
        <v>1159</v>
      </c>
      <c r="B3" s="2242"/>
      <c r="C3" s="2242"/>
      <c r="D3" s="2242"/>
      <c r="E3" s="2242"/>
      <c r="F3" s="2242"/>
    </row>
    <row r="4" spans="1:6" ht="18.75">
      <c r="A4" s="2242" t="s">
        <v>1258</v>
      </c>
      <c r="B4" s="2242"/>
      <c r="C4" s="2242"/>
      <c r="D4" s="2242"/>
      <c r="E4" s="2242"/>
      <c r="F4" s="2242"/>
    </row>
    <row r="5" spans="1:6" ht="18.75">
      <c r="A5" s="2242" t="s">
        <v>1160</v>
      </c>
      <c r="B5" s="2242"/>
      <c r="C5" s="2242"/>
      <c r="D5" s="2242"/>
      <c r="E5" s="2242"/>
      <c r="F5" s="2242"/>
    </row>
    <row r="6" spans="1:6" ht="18.75">
      <c r="A6" s="2242" t="s">
        <v>1161</v>
      </c>
      <c r="B6" s="2242"/>
      <c r="C6" s="2242"/>
      <c r="D6" s="2242"/>
      <c r="E6" s="2242"/>
      <c r="F6" s="2242"/>
    </row>
    <row r="7" spans="1:6" ht="18.75">
      <c r="A7" s="2242" t="s">
        <v>1162</v>
      </c>
      <c r="B7" s="2242"/>
      <c r="C7" s="2242"/>
      <c r="D7" s="2242"/>
      <c r="E7" s="2242"/>
      <c r="F7" s="2242"/>
    </row>
    <row r="8" spans="1:6" ht="18.75">
      <c r="A8" s="2242" t="s">
        <v>1163</v>
      </c>
      <c r="B8" s="2242"/>
      <c r="C8" s="2242"/>
      <c r="D8" s="2242"/>
      <c r="E8" s="2242"/>
      <c r="F8" s="2242"/>
    </row>
    <row r="9" spans="1:6" ht="18.75">
      <c r="A9" s="2242"/>
      <c r="B9" s="2243"/>
      <c r="C9" s="2244"/>
      <c r="D9" s="2242"/>
      <c r="E9" s="2242"/>
      <c r="F9" s="2242"/>
    </row>
    <row r="10" spans="1:6" ht="18.75">
      <c r="A10" s="2242"/>
      <c r="B10" s="2242"/>
      <c r="C10" s="2242"/>
      <c r="D10" s="2242"/>
      <c r="E10" s="2242"/>
      <c r="F10" s="2242"/>
    </row>
    <row r="11" spans="1:6" ht="18.75">
      <c r="A11" s="2242"/>
      <c r="B11" s="2242"/>
      <c r="C11" s="2242"/>
      <c r="D11" s="2242"/>
      <c r="E11" s="2242"/>
      <c r="F11" s="2242"/>
    </row>
    <row r="12" spans="1:6" ht="18">
      <c r="A12" s="2245"/>
      <c r="B12" s="2245"/>
      <c r="C12" s="2245"/>
      <c r="D12" s="2246"/>
      <c r="E12" s="2246"/>
      <c r="F12" s="2245"/>
    </row>
    <row r="13" spans="1:6" ht="18.75">
      <c r="A13" s="2240" t="s">
        <v>1329</v>
      </c>
      <c r="B13" s="2241"/>
      <c r="C13" s="2241"/>
      <c r="D13" s="2241"/>
      <c r="E13" s="2241"/>
      <c r="F13" s="2242"/>
    </row>
    <row r="14" spans="1:6" ht="18.75">
      <c r="A14" s="2242" t="s">
        <v>1335</v>
      </c>
      <c r="B14" s="2243"/>
      <c r="C14" s="2244"/>
      <c r="D14" s="2242"/>
      <c r="E14" s="2242"/>
      <c r="F14" s="2243"/>
    </row>
    <row r="15" spans="1:6" ht="18.75">
      <c r="A15" s="2242" t="s">
        <v>1336</v>
      </c>
      <c r="B15" s="2243"/>
      <c r="C15" s="2244"/>
      <c r="D15" s="2242"/>
      <c r="E15" s="2242"/>
      <c r="F15" s="2243"/>
    </row>
    <row r="16" spans="1:6" ht="18.75">
      <c r="A16" s="2242" t="s">
        <v>1337</v>
      </c>
      <c r="B16" s="2242"/>
      <c r="C16" s="2242"/>
      <c r="D16" s="2242"/>
      <c r="E16" s="2242"/>
      <c r="F16" s="2242"/>
    </row>
    <row r="17" spans="1:6" ht="21">
      <c r="A17" s="2171"/>
      <c r="B17" s="2243"/>
      <c r="C17" s="2244"/>
      <c r="D17" s="2242"/>
      <c r="E17" s="2242"/>
      <c r="F17" s="2242"/>
    </row>
    <row r="18" spans="1:6" ht="18.75">
      <c r="A18" s="985"/>
      <c r="B18" s="2242"/>
      <c r="C18" s="2242"/>
      <c r="D18" s="2242"/>
      <c r="E18" s="2242"/>
      <c r="F18" s="2242"/>
    </row>
    <row r="19" spans="1:6" ht="18.75">
      <c r="A19" s="2242"/>
      <c r="B19" s="2242"/>
      <c r="C19" s="2242"/>
      <c r="D19" s="2242"/>
      <c r="E19" s="2242"/>
      <c r="F19" s="224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4A931-B9BF-4514-A9ED-18C4803A5A21}">
  <dimension ref="A1:R39"/>
  <sheetViews>
    <sheetView topLeftCell="A6" workbookViewId="0">
      <selection activeCell="L28" sqref="L28"/>
    </sheetView>
  </sheetViews>
  <sheetFormatPr defaultColWidth="9.140625" defaultRowHeight="15"/>
  <cols>
    <col min="1" max="4" width="9.140625" style="2090"/>
    <col min="5" max="5" width="19.42578125" style="2090" customWidth="1"/>
    <col min="6" max="8" width="9.140625" style="2090"/>
    <col min="9" max="9" width="11.28515625" style="2090" customWidth="1"/>
    <col min="10" max="12" width="9.140625" style="2090"/>
    <col min="13" max="13" width="10.140625" style="2090" customWidth="1"/>
    <col min="14" max="16384" width="9.140625" style="2090"/>
  </cols>
  <sheetData>
    <row r="1" spans="1:13" ht="15.75">
      <c r="A1" s="2089" t="s">
        <v>1308</v>
      </c>
    </row>
    <row r="2" spans="1:13">
      <c r="B2" s="2091" t="s">
        <v>1408</v>
      </c>
    </row>
    <row r="3" spans="1:13" ht="15.75" thickBot="1"/>
    <row r="4" spans="1:13" ht="15.75" thickBot="1">
      <c r="D4" s="2092"/>
      <c r="E4" s="2510" t="s">
        <v>1309</v>
      </c>
      <c r="F4" s="2511"/>
      <c r="G4" s="2511"/>
      <c r="H4" s="2511"/>
      <c r="I4" s="2511"/>
      <c r="J4" s="2512" t="s">
        <v>1310</v>
      </c>
      <c r="K4" s="2513"/>
      <c r="L4" s="2513"/>
      <c r="M4" s="2514"/>
    </row>
    <row r="5" spans="1:13" ht="54.75" customHeight="1" thickBot="1">
      <c r="D5" s="2092"/>
      <c r="E5" s="2510" t="s">
        <v>1311</v>
      </c>
      <c r="F5" s="2511"/>
      <c r="G5" s="2511"/>
      <c r="H5" s="2511"/>
      <c r="I5" s="2511"/>
      <c r="J5" s="2515"/>
      <c r="K5" s="2516"/>
      <c r="L5" s="2516"/>
      <c r="M5" s="2517"/>
    </row>
    <row r="6" spans="1:13" ht="45.75" thickBot="1">
      <c r="D6" s="2092"/>
      <c r="E6" s="2093"/>
      <c r="F6" s="2094"/>
      <c r="G6" s="2094" t="s">
        <v>1312</v>
      </c>
      <c r="H6" s="2094" t="s">
        <v>1313</v>
      </c>
      <c r="I6" s="2095" t="s">
        <v>1314</v>
      </c>
      <c r="J6" s="2096"/>
      <c r="K6" s="2097" t="s">
        <v>1312</v>
      </c>
      <c r="L6" s="2097" t="s">
        <v>1313</v>
      </c>
      <c r="M6" s="2098" t="s">
        <v>1314</v>
      </c>
    </row>
    <row r="7" spans="1:13" ht="15.75" thickBot="1">
      <c r="D7" s="2518" t="s">
        <v>1315</v>
      </c>
      <c r="E7" s="2099" t="s">
        <v>1316</v>
      </c>
      <c r="F7" s="2100"/>
      <c r="G7" s="2100">
        <v>69.099999999999994</v>
      </c>
      <c r="H7" s="2100">
        <v>86.7</v>
      </c>
      <c r="I7" s="2101">
        <v>105.3</v>
      </c>
      <c r="J7" s="2102"/>
      <c r="K7" s="2103">
        <f t="shared" ref="K7:M12" si="0">G7/7</f>
        <v>9.8714285714285701</v>
      </c>
      <c r="L7" s="2104">
        <f t="shared" si="0"/>
        <v>12.385714285714286</v>
      </c>
      <c r="M7" s="2105">
        <f t="shared" si="0"/>
        <v>15.042857142857143</v>
      </c>
    </row>
    <row r="8" spans="1:13" ht="15.75" thickBot="1">
      <c r="D8" s="2519"/>
      <c r="E8" s="2099" t="s">
        <v>1317</v>
      </c>
      <c r="F8" s="2100"/>
      <c r="G8" s="2100">
        <v>65.099999999999994</v>
      </c>
      <c r="H8" s="2100">
        <v>81.8</v>
      </c>
      <c r="I8" s="2101">
        <v>97.6</v>
      </c>
      <c r="J8" s="2102"/>
      <c r="K8" s="2106">
        <f t="shared" si="0"/>
        <v>9.2999999999999989</v>
      </c>
      <c r="L8" s="2107">
        <f t="shared" si="0"/>
        <v>11.685714285714285</v>
      </c>
      <c r="M8" s="2105">
        <f t="shared" si="0"/>
        <v>13.942857142857141</v>
      </c>
    </row>
    <row r="9" spans="1:13" ht="15.75" thickBot="1">
      <c r="D9" s="2520"/>
      <c r="E9" s="2099" t="s">
        <v>1318</v>
      </c>
      <c r="F9" s="2100"/>
      <c r="G9" s="2100">
        <v>64.400000000000006</v>
      </c>
      <c r="H9" s="2100">
        <v>79.5</v>
      </c>
      <c r="I9" s="2101">
        <v>97</v>
      </c>
      <c r="J9" s="2102"/>
      <c r="K9" s="2106">
        <f t="shared" si="0"/>
        <v>9.2000000000000011</v>
      </c>
      <c r="L9" s="2107">
        <f t="shared" si="0"/>
        <v>11.357142857142858</v>
      </c>
      <c r="M9" s="2105">
        <f t="shared" si="0"/>
        <v>13.857142857142858</v>
      </c>
    </row>
    <row r="10" spans="1:13" ht="15.75" thickBot="1">
      <c r="D10" s="2518" t="s">
        <v>1319</v>
      </c>
      <c r="E10" s="2099" t="s">
        <v>1316</v>
      </c>
      <c r="F10" s="2100"/>
      <c r="G10" s="2100">
        <v>59.9</v>
      </c>
      <c r="H10" s="2100">
        <v>73.099999999999994</v>
      </c>
      <c r="I10" s="2101">
        <v>93.3</v>
      </c>
      <c r="J10" s="2102"/>
      <c r="K10" s="2106">
        <f t="shared" si="0"/>
        <v>8.5571428571428569</v>
      </c>
      <c r="L10" s="2107">
        <f t="shared" si="0"/>
        <v>10.442857142857141</v>
      </c>
      <c r="M10" s="2105">
        <f t="shared" si="0"/>
        <v>13.328571428571427</v>
      </c>
    </row>
    <row r="11" spans="1:13" ht="15.75" thickBot="1">
      <c r="D11" s="2519"/>
      <c r="E11" s="2099" t="s">
        <v>1317</v>
      </c>
      <c r="F11" s="2100"/>
      <c r="G11" s="2100">
        <v>58.5</v>
      </c>
      <c r="H11" s="2100">
        <v>72.400000000000006</v>
      </c>
      <c r="I11" s="2101">
        <v>86.9</v>
      </c>
      <c r="J11" s="2102"/>
      <c r="K11" s="2106">
        <f t="shared" si="0"/>
        <v>8.3571428571428577</v>
      </c>
      <c r="L11" s="2107">
        <f t="shared" si="0"/>
        <v>10.342857142857143</v>
      </c>
      <c r="M11" s="2105">
        <f t="shared" si="0"/>
        <v>12.414285714285715</v>
      </c>
    </row>
    <row r="12" spans="1:13" ht="15.75" thickBot="1">
      <c r="D12" s="2520"/>
      <c r="E12" s="2108" t="s">
        <v>1318</v>
      </c>
      <c r="F12" s="2109"/>
      <c r="G12" s="2109">
        <v>58.2</v>
      </c>
      <c r="H12" s="2109">
        <v>71.7</v>
      </c>
      <c r="I12" s="2110">
        <v>85.7</v>
      </c>
      <c r="J12" s="2111"/>
      <c r="K12" s="2112">
        <f t="shared" si="0"/>
        <v>8.3142857142857149</v>
      </c>
      <c r="L12" s="2113">
        <f t="shared" si="0"/>
        <v>10.242857142857144</v>
      </c>
      <c r="M12" s="2114">
        <f t="shared" si="0"/>
        <v>12.242857142857144</v>
      </c>
    </row>
    <row r="13" spans="1:13" ht="15.75" thickBot="1">
      <c r="D13" s="2115"/>
      <c r="E13" s="2115"/>
      <c r="F13" s="2115"/>
      <c r="G13" s="2115"/>
      <c r="H13" s="2116"/>
      <c r="I13" s="2117" t="s">
        <v>1320</v>
      </c>
      <c r="J13" s="2118"/>
      <c r="K13" s="2119">
        <f>AVERAGE(K7:K12)</f>
        <v>8.9333333333333353</v>
      </c>
      <c r="L13" s="2119">
        <f>AVERAGE(L7:L12)</f>
        <v>11.076190476190476</v>
      </c>
      <c r="M13" s="2118">
        <f>AVERAGE(M7:M12)</f>
        <v>13.471428571428573</v>
      </c>
    </row>
    <row r="14" spans="1:13" ht="15.75" thickTop="1"/>
    <row r="16" spans="1:13" ht="15.75" thickBot="1">
      <c r="F16" s="2120"/>
    </row>
    <row r="17" spans="8:18" ht="15.75" thickBot="1">
      <c r="H17" s="2521" t="s">
        <v>1321</v>
      </c>
      <c r="I17" s="2522"/>
      <c r="J17" s="2523"/>
      <c r="K17" s="2121">
        <v>8.16</v>
      </c>
      <c r="L17" s="2122" t="s">
        <v>987</v>
      </c>
      <c r="M17" s="2122"/>
    </row>
    <row r="18" spans="8:18" ht="15.75" thickBot="1">
      <c r="H18" s="2509" t="s">
        <v>1322</v>
      </c>
      <c r="I18" s="2509"/>
      <c r="J18" s="2509"/>
      <c r="K18" s="2123">
        <f>AVERAGE(J13:M13)</f>
        <v>11.160317460317463</v>
      </c>
      <c r="L18" s="2124">
        <f>$K$17-K18</f>
        <v>-3.0003174603174632</v>
      </c>
      <c r="M18" s="2125"/>
    </row>
    <row r="19" spans="8:18" ht="15.75" thickBot="1">
      <c r="H19" s="2509" t="s">
        <v>1323</v>
      </c>
      <c r="I19" s="2509"/>
      <c r="J19" s="2509"/>
      <c r="K19" s="2126">
        <f>AVERAGE(K13:L13)</f>
        <v>10.004761904761907</v>
      </c>
      <c r="L19" s="2124">
        <f>$K$17-K19</f>
        <v>-1.8447619047619064</v>
      </c>
      <c r="M19" s="2125"/>
    </row>
    <row r="20" spans="8:18">
      <c r="H20" s="2509" t="s">
        <v>1324</v>
      </c>
      <c r="I20" s="2509"/>
      <c r="J20" s="2509"/>
      <c r="K20" s="2127">
        <f>AVERAGE(K13:M13)</f>
        <v>11.160317460317463</v>
      </c>
      <c r="L20" s="2124">
        <f>$K$17-K20</f>
        <v>-3.0003174603174632</v>
      </c>
      <c r="M20" s="2125"/>
    </row>
    <row r="21" spans="8:18">
      <c r="H21" s="2509" t="s">
        <v>1325</v>
      </c>
      <c r="I21" s="2509"/>
      <c r="J21" s="2509"/>
      <c r="K21" s="2128">
        <f>AVERAGE(L13:M13)</f>
        <v>12.273809523809526</v>
      </c>
      <c r="L21" s="2124">
        <f>$K$17-K21</f>
        <v>-4.1138095238095254</v>
      </c>
      <c r="M21" s="2125"/>
    </row>
    <row r="22" spans="8:18">
      <c r="I22" s="2115"/>
      <c r="J22" s="2115"/>
      <c r="K22" s="2115"/>
      <c r="L22" s="2115"/>
      <c r="M22" s="2115"/>
    </row>
    <row r="24" spans="8:18">
      <c r="R24" s="2120"/>
    </row>
    <row r="25" spans="8:18">
      <c r="R25" s="2120"/>
    </row>
    <row r="26" spans="8:18">
      <c r="R26" s="2120"/>
    </row>
    <row r="27" spans="8:18">
      <c r="R27" s="2120"/>
    </row>
    <row r="28" spans="8:18">
      <c r="R28" s="2120"/>
    </row>
    <row r="30" spans="8:18">
      <c r="R30" s="2120"/>
    </row>
    <row r="31" spans="8:18">
      <c r="R31" s="2120"/>
    </row>
    <row r="32" spans="8:18">
      <c r="R32" s="2120"/>
    </row>
    <row r="33" spans="18:18">
      <c r="R33" s="2120"/>
    </row>
    <row r="34" spans="18:18">
      <c r="R34" s="2120"/>
    </row>
    <row r="35" spans="18:18">
      <c r="R35" s="2120"/>
    </row>
    <row r="37" spans="18:18">
      <c r="R37" s="2120"/>
    </row>
    <row r="38" spans="18:18">
      <c r="R38" s="2120"/>
    </row>
    <row r="39" spans="18:18">
      <c r="R39" s="2120"/>
    </row>
  </sheetData>
  <mergeCells count="10">
    <mergeCell ref="D7:D9"/>
    <mergeCell ref="D10:D12"/>
    <mergeCell ref="H17:J17"/>
    <mergeCell ref="H18:J18"/>
    <mergeCell ref="H19:J19"/>
    <mergeCell ref="H20:J20"/>
    <mergeCell ref="H21:J21"/>
    <mergeCell ref="E4:I4"/>
    <mergeCell ref="J4:M5"/>
    <mergeCell ref="E5:I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D65E-2D34-46A7-BF4E-68BC8A412B63}">
  <dimension ref="A1:DB29"/>
  <sheetViews>
    <sheetView topLeftCell="CB3" workbookViewId="0">
      <selection activeCell="CM34" sqref="CM34"/>
    </sheetView>
  </sheetViews>
  <sheetFormatPr defaultColWidth="8.7109375" defaultRowHeight="12.75"/>
  <cols>
    <col min="1" max="1" width="38.42578125" style="1841" customWidth="1"/>
    <col min="2" max="2" width="12.85546875" style="1846" customWidth="1"/>
    <col min="3" max="82" width="7.7109375" style="1841" customWidth="1"/>
    <col min="83" max="16384" width="8.7109375" style="1841"/>
  </cols>
  <sheetData>
    <row r="1" spans="1:106" ht="18">
      <c r="A1" s="2524" t="s">
        <v>50</v>
      </c>
      <c r="B1" s="2525"/>
    </row>
    <row r="2" spans="1:106" ht="15.75">
      <c r="A2" s="1842" t="s">
        <v>1380</v>
      </c>
      <c r="B2" s="1843"/>
    </row>
    <row r="3" spans="1:106" ht="15.75" thickBot="1">
      <c r="A3" s="1844" t="s">
        <v>314</v>
      </c>
      <c r="B3" s="1845"/>
    </row>
    <row r="7" spans="1:106" s="1846" customFormat="1">
      <c r="B7" s="1846" t="s">
        <v>51</v>
      </c>
      <c r="C7" s="1849" t="s">
        <v>52</v>
      </c>
      <c r="D7" s="1849" t="s">
        <v>53</v>
      </c>
      <c r="E7" s="1849" t="s">
        <v>54</v>
      </c>
      <c r="F7" s="1849" t="s">
        <v>55</v>
      </c>
      <c r="G7" s="1849" t="s">
        <v>56</v>
      </c>
      <c r="H7" s="1849" t="s">
        <v>57</v>
      </c>
      <c r="I7" s="1849" t="s">
        <v>58</v>
      </c>
      <c r="J7" s="1849" t="s">
        <v>59</v>
      </c>
      <c r="K7" s="1849" t="s">
        <v>60</v>
      </c>
      <c r="L7" s="1849" t="s">
        <v>61</v>
      </c>
      <c r="M7" s="1849" t="s">
        <v>62</v>
      </c>
      <c r="N7" s="1849" t="s">
        <v>63</v>
      </c>
      <c r="O7" s="1849" t="s">
        <v>64</v>
      </c>
      <c r="P7" s="1849" t="s">
        <v>65</v>
      </c>
      <c r="Q7" s="1849" t="s">
        <v>66</v>
      </c>
      <c r="R7" s="1849" t="s">
        <v>67</v>
      </c>
      <c r="S7" s="1849" t="s">
        <v>68</v>
      </c>
      <c r="T7" s="1849" t="s">
        <v>69</v>
      </c>
      <c r="U7" s="1849" t="s">
        <v>70</v>
      </c>
      <c r="V7" s="1849" t="s">
        <v>71</v>
      </c>
      <c r="W7" s="1849" t="s">
        <v>72</v>
      </c>
      <c r="X7" s="1849" t="s">
        <v>73</v>
      </c>
      <c r="Y7" s="1849" t="s">
        <v>74</v>
      </c>
      <c r="Z7" s="1849" t="s">
        <v>75</v>
      </c>
      <c r="AA7" s="1849" t="s">
        <v>76</v>
      </c>
      <c r="AB7" s="1849" t="s">
        <v>77</v>
      </c>
      <c r="AC7" s="1849" t="s">
        <v>78</v>
      </c>
      <c r="AD7" s="1849" t="s">
        <v>79</v>
      </c>
      <c r="AE7" s="1849" t="s">
        <v>80</v>
      </c>
      <c r="AF7" s="1849" t="s">
        <v>81</v>
      </c>
      <c r="AG7" s="1849" t="s">
        <v>82</v>
      </c>
      <c r="AH7" s="1849" t="s">
        <v>83</v>
      </c>
      <c r="AI7" s="1849" t="s">
        <v>84</v>
      </c>
      <c r="AJ7" s="1849" t="s">
        <v>85</v>
      </c>
      <c r="AK7" s="1849" t="s">
        <v>86</v>
      </c>
      <c r="AL7" s="1849" t="s">
        <v>87</v>
      </c>
      <c r="AM7" s="1849" t="s">
        <v>88</v>
      </c>
      <c r="AN7" s="1849" t="s">
        <v>89</v>
      </c>
      <c r="AO7" s="1849" t="s">
        <v>90</v>
      </c>
      <c r="AP7" s="1849" t="s">
        <v>91</v>
      </c>
      <c r="AQ7" s="1849" t="s">
        <v>92</v>
      </c>
      <c r="AR7" s="1849" t="s">
        <v>93</v>
      </c>
      <c r="AS7" s="1849" t="s">
        <v>94</v>
      </c>
      <c r="AT7" s="1849" t="s">
        <v>95</v>
      </c>
      <c r="AU7" s="1846" t="s">
        <v>96</v>
      </c>
      <c r="AV7" s="1846" t="s">
        <v>97</v>
      </c>
      <c r="AW7" s="1846" t="s">
        <v>98</v>
      </c>
      <c r="AX7" s="1846" t="s">
        <v>99</v>
      </c>
      <c r="AY7" s="1846" t="s">
        <v>100</v>
      </c>
      <c r="AZ7" s="1846" t="s">
        <v>101</v>
      </c>
      <c r="BA7" s="1846" t="s">
        <v>102</v>
      </c>
      <c r="BB7" s="1846" t="s">
        <v>103</v>
      </c>
      <c r="BC7" s="1846" t="s">
        <v>104</v>
      </c>
      <c r="BD7" s="1846" t="s">
        <v>105</v>
      </c>
      <c r="BE7" s="1846" t="s">
        <v>106</v>
      </c>
      <c r="BF7" s="1846" t="s">
        <v>107</v>
      </c>
      <c r="BG7" s="1846" t="s">
        <v>108</v>
      </c>
      <c r="BH7" s="1846" t="s">
        <v>109</v>
      </c>
      <c r="BI7" s="1846" t="s">
        <v>110</v>
      </c>
      <c r="BJ7" s="1846" t="s">
        <v>111</v>
      </c>
      <c r="BK7" s="1846" t="s">
        <v>136</v>
      </c>
      <c r="BL7" s="1846" t="s">
        <v>137</v>
      </c>
      <c r="BM7" s="1846" t="s">
        <v>138</v>
      </c>
      <c r="BN7" s="1846" t="s">
        <v>139</v>
      </c>
      <c r="BO7" s="1846" t="s">
        <v>319</v>
      </c>
      <c r="BP7" s="1846" t="s">
        <v>320</v>
      </c>
      <c r="BQ7" s="1846" t="s">
        <v>321</v>
      </c>
      <c r="BR7" s="1846" t="s">
        <v>322</v>
      </c>
      <c r="BS7" s="1846" t="s">
        <v>323</v>
      </c>
      <c r="BT7" s="1846" t="s">
        <v>324</v>
      </c>
      <c r="BU7" s="1846" t="s">
        <v>325</v>
      </c>
      <c r="BV7" s="1846" t="s">
        <v>326</v>
      </c>
      <c r="BW7" s="1846" t="s">
        <v>798</v>
      </c>
      <c r="BX7" s="1846" t="s">
        <v>799</v>
      </c>
      <c r="BY7" s="1846" t="s">
        <v>800</v>
      </c>
      <c r="BZ7" s="1846" t="s">
        <v>801</v>
      </c>
      <c r="CA7" s="1846" t="s">
        <v>802</v>
      </c>
      <c r="CB7" s="1846" t="s">
        <v>803</v>
      </c>
      <c r="CC7" s="1846" t="s">
        <v>804</v>
      </c>
      <c r="CD7" s="1846" t="s">
        <v>805</v>
      </c>
      <c r="CE7" s="1846" t="s">
        <v>806</v>
      </c>
      <c r="CF7" s="1846" t="s">
        <v>807</v>
      </c>
      <c r="CG7" s="1846" t="s">
        <v>808</v>
      </c>
      <c r="CH7" s="1846" t="s">
        <v>809</v>
      </c>
      <c r="CI7" s="1846" t="s">
        <v>1077</v>
      </c>
      <c r="CJ7" s="1846" t="s">
        <v>1078</v>
      </c>
      <c r="CK7" s="1846" t="s">
        <v>1079</v>
      </c>
      <c r="CL7" s="1846" t="s">
        <v>1080</v>
      </c>
      <c r="CM7" s="1846" t="s">
        <v>1381</v>
      </c>
      <c r="CN7" s="1846" t="s">
        <v>1382</v>
      </c>
      <c r="CO7" s="1846" t="s">
        <v>1383</v>
      </c>
      <c r="CP7" s="1846" t="s">
        <v>1384</v>
      </c>
      <c r="CQ7" s="1846" t="s">
        <v>1385</v>
      </c>
      <c r="CR7" s="1846" t="s">
        <v>1386</v>
      </c>
      <c r="CS7" s="1846" t="s">
        <v>1387</v>
      </c>
      <c r="CT7" s="1846" t="s">
        <v>1388</v>
      </c>
      <c r="CU7" s="1846" t="s">
        <v>1389</v>
      </c>
      <c r="CV7" s="1846" t="s">
        <v>1390</v>
      </c>
      <c r="CW7" s="1846" t="s">
        <v>1391</v>
      </c>
      <c r="CX7" s="1846" t="s">
        <v>1392</v>
      </c>
      <c r="CY7" s="1846" t="s">
        <v>1393</v>
      </c>
      <c r="CZ7" s="1846" t="s">
        <v>1394</v>
      </c>
      <c r="DA7" s="1846" t="s">
        <v>1395</v>
      </c>
      <c r="DB7" s="1846" t="s">
        <v>1396</v>
      </c>
    </row>
    <row r="8" spans="1:106">
      <c r="A8" s="1846" t="s">
        <v>112</v>
      </c>
      <c r="B8" s="1846" t="s">
        <v>113</v>
      </c>
      <c r="C8" s="1850">
        <v>2.00628152344725</v>
      </c>
      <c r="D8" s="1850">
        <v>2.0289884930558402</v>
      </c>
      <c r="E8" s="1850">
        <v>2.0375016562590802</v>
      </c>
      <c r="F8" s="1850">
        <v>2.0607449869168599</v>
      </c>
      <c r="G8" s="1850">
        <v>2.0744332275644801</v>
      </c>
      <c r="H8" s="1850">
        <v>2.08454547450836</v>
      </c>
      <c r="I8" s="1850">
        <v>2.1206746557150402</v>
      </c>
      <c r="J8" s="1850">
        <v>2.14275729334011</v>
      </c>
      <c r="K8" s="1850">
        <v>2.1573758168938499</v>
      </c>
      <c r="L8" s="1850">
        <v>2.1832269913207099</v>
      </c>
      <c r="M8" s="1850">
        <v>2.2041365810243998</v>
      </c>
      <c r="N8" s="1850">
        <v>2.1899931166757001</v>
      </c>
      <c r="O8" s="1850">
        <v>2.2072571273119199</v>
      </c>
      <c r="P8" s="1850">
        <v>2.2278061460830898</v>
      </c>
      <c r="Q8" s="1850">
        <v>2.2459872624776498</v>
      </c>
      <c r="R8" s="1850">
        <v>2.2737796851626002</v>
      </c>
      <c r="S8" s="1850">
        <v>2.2969718599533899</v>
      </c>
      <c r="T8" s="1850">
        <v>2.3348646382960099</v>
      </c>
      <c r="U8" s="1850">
        <v>2.3735648754926002</v>
      </c>
      <c r="V8" s="1850">
        <v>2.3220801273912</v>
      </c>
      <c r="W8" s="1850">
        <v>2.3034285045676701</v>
      </c>
      <c r="X8" s="1850">
        <v>2.3147021401619101</v>
      </c>
      <c r="Y8" s="1850">
        <v>2.3337614610957198</v>
      </c>
      <c r="Z8" s="1850">
        <v>2.3528576086547801</v>
      </c>
      <c r="AA8" s="1850">
        <v>2.35647771513222</v>
      </c>
      <c r="AB8" s="1850">
        <v>2.3596025653367101</v>
      </c>
      <c r="AC8" s="1850">
        <v>2.3673890181389599</v>
      </c>
      <c r="AD8" s="1850">
        <v>2.3902843413905099</v>
      </c>
      <c r="AE8" s="1850">
        <v>2.4075011397303001</v>
      </c>
      <c r="AF8" s="1850">
        <v>2.4441794059222399</v>
      </c>
      <c r="AG8" s="1850">
        <v>2.4606450441339098</v>
      </c>
      <c r="AH8" s="1850">
        <v>2.4683177087339598</v>
      </c>
      <c r="AI8" s="1850">
        <v>2.4799514472049</v>
      </c>
      <c r="AJ8" s="1850">
        <v>2.4866052278032602</v>
      </c>
      <c r="AK8" s="1850">
        <v>2.49805925339983</v>
      </c>
      <c r="AL8" s="1850">
        <v>2.5181882805357798</v>
      </c>
      <c r="AM8" s="1850">
        <v>2.5229787830159101</v>
      </c>
      <c r="AN8" s="1850">
        <v>2.52346335903882</v>
      </c>
      <c r="AO8" s="1850">
        <v>2.5387532942889002</v>
      </c>
      <c r="AP8" s="1850">
        <v>2.5497773093796798</v>
      </c>
      <c r="AQ8" s="1850">
        <v>2.5636066148424002</v>
      </c>
      <c r="AR8" s="1850">
        <v>2.56792955597742</v>
      </c>
      <c r="AS8" s="1850">
        <v>2.57495679166504</v>
      </c>
      <c r="AT8" s="1850">
        <v>2.5708478641900898</v>
      </c>
      <c r="AU8" s="1850">
        <v>2.5617405316734598</v>
      </c>
      <c r="AV8" s="1850">
        <v>2.5735873439772798</v>
      </c>
      <c r="AW8" s="1850">
        <v>2.5767155739846399</v>
      </c>
      <c r="AX8" s="1850">
        <v>2.57726677772387</v>
      </c>
      <c r="AY8" s="1850">
        <v>2.5714104290309301</v>
      </c>
      <c r="AZ8" s="1850">
        <v>2.5919136046640499</v>
      </c>
      <c r="BA8" s="1850">
        <v>2.6072565906426499</v>
      </c>
      <c r="BB8" s="1850">
        <v>2.6258801771662501</v>
      </c>
      <c r="BC8" s="1850">
        <v>2.6432306689598501</v>
      </c>
      <c r="BD8" s="1850">
        <v>2.6454476861951899</v>
      </c>
      <c r="BE8" s="1850">
        <v>2.6517812730067698</v>
      </c>
      <c r="BF8" s="1850">
        <v>2.6733971140650601</v>
      </c>
      <c r="BG8" s="1850">
        <v>2.7001626673320298</v>
      </c>
      <c r="BH8" s="1850">
        <v>2.7186749307887399</v>
      </c>
      <c r="BI8" s="1850">
        <v>2.7312502770766902</v>
      </c>
      <c r="BJ8" s="1850">
        <v>2.7449673362036799</v>
      </c>
      <c r="BK8" s="1850">
        <v>2.74964123298852</v>
      </c>
      <c r="BL8" s="1850">
        <v>2.76892419756365</v>
      </c>
      <c r="BM8" s="1850">
        <v>2.7854306387802099</v>
      </c>
      <c r="BN8" s="1850">
        <v>2.7987928855446702</v>
      </c>
      <c r="BO8" s="1850">
        <v>2.80587239388006</v>
      </c>
      <c r="BP8" s="1850">
        <v>2.7900748919912099</v>
      </c>
      <c r="BQ8" s="1850">
        <v>2.8027670186365801</v>
      </c>
      <c r="BR8" s="1850">
        <v>2.81899770482157</v>
      </c>
      <c r="BS8" s="1850">
        <v>2.8437972933142301</v>
      </c>
      <c r="BT8" s="1850">
        <v>2.8770723994158698</v>
      </c>
      <c r="BU8" s="1850">
        <v>2.9193140754345901</v>
      </c>
      <c r="BV8" s="1850">
        <v>2.9829435493595602</v>
      </c>
      <c r="BW8" s="1850">
        <v>3.03684630224281</v>
      </c>
      <c r="BX8" s="1850">
        <v>3.0939993473318301</v>
      </c>
      <c r="BY8" s="1850">
        <v>3.1315060095292502</v>
      </c>
      <c r="BZ8" s="1850">
        <v>3.1709241734295301</v>
      </c>
      <c r="CA8" s="1850">
        <v>3.1806721825302202</v>
      </c>
      <c r="CB8" s="1850">
        <v>3.1784604162518999</v>
      </c>
      <c r="CC8" s="1850">
        <v>3.2022153247244498</v>
      </c>
      <c r="CD8" s="1850">
        <v>3.2228466011932602</v>
      </c>
      <c r="CE8" s="1850">
        <v>3.23550782587207</v>
      </c>
      <c r="CF8" s="1850">
        <v>3.2578443343391998</v>
      </c>
      <c r="CG8" s="1850">
        <v>3.2785336061586099</v>
      </c>
      <c r="CH8" s="1850">
        <v>3.2945750495459198</v>
      </c>
      <c r="CI8" s="1850">
        <v>3.3197866008054402</v>
      </c>
      <c r="CJ8" s="1850">
        <v>3.3417226906935502</v>
      </c>
      <c r="CK8" s="1850">
        <v>3.36166301106931</v>
      </c>
      <c r="CL8" s="1850">
        <v>3.3822166895578301</v>
      </c>
      <c r="CM8" s="1850">
        <v>3.4010128419302901</v>
      </c>
      <c r="CN8" s="1850">
        <v>3.4201372554861198</v>
      </c>
      <c r="CO8" s="1850">
        <v>3.4400186137155999</v>
      </c>
      <c r="CP8" s="1850">
        <v>3.4615101467212601</v>
      </c>
      <c r="CQ8" s="1850">
        <v>3.4818284987769199</v>
      </c>
      <c r="CR8" s="1850">
        <v>3.5028392058351798</v>
      </c>
      <c r="CS8" s="1850">
        <v>3.5249202930579</v>
      </c>
      <c r="CT8" s="1850">
        <v>3.5460071373514799</v>
      </c>
      <c r="CU8" s="1850">
        <v>3.5669972330235602</v>
      </c>
      <c r="CV8" s="1850">
        <v>3.58692701237405</v>
      </c>
      <c r="CW8" s="1850">
        <v>3.6082038272031101</v>
      </c>
      <c r="CX8" s="1850">
        <v>3.6277494069088498</v>
      </c>
      <c r="CY8" s="1850">
        <v>3.6500031303623102</v>
      </c>
      <c r="CZ8" s="1850">
        <v>3.6695569189604802</v>
      </c>
      <c r="DA8" s="1850">
        <v>3.6905864228250498</v>
      </c>
      <c r="DB8" s="1850">
        <v>3.71149820318655</v>
      </c>
    </row>
    <row r="9" spans="1:106">
      <c r="A9" s="1846" t="s">
        <v>114</v>
      </c>
      <c r="B9" s="1846" t="s">
        <v>115</v>
      </c>
      <c r="C9" s="1850">
        <v>2.00628152344725</v>
      </c>
      <c r="D9" s="1850">
        <v>2.0289884930558402</v>
      </c>
      <c r="E9" s="1850">
        <v>2.0375016562590802</v>
      </c>
      <c r="F9" s="1850">
        <v>2.0607449869168599</v>
      </c>
      <c r="G9" s="1850">
        <v>2.0744332275644801</v>
      </c>
      <c r="H9" s="1850">
        <v>2.08454547450836</v>
      </c>
      <c r="I9" s="1850">
        <v>2.1206746557150402</v>
      </c>
      <c r="J9" s="1850">
        <v>2.14275729334011</v>
      </c>
      <c r="K9" s="1850">
        <v>2.1573758168938499</v>
      </c>
      <c r="L9" s="1850">
        <v>2.1832269913207099</v>
      </c>
      <c r="M9" s="1850">
        <v>2.2041365810243998</v>
      </c>
      <c r="N9" s="1850">
        <v>2.1899931166757001</v>
      </c>
      <c r="O9" s="1850">
        <v>2.2072571273119199</v>
      </c>
      <c r="P9" s="1850">
        <v>2.2278061460830898</v>
      </c>
      <c r="Q9" s="1850">
        <v>2.2459872624776498</v>
      </c>
      <c r="R9" s="1850">
        <v>2.2737796851626002</v>
      </c>
      <c r="S9" s="1850">
        <v>2.2969718599533899</v>
      </c>
      <c r="T9" s="1850">
        <v>2.3348646382960099</v>
      </c>
      <c r="U9" s="1850">
        <v>2.3735648754926002</v>
      </c>
      <c r="V9" s="1850">
        <v>2.3220801273912</v>
      </c>
      <c r="W9" s="1850">
        <v>2.3034285045676701</v>
      </c>
      <c r="X9" s="1850">
        <v>2.3147021401619101</v>
      </c>
      <c r="Y9" s="1850">
        <v>2.3337614610957198</v>
      </c>
      <c r="Z9" s="1850">
        <v>2.3528576086547801</v>
      </c>
      <c r="AA9" s="1850">
        <v>2.35647771513222</v>
      </c>
      <c r="AB9" s="1850">
        <v>2.3596025653367101</v>
      </c>
      <c r="AC9" s="1850">
        <v>2.3673890181389599</v>
      </c>
      <c r="AD9" s="1850">
        <v>2.3902843413905099</v>
      </c>
      <c r="AE9" s="1850">
        <v>2.4075011397303001</v>
      </c>
      <c r="AF9" s="1850">
        <v>2.4441794059222399</v>
      </c>
      <c r="AG9" s="1850">
        <v>2.4606450441339098</v>
      </c>
      <c r="AH9" s="1850">
        <v>2.4683177087339598</v>
      </c>
      <c r="AI9" s="1850">
        <v>2.4799514472049</v>
      </c>
      <c r="AJ9" s="1850">
        <v>2.4866052278032602</v>
      </c>
      <c r="AK9" s="1850">
        <v>2.49805925339983</v>
      </c>
      <c r="AL9" s="1850">
        <v>2.5181882805357798</v>
      </c>
      <c r="AM9" s="1850">
        <v>2.5229787830159101</v>
      </c>
      <c r="AN9" s="1850">
        <v>2.52346335903882</v>
      </c>
      <c r="AO9" s="1850">
        <v>2.5387532942889002</v>
      </c>
      <c r="AP9" s="1850">
        <v>2.5497773093796798</v>
      </c>
      <c r="AQ9" s="1850">
        <v>2.5636066148424002</v>
      </c>
      <c r="AR9" s="1850">
        <v>2.56792955597742</v>
      </c>
      <c r="AS9" s="1850">
        <v>2.57495679166504</v>
      </c>
      <c r="AT9" s="1850">
        <v>2.5708478641900898</v>
      </c>
      <c r="AU9" s="1850">
        <v>2.5617405316734598</v>
      </c>
      <c r="AV9" s="1850">
        <v>2.5735873439772798</v>
      </c>
      <c r="AW9" s="1850">
        <v>2.5767155739846399</v>
      </c>
      <c r="AX9" s="1850">
        <v>2.57726677772387</v>
      </c>
      <c r="AY9" s="1850">
        <v>2.5714104290309301</v>
      </c>
      <c r="AZ9" s="1850">
        <v>2.5919136046640499</v>
      </c>
      <c r="BA9" s="1850">
        <v>2.6072565906426499</v>
      </c>
      <c r="BB9" s="1850">
        <v>2.6258801771662501</v>
      </c>
      <c r="BC9" s="1850">
        <v>2.6432306689598501</v>
      </c>
      <c r="BD9" s="1850">
        <v>2.6454476861951899</v>
      </c>
      <c r="BE9" s="1850">
        <v>2.6517812730067698</v>
      </c>
      <c r="BF9" s="1850">
        <v>2.6733971140650601</v>
      </c>
      <c r="BG9" s="1850">
        <v>2.7001626673320298</v>
      </c>
      <c r="BH9" s="1850">
        <v>2.7186749307887399</v>
      </c>
      <c r="BI9" s="1850">
        <v>2.7312502770766902</v>
      </c>
      <c r="BJ9" s="1850">
        <v>2.7449673362036799</v>
      </c>
      <c r="BK9" s="1850">
        <v>2.74964123298852</v>
      </c>
      <c r="BL9" s="1850">
        <v>2.76892419756365</v>
      </c>
      <c r="BM9" s="1850">
        <v>2.7854306387802099</v>
      </c>
      <c r="BN9" s="1850">
        <v>2.7987928855446702</v>
      </c>
      <c r="BO9" s="1850">
        <v>2.80587239388006</v>
      </c>
      <c r="BP9" s="1850">
        <v>2.7900748919912099</v>
      </c>
      <c r="BQ9" s="1850">
        <v>2.8027670186365801</v>
      </c>
      <c r="BR9" s="1850">
        <v>2.81899770482157</v>
      </c>
      <c r="BS9" s="1850">
        <v>2.8437972933142301</v>
      </c>
      <c r="BT9" s="1850">
        <v>2.8770723994158698</v>
      </c>
      <c r="BU9" s="1850">
        <v>2.9193140754345901</v>
      </c>
      <c r="BV9" s="1850">
        <v>2.9829435493595602</v>
      </c>
      <c r="BW9" s="1850">
        <v>3.03684630224281</v>
      </c>
      <c r="BX9" s="1850">
        <v>3.0939993473318301</v>
      </c>
      <c r="BY9" s="1850">
        <v>3.1315060095292502</v>
      </c>
      <c r="BZ9" s="1850">
        <v>3.1709241734295301</v>
      </c>
      <c r="CA9" s="1850">
        <v>3.1806721825302202</v>
      </c>
      <c r="CB9" s="1850">
        <v>3.1784604162518999</v>
      </c>
      <c r="CC9" s="1850">
        <v>3.1880215703579999</v>
      </c>
      <c r="CD9" s="1850">
        <v>3.2065682971238298</v>
      </c>
      <c r="CE9" s="1850">
        <v>3.2177399457864699</v>
      </c>
      <c r="CF9" s="1850">
        <v>3.2378185634282302</v>
      </c>
      <c r="CG9" s="1850">
        <v>3.25656770063839</v>
      </c>
      <c r="CH9" s="1850">
        <v>3.27110127859771</v>
      </c>
      <c r="CI9" s="1850">
        <v>3.2944309740921498</v>
      </c>
      <c r="CJ9" s="1850">
        <v>3.3143993617605201</v>
      </c>
      <c r="CK9" s="1850">
        <v>3.3322344903885601</v>
      </c>
      <c r="CL9" s="1850">
        <v>3.35046325499723</v>
      </c>
      <c r="CM9" s="1850">
        <v>3.3669734300441201</v>
      </c>
      <c r="CN9" s="1850">
        <v>3.3835781064221901</v>
      </c>
      <c r="CO9" s="1850">
        <v>3.40126999342383</v>
      </c>
      <c r="CP9" s="1850">
        <v>3.4206485932531399</v>
      </c>
      <c r="CQ9" s="1850">
        <v>3.4390532499344801</v>
      </c>
      <c r="CR9" s="1850">
        <v>3.4580366768499</v>
      </c>
      <c r="CS9" s="1850">
        <v>3.47802438177116</v>
      </c>
      <c r="CT9" s="1850">
        <v>3.4970669586175398</v>
      </c>
      <c r="CU9" s="1850">
        <v>3.5161376145324899</v>
      </c>
      <c r="CV9" s="1850">
        <v>3.53415200640889</v>
      </c>
      <c r="CW9" s="1850">
        <v>3.5535194739162299</v>
      </c>
      <c r="CX9" s="1850">
        <v>3.5709835716878802</v>
      </c>
      <c r="CY9" s="1850">
        <v>3.5912976737319</v>
      </c>
      <c r="CZ9" s="1850">
        <v>3.6087192639826902</v>
      </c>
      <c r="DA9" s="1850">
        <v>3.6274135114711501</v>
      </c>
      <c r="DB9" s="1850">
        <v>3.6458171909181298</v>
      </c>
    </row>
    <row r="10" spans="1:106">
      <c r="A10" s="1846" t="s">
        <v>116</v>
      </c>
      <c r="B10" s="1846" t="s">
        <v>117</v>
      </c>
      <c r="C10" s="1850">
        <v>2.00628152344725</v>
      </c>
      <c r="D10" s="1850">
        <v>2.0289884930558402</v>
      </c>
      <c r="E10" s="1850">
        <v>2.0375016562590802</v>
      </c>
      <c r="F10" s="1850">
        <v>2.0607449869168599</v>
      </c>
      <c r="G10" s="1850">
        <v>2.0744332275644801</v>
      </c>
      <c r="H10" s="1850">
        <v>2.08454547450836</v>
      </c>
      <c r="I10" s="1850">
        <v>2.1206746557150402</v>
      </c>
      <c r="J10" s="1850">
        <v>2.14275729334011</v>
      </c>
      <c r="K10" s="1850">
        <v>2.1573758168938499</v>
      </c>
      <c r="L10" s="1850">
        <v>2.1832269913207099</v>
      </c>
      <c r="M10" s="1850">
        <v>2.2041365810243998</v>
      </c>
      <c r="N10" s="1850">
        <v>2.1899931166757001</v>
      </c>
      <c r="O10" s="1850">
        <v>2.2072571273119199</v>
      </c>
      <c r="P10" s="1850">
        <v>2.2278061460830898</v>
      </c>
      <c r="Q10" s="1850">
        <v>2.2459872624776498</v>
      </c>
      <c r="R10" s="1850">
        <v>2.2737796851626002</v>
      </c>
      <c r="S10" s="1850">
        <v>2.2969718599533899</v>
      </c>
      <c r="T10" s="1850">
        <v>2.3348646382960099</v>
      </c>
      <c r="U10" s="1850">
        <v>2.3735648754926002</v>
      </c>
      <c r="V10" s="1850">
        <v>2.3220801273912</v>
      </c>
      <c r="W10" s="1850">
        <v>2.3034285045676701</v>
      </c>
      <c r="X10" s="1850">
        <v>2.3147021401619101</v>
      </c>
      <c r="Y10" s="1850">
        <v>2.3337614610957198</v>
      </c>
      <c r="Z10" s="1850">
        <v>2.3528576086547801</v>
      </c>
      <c r="AA10" s="1850">
        <v>2.35647771513222</v>
      </c>
      <c r="AB10" s="1850">
        <v>2.3596025653367101</v>
      </c>
      <c r="AC10" s="1850">
        <v>2.3673890181389599</v>
      </c>
      <c r="AD10" s="1850">
        <v>2.3902843413905099</v>
      </c>
      <c r="AE10" s="1850">
        <v>2.4075011397303001</v>
      </c>
      <c r="AF10" s="1850">
        <v>2.4441794059222399</v>
      </c>
      <c r="AG10" s="1850">
        <v>2.4606450441339098</v>
      </c>
      <c r="AH10" s="1850">
        <v>2.4683177087339598</v>
      </c>
      <c r="AI10" s="1850">
        <v>2.4799514472049</v>
      </c>
      <c r="AJ10" s="1850">
        <v>2.4866052278032602</v>
      </c>
      <c r="AK10" s="1850">
        <v>2.49805925339983</v>
      </c>
      <c r="AL10" s="1850">
        <v>2.5181882805357798</v>
      </c>
      <c r="AM10" s="1850">
        <v>2.5229787830159101</v>
      </c>
      <c r="AN10" s="1850">
        <v>2.52346335903882</v>
      </c>
      <c r="AO10" s="1850">
        <v>2.5387532942889002</v>
      </c>
      <c r="AP10" s="1850">
        <v>2.5497773093796798</v>
      </c>
      <c r="AQ10" s="1850">
        <v>2.5636066148424002</v>
      </c>
      <c r="AR10" s="1850">
        <v>2.56792955597742</v>
      </c>
      <c r="AS10" s="1850">
        <v>2.57495679166504</v>
      </c>
      <c r="AT10" s="1850">
        <v>2.5708478641900898</v>
      </c>
      <c r="AU10" s="1850">
        <v>2.5617405316734598</v>
      </c>
      <c r="AV10" s="1850">
        <v>2.5735873439772798</v>
      </c>
      <c r="AW10" s="1850">
        <v>2.5767155739846399</v>
      </c>
      <c r="AX10" s="1850">
        <v>2.57726677772387</v>
      </c>
      <c r="AY10" s="1850">
        <v>2.5714104290309301</v>
      </c>
      <c r="AZ10" s="1850">
        <v>2.5919136046640499</v>
      </c>
      <c r="BA10" s="1850">
        <v>2.6072565906426499</v>
      </c>
      <c r="BB10" s="1850">
        <v>2.6258801771662501</v>
      </c>
      <c r="BC10" s="1850">
        <v>2.6432306689598501</v>
      </c>
      <c r="BD10" s="1850">
        <v>2.6454476861951899</v>
      </c>
      <c r="BE10" s="1850">
        <v>2.6517812730067698</v>
      </c>
      <c r="BF10" s="1850">
        <v>2.6733971140650601</v>
      </c>
      <c r="BG10" s="1850">
        <v>2.7001626673320298</v>
      </c>
      <c r="BH10" s="1850">
        <v>2.7186749307887399</v>
      </c>
      <c r="BI10" s="1850">
        <v>2.7312502770766902</v>
      </c>
      <c r="BJ10" s="1850">
        <v>2.7449673362036799</v>
      </c>
      <c r="BK10" s="1850">
        <v>2.74964123298852</v>
      </c>
      <c r="BL10" s="1850">
        <v>2.76892419756365</v>
      </c>
      <c r="BM10" s="1850">
        <v>2.7854306387802099</v>
      </c>
      <c r="BN10" s="1850">
        <v>2.7987928855446702</v>
      </c>
      <c r="BO10" s="1850">
        <v>2.80587239388006</v>
      </c>
      <c r="BP10" s="1850">
        <v>2.7900748919912099</v>
      </c>
      <c r="BQ10" s="1850">
        <v>2.8027670186365801</v>
      </c>
      <c r="BR10" s="1850">
        <v>2.81899770482157</v>
      </c>
      <c r="BS10" s="1850">
        <v>2.8437972933142301</v>
      </c>
      <c r="BT10" s="1850">
        <v>2.8770723994158698</v>
      </c>
      <c r="BU10" s="1850">
        <v>2.9193140754345901</v>
      </c>
      <c r="BV10" s="1850">
        <v>2.9829435493595602</v>
      </c>
      <c r="BW10" s="1850">
        <v>3.03684630224281</v>
      </c>
      <c r="BX10" s="1850">
        <v>3.0939993473318301</v>
      </c>
      <c r="BY10" s="1850">
        <v>3.1315060095292502</v>
      </c>
      <c r="BZ10" s="1850">
        <v>3.1709241734295301</v>
      </c>
      <c r="CA10" s="1850">
        <v>3.1806721825302202</v>
      </c>
      <c r="CB10" s="1850">
        <v>3.1784604162518999</v>
      </c>
      <c r="CC10" s="1850">
        <v>3.2203626719006402</v>
      </c>
      <c r="CD10" s="1850">
        <v>3.2558503521972</v>
      </c>
      <c r="CE10" s="1850">
        <v>3.28250565375741</v>
      </c>
      <c r="CF10" s="1850">
        <v>3.3173856724403099</v>
      </c>
      <c r="CG10" s="1850">
        <v>3.34954361638431</v>
      </c>
      <c r="CH10" s="1850">
        <v>3.37623500854547</v>
      </c>
      <c r="CI10" s="1850">
        <v>3.4123154818409001</v>
      </c>
      <c r="CJ10" s="1850">
        <v>3.4447190783209898</v>
      </c>
      <c r="CK10" s="1850">
        <v>3.4751671862337199</v>
      </c>
      <c r="CL10" s="1850">
        <v>3.5066179028462598</v>
      </c>
      <c r="CM10" s="1850">
        <v>3.5367557450945402</v>
      </c>
      <c r="CN10" s="1850">
        <v>3.5676309358667502</v>
      </c>
      <c r="CO10" s="1850">
        <v>3.5991177638845602</v>
      </c>
      <c r="CP10" s="1850">
        <v>3.6322035396379202</v>
      </c>
      <c r="CQ10" s="1850">
        <v>3.66429204645853</v>
      </c>
      <c r="CR10" s="1850">
        <v>3.69719679352876</v>
      </c>
      <c r="CS10" s="1850">
        <v>3.7313531956252302</v>
      </c>
      <c r="CT10" s="1850">
        <v>3.76484448121604</v>
      </c>
      <c r="CU10" s="1850">
        <v>3.7986224084603002</v>
      </c>
      <c r="CV10" s="1850">
        <v>3.83143978351782</v>
      </c>
      <c r="CW10" s="1850">
        <v>3.86585949366602</v>
      </c>
      <c r="CX10" s="1850">
        <v>3.89872365759244</v>
      </c>
      <c r="CY10" s="1850">
        <v>3.9345009110540201</v>
      </c>
      <c r="CZ10" s="1850">
        <v>3.9674025604052798</v>
      </c>
      <c r="DA10" s="1850">
        <v>4.0019855391003603</v>
      </c>
      <c r="DB10" s="1850">
        <v>4.0366274403892302</v>
      </c>
    </row>
    <row r="12" spans="1:106">
      <c r="C12" s="1851"/>
      <c r="D12" s="1851"/>
      <c r="E12" s="1851"/>
      <c r="F12" s="1851"/>
      <c r="G12" s="1851"/>
      <c r="H12" s="1851"/>
      <c r="I12" s="1851"/>
      <c r="J12" s="1851"/>
      <c r="K12" s="1851"/>
      <c r="L12" s="1851"/>
      <c r="M12" s="1851"/>
      <c r="N12" s="1851"/>
      <c r="O12" s="1851"/>
      <c r="P12" s="1851"/>
      <c r="Q12" s="1851"/>
      <c r="R12" s="1851"/>
      <c r="S12" s="1851"/>
      <c r="T12" s="1851"/>
      <c r="U12" s="1851"/>
      <c r="V12" s="1851"/>
      <c r="W12" s="1851"/>
      <c r="X12" s="1851"/>
      <c r="Y12" s="1851"/>
      <c r="Z12" s="1851"/>
      <c r="AA12" s="1851"/>
      <c r="AB12" s="1851"/>
      <c r="AC12" s="1851"/>
      <c r="AD12" s="1851"/>
      <c r="AE12" s="1851"/>
      <c r="AF12" s="1851"/>
      <c r="AG12" s="1851"/>
      <c r="AH12" s="1851"/>
      <c r="AI12" s="1851"/>
      <c r="AJ12" s="1851"/>
      <c r="AK12" s="1851"/>
      <c r="AL12" s="1851"/>
      <c r="AM12" s="1851"/>
      <c r="AN12" s="1851"/>
      <c r="AO12" s="1851"/>
      <c r="AP12" s="1851"/>
      <c r="AQ12" s="1851"/>
      <c r="AR12" s="1851"/>
      <c r="AS12" s="1851"/>
      <c r="AT12" s="1851"/>
    </row>
    <row r="13" spans="1:106">
      <c r="C13" s="1851"/>
      <c r="D13" s="1851"/>
      <c r="E13" s="1851"/>
      <c r="F13" s="1851"/>
      <c r="G13" s="1851"/>
      <c r="H13" s="1851"/>
      <c r="I13" s="1851"/>
      <c r="J13" s="1851"/>
      <c r="K13" s="1851"/>
      <c r="L13" s="1851"/>
      <c r="M13" s="1851"/>
      <c r="N13" s="1851"/>
      <c r="O13" s="1851"/>
      <c r="P13" s="1851"/>
      <c r="Q13" s="1851"/>
      <c r="R13" s="1851"/>
      <c r="S13" s="1851"/>
      <c r="T13" s="1851"/>
      <c r="U13" s="1851"/>
      <c r="V13" s="1851"/>
      <c r="W13" s="1851"/>
      <c r="X13" s="1851"/>
      <c r="Y13" s="1851"/>
      <c r="Z13" s="1851"/>
      <c r="AA13" s="1851"/>
      <c r="AB13" s="1851"/>
      <c r="AC13" s="1851"/>
      <c r="AD13" s="1851"/>
      <c r="AE13" s="1851"/>
      <c r="AF13" s="1851"/>
      <c r="AG13" s="1851"/>
      <c r="AH13" s="1851"/>
      <c r="AI13" s="1851"/>
      <c r="AJ13" s="1851"/>
      <c r="AK13" s="1851"/>
      <c r="AL13" s="1851"/>
      <c r="AM13" s="1851"/>
      <c r="AN13" s="1851"/>
      <c r="AO13" s="1851"/>
      <c r="AP13" s="1851"/>
      <c r="AQ13" s="1851"/>
      <c r="AR13" s="1851"/>
      <c r="AS13" s="1851"/>
      <c r="AT13" s="1851"/>
    </row>
    <row r="14" spans="1:106">
      <c r="C14" s="1850"/>
      <c r="D14" s="1850"/>
      <c r="E14" s="1850"/>
      <c r="F14" s="1850"/>
      <c r="G14" s="1850"/>
      <c r="H14" s="1850"/>
      <c r="I14" s="1850"/>
      <c r="J14" s="1850"/>
      <c r="K14" s="1850"/>
      <c r="L14" s="1850"/>
      <c r="M14" s="1850"/>
      <c r="N14" s="1850"/>
      <c r="O14" s="1850"/>
      <c r="P14" s="1850"/>
      <c r="Q14" s="1850"/>
      <c r="R14" s="1850"/>
      <c r="S14" s="1850"/>
      <c r="T14" s="1850"/>
      <c r="U14" s="1850"/>
      <c r="V14" s="1850"/>
      <c r="W14" s="1850"/>
      <c r="X14" s="1850"/>
      <c r="Y14" s="1850"/>
      <c r="Z14" s="1850"/>
      <c r="AA14" s="1850"/>
      <c r="AB14" s="1850"/>
      <c r="AC14" s="1850"/>
      <c r="AD14" s="1850"/>
      <c r="AE14" s="1850"/>
      <c r="AF14" s="1850"/>
      <c r="AG14" s="1850"/>
      <c r="AH14" s="1850"/>
      <c r="AI14" s="1850"/>
      <c r="AJ14" s="1850"/>
      <c r="AK14" s="1850"/>
      <c r="AL14" s="1850"/>
      <c r="AM14" s="1850"/>
      <c r="AN14" s="1850"/>
      <c r="AO14" s="1850"/>
      <c r="AP14" s="1850"/>
      <c r="AQ14" s="1850"/>
      <c r="AR14" s="1850"/>
      <c r="AS14" s="1850"/>
      <c r="AT14" s="1850"/>
    </row>
    <row r="15" spans="1:106">
      <c r="C15" s="1850"/>
      <c r="D15" s="1850"/>
      <c r="E15" s="1850"/>
      <c r="F15" s="1850"/>
      <c r="G15" s="1850"/>
      <c r="H15" s="1850"/>
      <c r="I15" s="1850"/>
      <c r="J15" s="1850"/>
      <c r="K15" s="1850"/>
      <c r="L15" s="1850"/>
      <c r="M15" s="1850"/>
      <c r="N15" s="1850"/>
      <c r="O15" s="1850"/>
      <c r="P15" s="1850"/>
      <c r="Q15" s="1850"/>
      <c r="R15" s="1850"/>
      <c r="S15" s="1850"/>
      <c r="T15" s="1850"/>
      <c r="U15" s="1850"/>
      <c r="V15" s="1850"/>
      <c r="W15" s="1850"/>
      <c r="X15" s="1850"/>
      <c r="Y15" s="1850"/>
      <c r="Z15" s="1850"/>
      <c r="AA15" s="1850"/>
      <c r="AB15" s="1850"/>
      <c r="AC15" s="1850"/>
      <c r="AD15" s="1850"/>
      <c r="AE15" s="1850"/>
      <c r="AF15" s="1850"/>
      <c r="AG15" s="1850"/>
      <c r="AH15" s="1850"/>
      <c r="AI15" s="1850"/>
      <c r="AJ15" s="1850"/>
      <c r="AK15" s="1850"/>
      <c r="AL15" s="1850"/>
      <c r="AM15" s="1850"/>
      <c r="AN15" s="1850"/>
      <c r="AO15" s="1850"/>
      <c r="AP15" s="1850"/>
      <c r="AQ15" s="1850"/>
      <c r="AR15" s="1850"/>
      <c r="AS15" s="1850"/>
      <c r="AT15" s="1850"/>
    </row>
    <row r="16" spans="1:106">
      <c r="C16" s="1850"/>
      <c r="D16" s="1850"/>
      <c r="E16" s="1850"/>
      <c r="F16" s="1850"/>
      <c r="G16" s="1850"/>
      <c r="H16" s="1850"/>
      <c r="I16" s="1850"/>
      <c r="J16" s="1850"/>
      <c r="K16" s="1850"/>
      <c r="L16" s="1850"/>
      <c r="M16" s="1850"/>
      <c r="N16" s="1850"/>
      <c r="O16" s="1850"/>
      <c r="P16" s="1850"/>
      <c r="Q16" s="1850"/>
      <c r="R16" s="1850"/>
      <c r="S16" s="1850"/>
      <c r="T16" s="1850"/>
      <c r="U16" s="1850"/>
      <c r="V16" s="1850"/>
      <c r="W16" s="1850"/>
      <c r="X16" s="1850"/>
      <c r="Y16" s="1850"/>
      <c r="Z16" s="1850"/>
      <c r="AA16" s="1850"/>
      <c r="AB16" s="1850"/>
      <c r="AC16" s="1850"/>
      <c r="AD16" s="1850"/>
      <c r="AE16" s="1850"/>
      <c r="AF16" s="1850"/>
      <c r="AG16" s="1850"/>
      <c r="AH16" s="1850"/>
      <c r="AI16" s="1850"/>
      <c r="AJ16" s="1850"/>
      <c r="AK16" s="1850"/>
      <c r="AL16" s="1850"/>
      <c r="AM16" s="1850"/>
      <c r="AN16" s="1850"/>
      <c r="AO16" s="1850"/>
      <c r="AP16" s="1850"/>
      <c r="AQ16" s="1850"/>
      <c r="AR16" s="1850"/>
      <c r="AS16" s="1850"/>
      <c r="AT16" s="1850"/>
    </row>
    <row r="17" spans="3:96">
      <c r="C17" s="1852"/>
      <c r="D17" s="1852"/>
      <c r="E17" s="1852"/>
      <c r="F17" s="1852"/>
      <c r="G17" s="1852"/>
      <c r="H17" s="1852"/>
      <c r="I17" s="1852"/>
      <c r="J17" s="1852"/>
      <c r="K17" s="1852"/>
      <c r="L17" s="1852"/>
      <c r="M17" s="1852"/>
      <c r="N17" s="1852"/>
      <c r="O17" s="1852"/>
      <c r="P17" s="1852"/>
      <c r="Q17" s="1852"/>
      <c r="R17" s="1852"/>
      <c r="S17" s="1852"/>
      <c r="T17" s="1852"/>
      <c r="U17" s="1852"/>
      <c r="V17" s="1852"/>
      <c r="W17" s="1852"/>
      <c r="X17" s="1852"/>
      <c r="Y17" s="1852"/>
      <c r="Z17" s="1852"/>
      <c r="AA17" s="1852"/>
      <c r="AB17" s="1852"/>
      <c r="AC17" s="1852"/>
      <c r="AD17" s="1852"/>
      <c r="AE17" s="1852"/>
      <c r="AF17" s="1852"/>
      <c r="AG17" s="1852"/>
      <c r="AH17" s="1852"/>
      <c r="AI17" s="1852"/>
      <c r="AJ17" s="1852"/>
      <c r="AK17" s="1852"/>
      <c r="AL17" s="1852"/>
      <c r="AM17" s="1852"/>
      <c r="AN17" s="1852"/>
      <c r="AO17" s="1852"/>
      <c r="AP17" s="1852"/>
    </row>
    <row r="18" spans="3:96">
      <c r="CG18" s="2210" t="s">
        <v>460</v>
      </c>
      <c r="CH18" s="2211"/>
      <c r="CI18" s="2211"/>
      <c r="CJ18" s="2212" t="s">
        <v>1397</v>
      </c>
      <c r="CK18" s="2213"/>
      <c r="CL18" s="2213"/>
      <c r="CM18" s="2213"/>
      <c r="CN18" s="2213"/>
      <c r="CO18" s="2213"/>
      <c r="CP18" s="2211"/>
      <c r="CQ18" s="2211"/>
      <c r="CR18" s="2211"/>
    </row>
    <row r="19" spans="3:96">
      <c r="CG19" s="2214"/>
      <c r="CH19" s="2215"/>
      <c r="CI19" s="2215"/>
      <c r="CJ19" s="2215"/>
      <c r="CK19" s="2215"/>
      <c r="CL19" s="2215"/>
      <c r="CM19" s="2215"/>
      <c r="CN19" s="2215"/>
      <c r="CO19" s="2215"/>
      <c r="CP19" s="2215"/>
      <c r="CQ19" s="2215"/>
      <c r="CR19" s="2216"/>
    </row>
    <row r="20" spans="3:96">
      <c r="CG20" s="2217"/>
      <c r="CH20" s="2218" t="s">
        <v>462</v>
      </c>
      <c r="CI20" s="2219" t="s">
        <v>1398</v>
      </c>
      <c r="CJ20" s="2211"/>
      <c r="CK20" s="2211"/>
      <c r="CL20" s="2211"/>
      <c r="CM20" s="2211"/>
      <c r="CN20" s="2211"/>
      <c r="CO20" s="2211"/>
      <c r="CP20" s="2211"/>
      <c r="CQ20" s="2211"/>
      <c r="CR20" s="2220"/>
    </row>
    <row r="21" spans="3:96">
      <c r="CG21" s="2217"/>
      <c r="CH21" s="2211"/>
      <c r="CI21" s="2221" t="s">
        <v>807</v>
      </c>
      <c r="CJ21" s="2211"/>
      <c r="CK21" s="2211"/>
      <c r="CL21" s="2211"/>
      <c r="CM21" s="2211"/>
      <c r="CN21" s="2211"/>
      <c r="CO21" s="2211"/>
      <c r="CP21" s="2211"/>
      <c r="CQ21" s="2211"/>
      <c r="CR21" s="2222" t="s">
        <v>385</v>
      </c>
    </row>
    <row r="22" spans="3:96">
      <c r="CG22" s="2217"/>
      <c r="CH22" s="2211"/>
      <c r="CI22" s="2223">
        <f>CF9</f>
        <v>3.2378185634282302</v>
      </c>
      <c r="CJ22" s="2211"/>
      <c r="CK22" s="2211"/>
      <c r="CL22" s="2211"/>
      <c r="CM22" s="2211"/>
      <c r="CN22" s="2211"/>
      <c r="CO22" s="2211"/>
      <c r="CP22" s="2211"/>
      <c r="CQ22" s="2211"/>
      <c r="CR22" s="2224">
        <f>CI22</f>
        <v>3.2378185634282302</v>
      </c>
    </row>
    <row r="23" spans="3:96">
      <c r="CG23" s="2217"/>
      <c r="CH23" s="2211"/>
      <c r="CI23" s="2211"/>
      <c r="CJ23" s="2211"/>
      <c r="CK23" s="2211"/>
      <c r="CL23" s="2211"/>
      <c r="CM23" s="2211"/>
      <c r="CN23" s="2211"/>
      <c r="CO23" s="2211"/>
      <c r="CP23" s="2211"/>
      <c r="CQ23" s="2211"/>
      <c r="CR23" s="2225"/>
    </row>
    <row r="24" spans="3:96">
      <c r="CG24" s="2526" t="s">
        <v>464</v>
      </c>
      <c r="CH24" s="2527"/>
      <c r="CI24" s="2527"/>
      <c r="CJ24" s="2211" t="s">
        <v>1399</v>
      </c>
      <c r="CK24" s="2211"/>
      <c r="CL24" s="2211"/>
      <c r="CM24" s="2211"/>
      <c r="CN24" s="2211"/>
      <c r="CO24" s="2211"/>
      <c r="CP24" s="2211"/>
      <c r="CQ24" s="2211"/>
      <c r="CR24" s="2225"/>
    </row>
    <row r="25" spans="3:96">
      <c r="CG25" s="2226"/>
      <c r="CH25" s="2218"/>
      <c r="CI25" s="1696" t="str">
        <f>CG7</f>
        <v>2024Q3</v>
      </c>
      <c r="CJ25" s="1696" t="str">
        <f t="shared" ref="CJ25:CP25" si="0">CH7</f>
        <v>2024Q4</v>
      </c>
      <c r="CK25" s="1696" t="str">
        <f t="shared" si="0"/>
        <v>2025Q1</v>
      </c>
      <c r="CL25" s="1696" t="str">
        <f t="shared" si="0"/>
        <v>2025Q2</v>
      </c>
      <c r="CM25" s="1696" t="str">
        <f t="shared" si="0"/>
        <v>2025Q3</v>
      </c>
      <c r="CN25" s="1696" t="str">
        <f t="shared" si="0"/>
        <v>2025Q4</v>
      </c>
      <c r="CO25" s="1696" t="str">
        <f t="shared" si="0"/>
        <v>2026Q1</v>
      </c>
      <c r="CP25" s="1696" t="str">
        <f t="shared" si="0"/>
        <v>2026Q2</v>
      </c>
      <c r="CQ25" s="1696"/>
      <c r="CR25" s="2225"/>
    </row>
    <row r="26" spans="3:96">
      <c r="CG26" s="2217"/>
      <c r="CH26" s="2211"/>
      <c r="CI26" s="1770">
        <f>CG9</f>
        <v>3.25656770063839</v>
      </c>
      <c r="CJ26" s="1770">
        <f t="shared" ref="CJ26:CP26" si="1">CH9</f>
        <v>3.27110127859771</v>
      </c>
      <c r="CK26" s="1770">
        <f t="shared" si="1"/>
        <v>3.2944309740921498</v>
      </c>
      <c r="CL26" s="1770">
        <f t="shared" si="1"/>
        <v>3.3143993617605201</v>
      </c>
      <c r="CM26" s="1770">
        <f t="shared" si="1"/>
        <v>3.3322344903885601</v>
      </c>
      <c r="CN26" s="1770">
        <f t="shared" si="1"/>
        <v>3.35046325499723</v>
      </c>
      <c r="CO26" s="1770">
        <f t="shared" si="1"/>
        <v>3.3669734300441201</v>
      </c>
      <c r="CP26" s="1770">
        <f t="shared" si="1"/>
        <v>3.3835781064221901</v>
      </c>
      <c r="CQ26" s="2211"/>
      <c r="CR26" s="2224">
        <f>AVERAGE(CI26:CP26)</f>
        <v>3.3212185746176086</v>
      </c>
    </row>
    <row r="27" spans="3:96">
      <c r="CG27" s="2217"/>
      <c r="CH27" s="2211"/>
      <c r="CI27" s="2211"/>
      <c r="CJ27" s="2211"/>
      <c r="CK27" s="2211"/>
      <c r="CL27" s="2211"/>
      <c r="CM27" s="2211"/>
      <c r="CN27" s="2211"/>
      <c r="CO27" s="2211"/>
      <c r="CP27" s="2211"/>
      <c r="CQ27" s="2211"/>
      <c r="CR27" s="2225"/>
    </row>
    <row r="28" spans="3:96">
      <c r="CG28" s="2217"/>
      <c r="CH28" s="2211"/>
      <c r="CI28" s="2211"/>
      <c r="CJ28" s="2211"/>
      <c r="CK28" s="2211"/>
      <c r="CL28" s="2211"/>
      <c r="CM28" s="2211"/>
      <c r="CN28" s="2211"/>
      <c r="CO28" s="2211"/>
      <c r="CP28" s="2211"/>
      <c r="CQ28" s="2227" t="s">
        <v>26</v>
      </c>
      <c r="CR28" s="1775">
        <f>(CR26-CR22)/CR22</f>
        <v>2.5758086673353865E-2</v>
      </c>
    </row>
    <row r="29" spans="3:96">
      <c r="CG29" s="2228"/>
      <c r="CH29" s="2229"/>
      <c r="CI29" s="2229"/>
      <c r="CJ29" s="2229"/>
      <c r="CK29" s="2229"/>
      <c r="CL29" s="2229"/>
      <c r="CM29" s="2229"/>
      <c r="CN29" s="2229"/>
      <c r="CO29" s="2229"/>
      <c r="CP29" s="2229"/>
      <c r="CQ29" s="2229"/>
      <c r="CR29" s="2230"/>
    </row>
  </sheetData>
  <mergeCells count="2">
    <mergeCell ref="A1:B1"/>
    <mergeCell ref="CG24:CI24"/>
  </mergeCells>
  <pageMargins left="0.25" right="0.25" top="1" bottom="1"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F643-C89C-4FAF-B77B-63BD492B7314}">
  <sheetPr>
    <tabColor theme="4" tint="0.39997558519241921"/>
    <pageSetUpPr fitToPage="1"/>
  </sheetPr>
  <dimension ref="B1:F57"/>
  <sheetViews>
    <sheetView showGridLines="0" topLeftCell="A6" zoomScale="60" zoomScaleNormal="60" workbookViewId="0">
      <selection activeCell="O9" sqref="O9"/>
    </sheetView>
  </sheetViews>
  <sheetFormatPr defaultRowHeight="26.25"/>
  <cols>
    <col min="1" max="1" width="5.28515625" style="2176" customWidth="1"/>
    <col min="2" max="2" width="75.140625" style="2176" customWidth="1"/>
    <col min="3" max="3" width="24.5703125" style="2176" customWidth="1"/>
    <col min="4" max="4" width="68.28515625" style="2176" customWidth="1"/>
    <col min="5" max="5" width="66" style="2178" customWidth="1"/>
    <col min="6" max="6" width="44" style="2178" customWidth="1"/>
    <col min="7" max="230" width="8.7109375" style="2176"/>
    <col min="231" max="231" width="5.28515625" style="2176" customWidth="1"/>
    <col min="232" max="232" width="55.42578125" style="2176" customWidth="1"/>
    <col min="233" max="233" width="23" style="2176" customWidth="1"/>
    <col min="234" max="235" width="0" style="2176" hidden="1" customWidth="1"/>
    <col min="236" max="236" width="58.5703125" style="2176" customWidth="1"/>
    <col min="237" max="237" width="59.28515625" style="2176" customWidth="1"/>
    <col min="238" max="241" width="0" style="2176" hidden="1" customWidth="1"/>
    <col min="242" max="486" width="8.7109375" style="2176"/>
    <col min="487" max="487" width="5.28515625" style="2176" customWidth="1"/>
    <col min="488" max="488" width="55.42578125" style="2176" customWidth="1"/>
    <col min="489" max="489" width="23" style="2176" customWidth="1"/>
    <col min="490" max="491" width="0" style="2176" hidden="1" customWidth="1"/>
    <col min="492" max="492" width="58.5703125" style="2176" customWidth="1"/>
    <col min="493" max="493" width="59.28515625" style="2176" customWidth="1"/>
    <col min="494" max="497" width="0" style="2176" hidden="1" customWidth="1"/>
    <col min="498" max="742" width="8.7109375" style="2176"/>
    <col min="743" max="743" width="5.28515625" style="2176" customWidth="1"/>
    <col min="744" max="744" width="55.42578125" style="2176" customWidth="1"/>
    <col min="745" max="745" width="23" style="2176" customWidth="1"/>
    <col min="746" max="747" width="0" style="2176" hidden="1" customWidth="1"/>
    <col min="748" max="748" width="58.5703125" style="2176" customWidth="1"/>
    <col min="749" max="749" width="59.28515625" style="2176" customWidth="1"/>
    <col min="750" max="753" width="0" style="2176" hidden="1" customWidth="1"/>
    <col min="754" max="998" width="8.7109375" style="2176"/>
    <col min="999" max="999" width="5.28515625" style="2176" customWidth="1"/>
    <col min="1000" max="1000" width="55.42578125" style="2176" customWidth="1"/>
    <col min="1001" max="1001" width="23" style="2176" customWidth="1"/>
    <col min="1002" max="1003" width="0" style="2176" hidden="1" customWidth="1"/>
    <col min="1004" max="1004" width="58.5703125" style="2176" customWidth="1"/>
    <col min="1005" max="1005" width="59.28515625" style="2176" customWidth="1"/>
    <col min="1006" max="1009" width="0" style="2176" hidden="1" customWidth="1"/>
    <col min="1010" max="1254" width="8.7109375" style="2176"/>
    <col min="1255" max="1255" width="5.28515625" style="2176" customWidth="1"/>
    <col min="1256" max="1256" width="55.42578125" style="2176" customWidth="1"/>
    <col min="1257" max="1257" width="23" style="2176" customWidth="1"/>
    <col min="1258" max="1259" width="0" style="2176" hidden="1" customWidth="1"/>
    <col min="1260" max="1260" width="58.5703125" style="2176" customWidth="1"/>
    <col min="1261" max="1261" width="59.28515625" style="2176" customWidth="1"/>
    <col min="1262" max="1265" width="0" style="2176" hidden="1" customWidth="1"/>
    <col min="1266" max="1510" width="8.7109375" style="2176"/>
    <col min="1511" max="1511" width="5.28515625" style="2176" customWidth="1"/>
    <col min="1512" max="1512" width="55.42578125" style="2176" customWidth="1"/>
    <col min="1513" max="1513" width="23" style="2176" customWidth="1"/>
    <col min="1514" max="1515" width="0" style="2176" hidden="1" customWidth="1"/>
    <col min="1516" max="1516" width="58.5703125" style="2176" customWidth="1"/>
    <col min="1517" max="1517" width="59.28515625" style="2176" customWidth="1"/>
    <col min="1518" max="1521" width="0" style="2176" hidden="1" customWidth="1"/>
    <col min="1522" max="1766" width="8.7109375" style="2176"/>
    <col min="1767" max="1767" width="5.28515625" style="2176" customWidth="1"/>
    <col min="1768" max="1768" width="55.42578125" style="2176" customWidth="1"/>
    <col min="1769" max="1769" width="23" style="2176" customWidth="1"/>
    <col min="1770" max="1771" width="0" style="2176" hidden="1" customWidth="1"/>
    <col min="1772" max="1772" width="58.5703125" style="2176" customWidth="1"/>
    <col min="1773" max="1773" width="59.28515625" style="2176" customWidth="1"/>
    <col min="1774" max="1777" width="0" style="2176" hidden="1" customWidth="1"/>
    <col min="1778" max="2022" width="8.7109375" style="2176"/>
    <col min="2023" max="2023" width="5.28515625" style="2176" customWidth="1"/>
    <col min="2024" max="2024" width="55.42578125" style="2176" customWidth="1"/>
    <col min="2025" max="2025" width="23" style="2176" customWidth="1"/>
    <col min="2026" max="2027" width="0" style="2176" hidden="1" customWidth="1"/>
    <col min="2028" max="2028" width="58.5703125" style="2176" customWidth="1"/>
    <col min="2029" max="2029" width="59.28515625" style="2176" customWidth="1"/>
    <col min="2030" max="2033" width="0" style="2176" hidden="1" customWidth="1"/>
    <col min="2034" max="2278" width="8.7109375" style="2176"/>
    <col min="2279" max="2279" width="5.28515625" style="2176" customWidth="1"/>
    <col min="2280" max="2280" width="55.42578125" style="2176" customWidth="1"/>
    <col min="2281" max="2281" width="23" style="2176" customWidth="1"/>
    <col min="2282" max="2283" width="0" style="2176" hidden="1" customWidth="1"/>
    <col min="2284" max="2284" width="58.5703125" style="2176" customWidth="1"/>
    <col min="2285" max="2285" width="59.28515625" style="2176" customWidth="1"/>
    <col min="2286" max="2289" width="0" style="2176" hidden="1" customWidth="1"/>
    <col min="2290" max="2534" width="8.7109375" style="2176"/>
    <col min="2535" max="2535" width="5.28515625" style="2176" customWidth="1"/>
    <col min="2536" max="2536" width="55.42578125" style="2176" customWidth="1"/>
    <col min="2537" max="2537" width="23" style="2176" customWidth="1"/>
    <col min="2538" max="2539" width="0" style="2176" hidden="1" customWidth="1"/>
    <col min="2540" max="2540" width="58.5703125" style="2176" customWidth="1"/>
    <col min="2541" max="2541" width="59.28515625" style="2176" customWidth="1"/>
    <col min="2542" max="2545" width="0" style="2176" hidden="1" customWidth="1"/>
    <col min="2546" max="2790" width="8.7109375" style="2176"/>
    <col min="2791" max="2791" width="5.28515625" style="2176" customWidth="1"/>
    <col min="2792" max="2792" width="55.42578125" style="2176" customWidth="1"/>
    <col min="2793" max="2793" width="23" style="2176" customWidth="1"/>
    <col min="2794" max="2795" width="0" style="2176" hidden="1" customWidth="1"/>
    <col min="2796" max="2796" width="58.5703125" style="2176" customWidth="1"/>
    <col min="2797" max="2797" width="59.28515625" style="2176" customWidth="1"/>
    <col min="2798" max="2801" width="0" style="2176" hidden="1" customWidth="1"/>
    <col min="2802" max="3046" width="8.7109375" style="2176"/>
    <col min="3047" max="3047" width="5.28515625" style="2176" customWidth="1"/>
    <col min="3048" max="3048" width="55.42578125" style="2176" customWidth="1"/>
    <col min="3049" max="3049" width="23" style="2176" customWidth="1"/>
    <col min="3050" max="3051" width="0" style="2176" hidden="1" customWidth="1"/>
    <col min="3052" max="3052" width="58.5703125" style="2176" customWidth="1"/>
    <col min="3053" max="3053" width="59.28515625" style="2176" customWidth="1"/>
    <col min="3054" max="3057" width="0" style="2176" hidden="1" customWidth="1"/>
    <col min="3058" max="3302" width="8.7109375" style="2176"/>
    <col min="3303" max="3303" width="5.28515625" style="2176" customWidth="1"/>
    <col min="3304" max="3304" width="55.42578125" style="2176" customWidth="1"/>
    <col min="3305" max="3305" width="23" style="2176" customWidth="1"/>
    <col min="3306" max="3307" width="0" style="2176" hidden="1" customWidth="1"/>
    <col min="3308" max="3308" width="58.5703125" style="2176" customWidth="1"/>
    <col min="3309" max="3309" width="59.28515625" style="2176" customWidth="1"/>
    <col min="3310" max="3313" width="0" style="2176" hidden="1" customWidth="1"/>
    <col min="3314" max="3558" width="8.7109375" style="2176"/>
    <col min="3559" max="3559" width="5.28515625" style="2176" customWidth="1"/>
    <col min="3560" max="3560" width="55.42578125" style="2176" customWidth="1"/>
    <col min="3561" max="3561" width="23" style="2176" customWidth="1"/>
    <col min="3562" max="3563" width="0" style="2176" hidden="1" customWidth="1"/>
    <col min="3564" max="3564" width="58.5703125" style="2176" customWidth="1"/>
    <col min="3565" max="3565" width="59.28515625" style="2176" customWidth="1"/>
    <col min="3566" max="3569" width="0" style="2176" hidden="1" customWidth="1"/>
    <col min="3570" max="3814" width="8.7109375" style="2176"/>
    <col min="3815" max="3815" width="5.28515625" style="2176" customWidth="1"/>
    <col min="3816" max="3816" width="55.42578125" style="2176" customWidth="1"/>
    <col min="3817" max="3817" width="23" style="2176" customWidth="1"/>
    <col min="3818" max="3819" width="0" style="2176" hidden="1" customWidth="1"/>
    <col min="3820" max="3820" width="58.5703125" style="2176" customWidth="1"/>
    <col min="3821" max="3821" width="59.28515625" style="2176" customWidth="1"/>
    <col min="3822" max="3825" width="0" style="2176" hidden="1" customWidth="1"/>
    <col min="3826" max="4070" width="8.7109375" style="2176"/>
    <col min="4071" max="4071" width="5.28515625" style="2176" customWidth="1"/>
    <col min="4072" max="4072" width="55.42578125" style="2176" customWidth="1"/>
    <col min="4073" max="4073" width="23" style="2176" customWidth="1"/>
    <col min="4074" max="4075" width="0" style="2176" hidden="1" customWidth="1"/>
    <col min="4076" max="4076" width="58.5703125" style="2176" customWidth="1"/>
    <col min="4077" max="4077" width="59.28515625" style="2176" customWidth="1"/>
    <col min="4078" max="4081" width="0" style="2176" hidden="1" customWidth="1"/>
    <col min="4082" max="4326" width="8.7109375" style="2176"/>
    <col min="4327" max="4327" width="5.28515625" style="2176" customWidth="1"/>
    <col min="4328" max="4328" width="55.42578125" style="2176" customWidth="1"/>
    <col min="4329" max="4329" width="23" style="2176" customWidth="1"/>
    <col min="4330" max="4331" width="0" style="2176" hidden="1" customWidth="1"/>
    <col min="4332" max="4332" width="58.5703125" style="2176" customWidth="1"/>
    <col min="4333" max="4333" width="59.28515625" style="2176" customWidth="1"/>
    <col min="4334" max="4337" width="0" style="2176" hidden="1" customWidth="1"/>
    <col min="4338" max="4582" width="8.7109375" style="2176"/>
    <col min="4583" max="4583" width="5.28515625" style="2176" customWidth="1"/>
    <col min="4584" max="4584" width="55.42578125" style="2176" customWidth="1"/>
    <col min="4585" max="4585" width="23" style="2176" customWidth="1"/>
    <col min="4586" max="4587" width="0" style="2176" hidden="1" customWidth="1"/>
    <col min="4588" max="4588" width="58.5703125" style="2176" customWidth="1"/>
    <col min="4589" max="4589" width="59.28515625" style="2176" customWidth="1"/>
    <col min="4590" max="4593" width="0" style="2176" hidden="1" customWidth="1"/>
    <col min="4594" max="4838" width="8.7109375" style="2176"/>
    <col min="4839" max="4839" width="5.28515625" style="2176" customWidth="1"/>
    <col min="4840" max="4840" width="55.42578125" style="2176" customWidth="1"/>
    <col min="4841" max="4841" width="23" style="2176" customWidth="1"/>
    <col min="4842" max="4843" width="0" style="2176" hidden="1" customWidth="1"/>
    <col min="4844" max="4844" width="58.5703125" style="2176" customWidth="1"/>
    <col min="4845" max="4845" width="59.28515625" style="2176" customWidth="1"/>
    <col min="4846" max="4849" width="0" style="2176" hidden="1" customWidth="1"/>
    <col min="4850" max="5094" width="8.7109375" style="2176"/>
    <col min="5095" max="5095" width="5.28515625" style="2176" customWidth="1"/>
    <col min="5096" max="5096" width="55.42578125" style="2176" customWidth="1"/>
    <col min="5097" max="5097" width="23" style="2176" customWidth="1"/>
    <col min="5098" max="5099" width="0" style="2176" hidden="1" customWidth="1"/>
    <col min="5100" max="5100" width="58.5703125" style="2176" customWidth="1"/>
    <col min="5101" max="5101" width="59.28515625" style="2176" customWidth="1"/>
    <col min="5102" max="5105" width="0" style="2176" hidden="1" customWidth="1"/>
    <col min="5106" max="5350" width="8.7109375" style="2176"/>
    <col min="5351" max="5351" width="5.28515625" style="2176" customWidth="1"/>
    <col min="5352" max="5352" width="55.42578125" style="2176" customWidth="1"/>
    <col min="5353" max="5353" width="23" style="2176" customWidth="1"/>
    <col min="5354" max="5355" width="0" style="2176" hidden="1" customWidth="1"/>
    <col min="5356" max="5356" width="58.5703125" style="2176" customWidth="1"/>
    <col min="5357" max="5357" width="59.28515625" style="2176" customWidth="1"/>
    <col min="5358" max="5361" width="0" style="2176" hidden="1" customWidth="1"/>
    <col min="5362" max="5606" width="8.7109375" style="2176"/>
    <col min="5607" max="5607" width="5.28515625" style="2176" customWidth="1"/>
    <col min="5608" max="5608" width="55.42578125" style="2176" customWidth="1"/>
    <col min="5609" max="5609" width="23" style="2176" customWidth="1"/>
    <col min="5610" max="5611" width="0" style="2176" hidden="1" customWidth="1"/>
    <col min="5612" max="5612" width="58.5703125" style="2176" customWidth="1"/>
    <col min="5613" max="5613" width="59.28515625" style="2176" customWidth="1"/>
    <col min="5614" max="5617" width="0" style="2176" hidden="1" customWidth="1"/>
    <col min="5618" max="5862" width="8.7109375" style="2176"/>
    <col min="5863" max="5863" width="5.28515625" style="2176" customWidth="1"/>
    <col min="5864" max="5864" width="55.42578125" style="2176" customWidth="1"/>
    <col min="5865" max="5865" width="23" style="2176" customWidth="1"/>
    <col min="5866" max="5867" width="0" style="2176" hidden="1" customWidth="1"/>
    <col min="5868" max="5868" width="58.5703125" style="2176" customWidth="1"/>
    <col min="5869" max="5869" width="59.28515625" style="2176" customWidth="1"/>
    <col min="5870" max="5873" width="0" style="2176" hidden="1" customWidth="1"/>
    <col min="5874" max="6118" width="8.7109375" style="2176"/>
    <col min="6119" max="6119" width="5.28515625" style="2176" customWidth="1"/>
    <col min="6120" max="6120" width="55.42578125" style="2176" customWidth="1"/>
    <col min="6121" max="6121" width="23" style="2176" customWidth="1"/>
    <col min="6122" max="6123" width="0" style="2176" hidden="1" customWidth="1"/>
    <col min="6124" max="6124" width="58.5703125" style="2176" customWidth="1"/>
    <col min="6125" max="6125" width="59.28515625" style="2176" customWidth="1"/>
    <col min="6126" max="6129" width="0" style="2176" hidden="1" customWidth="1"/>
    <col min="6130" max="6374" width="8.7109375" style="2176"/>
    <col min="6375" max="6375" width="5.28515625" style="2176" customWidth="1"/>
    <col min="6376" max="6376" width="55.42578125" style="2176" customWidth="1"/>
    <col min="6377" max="6377" width="23" style="2176" customWidth="1"/>
    <col min="6378" max="6379" width="0" style="2176" hidden="1" customWidth="1"/>
    <col min="6380" max="6380" width="58.5703125" style="2176" customWidth="1"/>
    <col min="6381" max="6381" width="59.28515625" style="2176" customWidth="1"/>
    <col min="6382" max="6385" width="0" style="2176" hidden="1" customWidth="1"/>
    <col min="6386" max="6630" width="8.7109375" style="2176"/>
    <col min="6631" max="6631" width="5.28515625" style="2176" customWidth="1"/>
    <col min="6632" max="6632" width="55.42578125" style="2176" customWidth="1"/>
    <col min="6633" max="6633" width="23" style="2176" customWidth="1"/>
    <col min="6634" max="6635" width="0" style="2176" hidden="1" customWidth="1"/>
    <col min="6636" max="6636" width="58.5703125" style="2176" customWidth="1"/>
    <col min="6637" max="6637" width="59.28515625" style="2176" customWidth="1"/>
    <col min="6638" max="6641" width="0" style="2176" hidden="1" customWidth="1"/>
    <col min="6642" max="6886" width="8.7109375" style="2176"/>
    <col min="6887" max="6887" width="5.28515625" style="2176" customWidth="1"/>
    <col min="6888" max="6888" width="55.42578125" style="2176" customWidth="1"/>
    <col min="6889" max="6889" width="23" style="2176" customWidth="1"/>
    <col min="6890" max="6891" width="0" style="2176" hidden="1" customWidth="1"/>
    <col min="6892" max="6892" width="58.5703125" style="2176" customWidth="1"/>
    <col min="6893" max="6893" width="59.28515625" style="2176" customWidth="1"/>
    <col min="6894" max="6897" width="0" style="2176" hidden="1" customWidth="1"/>
    <col min="6898" max="7142" width="8.7109375" style="2176"/>
    <col min="7143" max="7143" width="5.28515625" style="2176" customWidth="1"/>
    <col min="7144" max="7144" width="55.42578125" style="2176" customWidth="1"/>
    <col min="7145" max="7145" width="23" style="2176" customWidth="1"/>
    <col min="7146" max="7147" width="0" style="2176" hidden="1" customWidth="1"/>
    <col min="7148" max="7148" width="58.5703125" style="2176" customWidth="1"/>
    <col min="7149" max="7149" width="59.28515625" style="2176" customWidth="1"/>
    <col min="7150" max="7153" width="0" style="2176" hidden="1" customWidth="1"/>
    <col min="7154" max="7398" width="8.7109375" style="2176"/>
    <col min="7399" max="7399" width="5.28515625" style="2176" customWidth="1"/>
    <col min="7400" max="7400" width="55.42578125" style="2176" customWidth="1"/>
    <col min="7401" max="7401" width="23" style="2176" customWidth="1"/>
    <col min="7402" max="7403" width="0" style="2176" hidden="1" customWidth="1"/>
    <col min="7404" max="7404" width="58.5703125" style="2176" customWidth="1"/>
    <col min="7405" max="7405" width="59.28515625" style="2176" customWidth="1"/>
    <col min="7406" max="7409" width="0" style="2176" hidden="1" customWidth="1"/>
    <col min="7410" max="7654" width="8.7109375" style="2176"/>
    <col min="7655" max="7655" width="5.28515625" style="2176" customWidth="1"/>
    <col min="7656" max="7656" width="55.42578125" style="2176" customWidth="1"/>
    <col min="7657" max="7657" width="23" style="2176" customWidth="1"/>
    <col min="7658" max="7659" width="0" style="2176" hidden="1" customWidth="1"/>
    <col min="7660" max="7660" width="58.5703125" style="2176" customWidth="1"/>
    <col min="7661" max="7661" width="59.28515625" style="2176" customWidth="1"/>
    <col min="7662" max="7665" width="0" style="2176" hidden="1" customWidth="1"/>
    <col min="7666" max="7910" width="8.7109375" style="2176"/>
    <col min="7911" max="7911" width="5.28515625" style="2176" customWidth="1"/>
    <col min="7912" max="7912" width="55.42578125" style="2176" customWidth="1"/>
    <col min="7913" max="7913" width="23" style="2176" customWidth="1"/>
    <col min="7914" max="7915" width="0" style="2176" hidden="1" customWidth="1"/>
    <col min="7916" max="7916" width="58.5703125" style="2176" customWidth="1"/>
    <col min="7917" max="7917" width="59.28515625" style="2176" customWidth="1"/>
    <col min="7918" max="7921" width="0" style="2176" hidden="1" customWidth="1"/>
    <col min="7922" max="8166" width="8.7109375" style="2176"/>
    <col min="8167" max="8167" width="5.28515625" style="2176" customWidth="1"/>
    <col min="8168" max="8168" width="55.42578125" style="2176" customWidth="1"/>
    <col min="8169" max="8169" width="23" style="2176" customWidth="1"/>
    <col min="8170" max="8171" width="0" style="2176" hidden="1" customWidth="1"/>
    <col min="8172" max="8172" width="58.5703125" style="2176" customWidth="1"/>
    <col min="8173" max="8173" width="59.28515625" style="2176" customWidth="1"/>
    <col min="8174" max="8177" width="0" style="2176" hidden="1" customWidth="1"/>
    <col min="8178" max="8422" width="8.7109375" style="2176"/>
    <col min="8423" max="8423" width="5.28515625" style="2176" customWidth="1"/>
    <col min="8424" max="8424" width="55.42578125" style="2176" customWidth="1"/>
    <col min="8425" max="8425" width="23" style="2176" customWidth="1"/>
    <col min="8426" max="8427" width="0" style="2176" hidden="1" customWidth="1"/>
    <col min="8428" max="8428" width="58.5703125" style="2176" customWidth="1"/>
    <col min="8429" max="8429" width="59.28515625" style="2176" customWidth="1"/>
    <col min="8430" max="8433" width="0" style="2176" hidden="1" customWidth="1"/>
    <col min="8434" max="8678" width="8.7109375" style="2176"/>
    <col min="8679" max="8679" width="5.28515625" style="2176" customWidth="1"/>
    <col min="8680" max="8680" width="55.42578125" style="2176" customWidth="1"/>
    <col min="8681" max="8681" width="23" style="2176" customWidth="1"/>
    <col min="8682" max="8683" width="0" style="2176" hidden="1" customWidth="1"/>
    <col min="8684" max="8684" width="58.5703125" style="2176" customWidth="1"/>
    <col min="8685" max="8685" width="59.28515625" style="2176" customWidth="1"/>
    <col min="8686" max="8689" width="0" style="2176" hidden="1" customWidth="1"/>
    <col min="8690" max="8934" width="8.7109375" style="2176"/>
    <col min="8935" max="8935" width="5.28515625" style="2176" customWidth="1"/>
    <col min="8936" max="8936" width="55.42578125" style="2176" customWidth="1"/>
    <col min="8937" max="8937" width="23" style="2176" customWidth="1"/>
    <col min="8938" max="8939" width="0" style="2176" hidden="1" customWidth="1"/>
    <col min="8940" max="8940" width="58.5703125" style="2176" customWidth="1"/>
    <col min="8941" max="8941" width="59.28515625" style="2176" customWidth="1"/>
    <col min="8942" max="8945" width="0" style="2176" hidden="1" customWidth="1"/>
    <col min="8946" max="9190" width="8.7109375" style="2176"/>
    <col min="9191" max="9191" width="5.28515625" style="2176" customWidth="1"/>
    <col min="9192" max="9192" width="55.42578125" style="2176" customWidth="1"/>
    <col min="9193" max="9193" width="23" style="2176" customWidth="1"/>
    <col min="9194" max="9195" width="0" style="2176" hidden="1" customWidth="1"/>
    <col min="9196" max="9196" width="58.5703125" style="2176" customWidth="1"/>
    <col min="9197" max="9197" width="59.28515625" style="2176" customWidth="1"/>
    <col min="9198" max="9201" width="0" style="2176" hidden="1" customWidth="1"/>
    <col min="9202" max="9446" width="8.7109375" style="2176"/>
    <col min="9447" max="9447" width="5.28515625" style="2176" customWidth="1"/>
    <col min="9448" max="9448" width="55.42578125" style="2176" customWidth="1"/>
    <col min="9449" max="9449" width="23" style="2176" customWidth="1"/>
    <col min="9450" max="9451" width="0" style="2176" hidden="1" customWidth="1"/>
    <col min="9452" max="9452" width="58.5703125" style="2176" customWidth="1"/>
    <col min="9453" max="9453" width="59.28515625" style="2176" customWidth="1"/>
    <col min="9454" max="9457" width="0" style="2176" hidden="1" customWidth="1"/>
    <col min="9458" max="9702" width="8.7109375" style="2176"/>
    <col min="9703" max="9703" width="5.28515625" style="2176" customWidth="1"/>
    <col min="9704" max="9704" width="55.42578125" style="2176" customWidth="1"/>
    <col min="9705" max="9705" width="23" style="2176" customWidth="1"/>
    <col min="9706" max="9707" width="0" style="2176" hidden="1" customWidth="1"/>
    <col min="9708" max="9708" width="58.5703125" style="2176" customWidth="1"/>
    <col min="9709" max="9709" width="59.28515625" style="2176" customWidth="1"/>
    <col min="9710" max="9713" width="0" style="2176" hidden="1" customWidth="1"/>
    <col min="9714" max="9958" width="8.7109375" style="2176"/>
    <col min="9959" max="9959" width="5.28515625" style="2176" customWidth="1"/>
    <col min="9960" max="9960" width="55.42578125" style="2176" customWidth="1"/>
    <col min="9961" max="9961" width="23" style="2176" customWidth="1"/>
    <col min="9962" max="9963" width="0" style="2176" hidden="1" customWidth="1"/>
    <col min="9964" max="9964" width="58.5703125" style="2176" customWidth="1"/>
    <col min="9965" max="9965" width="59.28515625" style="2176" customWidth="1"/>
    <col min="9966" max="9969" width="0" style="2176" hidden="1" customWidth="1"/>
    <col min="9970" max="10214" width="8.7109375" style="2176"/>
    <col min="10215" max="10215" width="5.28515625" style="2176" customWidth="1"/>
    <col min="10216" max="10216" width="55.42578125" style="2176" customWidth="1"/>
    <col min="10217" max="10217" width="23" style="2176" customWidth="1"/>
    <col min="10218" max="10219" width="0" style="2176" hidden="1" customWidth="1"/>
    <col min="10220" max="10220" width="58.5703125" style="2176" customWidth="1"/>
    <col min="10221" max="10221" width="59.28515625" style="2176" customWidth="1"/>
    <col min="10222" max="10225" width="0" style="2176" hidden="1" customWidth="1"/>
    <col min="10226" max="10470" width="8.7109375" style="2176"/>
    <col min="10471" max="10471" width="5.28515625" style="2176" customWidth="1"/>
    <col min="10472" max="10472" width="55.42578125" style="2176" customWidth="1"/>
    <col min="10473" max="10473" width="23" style="2176" customWidth="1"/>
    <col min="10474" max="10475" width="0" style="2176" hidden="1" customWidth="1"/>
    <col min="10476" max="10476" width="58.5703125" style="2176" customWidth="1"/>
    <col min="10477" max="10477" width="59.28515625" style="2176" customWidth="1"/>
    <col min="10478" max="10481" width="0" style="2176" hidden="1" customWidth="1"/>
    <col min="10482" max="10726" width="8.7109375" style="2176"/>
    <col min="10727" max="10727" width="5.28515625" style="2176" customWidth="1"/>
    <col min="10728" max="10728" width="55.42578125" style="2176" customWidth="1"/>
    <col min="10729" max="10729" width="23" style="2176" customWidth="1"/>
    <col min="10730" max="10731" width="0" style="2176" hidden="1" customWidth="1"/>
    <col min="10732" max="10732" width="58.5703125" style="2176" customWidth="1"/>
    <col min="10733" max="10733" width="59.28515625" style="2176" customWidth="1"/>
    <col min="10734" max="10737" width="0" style="2176" hidden="1" customWidth="1"/>
    <col min="10738" max="10982" width="8.7109375" style="2176"/>
    <col min="10983" max="10983" width="5.28515625" style="2176" customWidth="1"/>
    <col min="10984" max="10984" width="55.42578125" style="2176" customWidth="1"/>
    <col min="10985" max="10985" width="23" style="2176" customWidth="1"/>
    <col min="10986" max="10987" width="0" style="2176" hidden="1" customWidth="1"/>
    <col min="10988" max="10988" width="58.5703125" style="2176" customWidth="1"/>
    <col min="10989" max="10989" width="59.28515625" style="2176" customWidth="1"/>
    <col min="10990" max="10993" width="0" style="2176" hidden="1" customWidth="1"/>
    <col min="10994" max="11238" width="8.7109375" style="2176"/>
    <col min="11239" max="11239" width="5.28515625" style="2176" customWidth="1"/>
    <col min="11240" max="11240" width="55.42578125" style="2176" customWidth="1"/>
    <col min="11241" max="11241" width="23" style="2176" customWidth="1"/>
    <col min="11242" max="11243" width="0" style="2176" hidden="1" customWidth="1"/>
    <col min="11244" max="11244" width="58.5703125" style="2176" customWidth="1"/>
    <col min="11245" max="11245" width="59.28515625" style="2176" customWidth="1"/>
    <col min="11246" max="11249" width="0" style="2176" hidden="1" customWidth="1"/>
    <col min="11250" max="11494" width="8.7109375" style="2176"/>
    <col min="11495" max="11495" width="5.28515625" style="2176" customWidth="1"/>
    <col min="11496" max="11496" width="55.42578125" style="2176" customWidth="1"/>
    <col min="11497" max="11497" width="23" style="2176" customWidth="1"/>
    <col min="11498" max="11499" width="0" style="2176" hidden="1" customWidth="1"/>
    <col min="11500" max="11500" width="58.5703125" style="2176" customWidth="1"/>
    <col min="11501" max="11501" width="59.28515625" style="2176" customWidth="1"/>
    <col min="11502" max="11505" width="0" style="2176" hidden="1" customWidth="1"/>
    <col min="11506" max="11750" width="8.7109375" style="2176"/>
    <col min="11751" max="11751" width="5.28515625" style="2176" customWidth="1"/>
    <col min="11752" max="11752" width="55.42578125" style="2176" customWidth="1"/>
    <col min="11753" max="11753" width="23" style="2176" customWidth="1"/>
    <col min="11754" max="11755" width="0" style="2176" hidden="1" customWidth="1"/>
    <col min="11756" max="11756" width="58.5703125" style="2176" customWidth="1"/>
    <col min="11757" max="11757" width="59.28515625" style="2176" customWidth="1"/>
    <col min="11758" max="11761" width="0" style="2176" hidden="1" customWidth="1"/>
    <col min="11762" max="12006" width="8.7109375" style="2176"/>
    <col min="12007" max="12007" width="5.28515625" style="2176" customWidth="1"/>
    <col min="12008" max="12008" width="55.42578125" style="2176" customWidth="1"/>
    <col min="12009" max="12009" width="23" style="2176" customWidth="1"/>
    <col min="12010" max="12011" width="0" style="2176" hidden="1" customWidth="1"/>
    <col min="12012" max="12012" width="58.5703125" style="2176" customWidth="1"/>
    <col min="12013" max="12013" width="59.28515625" style="2176" customWidth="1"/>
    <col min="12014" max="12017" width="0" style="2176" hidden="1" customWidth="1"/>
    <col min="12018" max="12262" width="8.7109375" style="2176"/>
    <col min="12263" max="12263" width="5.28515625" style="2176" customWidth="1"/>
    <col min="12264" max="12264" width="55.42578125" style="2176" customWidth="1"/>
    <col min="12265" max="12265" width="23" style="2176" customWidth="1"/>
    <col min="12266" max="12267" width="0" style="2176" hidden="1" customWidth="1"/>
    <col min="12268" max="12268" width="58.5703125" style="2176" customWidth="1"/>
    <col min="12269" max="12269" width="59.28515625" style="2176" customWidth="1"/>
    <col min="12270" max="12273" width="0" style="2176" hidden="1" customWidth="1"/>
    <col min="12274" max="12518" width="8.7109375" style="2176"/>
    <col min="12519" max="12519" width="5.28515625" style="2176" customWidth="1"/>
    <col min="12520" max="12520" width="55.42578125" style="2176" customWidth="1"/>
    <col min="12521" max="12521" width="23" style="2176" customWidth="1"/>
    <col min="12522" max="12523" width="0" style="2176" hidden="1" customWidth="1"/>
    <col min="12524" max="12524" width="58.5703125" style="2176" customWidth="1"/>
    <col min="12525" max="12525" width="59.28515625" style="2176" customWidth="1"/>
    <col min="12526" max="12529" width="0" style="2176" hidden="1" customWidth="1"/>
    <col min="12530" max="12774" width="8.7109375" style="2176"/>
    <col min="12775" max="12775" width="5.28515625" style="2176" customWidth="1"/>
    <col min="12776" max="12776" width="55.42578125" style="2176" customWidth="1"/>
    <col min="12777" max="12777" width="23" style="2176" customWidth="1"/>
    <col min="12778" max="12779" width="0" style="2176" hidden="1" customWidth="1"/>
    <col min="12780" max="12780" width="58.5703125" style="2176" customWidth="1"/>
    <col min="12781" max="12781" width="59.28515625" style="2176" customWidth="1"/>
    <col min="12782" max="12785" width="0" style="2176" hidden="1" customWidth="1"/>
    <col min="12786" max="13030" width="8.7109375" style="2176"/>
    <col min="13031" max="13031" width="5.28515625" style="2176" customWidth="1"/>
    <col min="13032" max="13032" width="55.42578125" style="2176" customWidth="1"/>
    <col min="13033" max="13033" width="23" style="2176" customWidth="1"/>
    <col min="13034" max="13035" width="0" style="2176" hidden="1" customWidth="1"/>
    <col min="13036" max="13036" width="58.5703125" style="2176" customWidth="1"/>
    <col min="13037" max="13037" width="59.28515625" style="2176" customWidth="1"/>
    <col min="13038" max="13041" width="0" style="2176" hidden="1" customWidth="1"/>
    <col min="13042" max="13286" width="8.7109375" style="2176"/>
    <col min="13287" max="13287" width="5.28515625" style="2176" customWidth="1"/>
    <col min="13288" max="13288" width="55.42578125" style="2176" customWidth="1"/>
    <col min="13289" max="13289" width="23" style="2176" customWidth="1"/>
    <col min="13290" max="13291" width="0" style="2176" hidden="1" customWidth="1"/>
    <col min="13292" max="13292" width="58.5703125" style="2176" customWidth="1"/>
    <col min="13293" max="13293" width="59.28515625" style="2176" customWidth="1"/>
    <col min="13294" max="13297" width="0" style="2176" hidden="1" customWidth="1"/>
    <col min="13298" max="13542" width="8.7109375" style="2176"/>
    <col min="13543" max="13543" width="5.28515625" style="2176" customWidth="1"/>
    <col min="13544" max="13544" width="55.42578125" style="2176" customWidth="1"/>
    <col min="13545" max="13545" width="23" style="2176" customWidth="1"/>
    <col min="13546" max="13547" width="0" style="2176" hidden="1" customWidth="1"/>
    <col min="13548" max="13548" width="58.5703125" style="2176" customWidth="1"/>
    <col min="13549" max="13549" width="59.28515625" style="2176" customWidth="1"/>
    <col min="13550" max="13553" width="0" style="2176" hidden="1" customWidth="1"/>
    <col min="13554" max="13798" width="8.7109375" style="2176"/>
    <col min="13799" max="13799" width="5.28515625" style="2176" customWidth="1"/>
    <col min="13800" max="13800" width="55.42578125" style="2176" customWidth="1"/>
    <col min="13801" max="13801" width="23" style="2176" customWidth="1"/>
    <col min="13802" max="13803" width="0" style="2176" hidden="1" customWidth="1"/>
    <col min="13804" max="13804" width="58.5703125" style="2176" customWidth="1"/>
    <col min="13805" max="13805" width="59.28515625" style="2176" customWidth="1"/>
    <col min="13806" max="13809" width="0" style="2176" hidden="1" customWidth="1"/>
    <col min="13810" max="14054" width="8.7109375" style="2176"/>
    <col min="14055" max="14055" width="5.28515625" style="2176" customWidth="1"/>
    <col min="14056" max="14056" width="55.42578125" style="2176" customWidth="1"/>
    <col min="14057" max="14057" width="23" style="2176" customWidth="1"/>
    <col min="14058" max="14059" width="0" style="2176" hidden="1" customWidth="1"/>
    <col min="14060" max="14060" width="58.5703125" style="2176" customWidth="1"/>
    <col min="14061" max="14061" width="59.28515625" style="2176" customWidth="1"/>
    <col min="14062" max="14065" width="0" style="2176" hidden="1" customWidth="1"/>
    <col min="14066" max="14310" width="8.7109375" style="2176"/>
    <col min="14311" max="14311" width="5.28515625" style="2176" customWidth="1"/>
    <col min="14312" max="14312" width="55.42578125" style="2176" customWidth="1"/>
    <col min="14313" max="14313" width="23" style="2176" customWidth="1"/>
    <col min="14314" max="14315" width="0" style="2176" hidden="1" customWidth="1"/>
    <col min="14316" max="14316" width="58.5703125" style="2176" customWidth="1"/>
    <col min="14317" max="14317" width="59.28515625" style="2176" customWidth="1"/>
    <col min="14318" max="14321" width="0" style="2176" hidden="1" customWidth="1"/>
    <col min="14322" max="14566" width="8.7109375" style="2176"/>
    <col min="14567" max="14567" width="5.28515625" style="2176" customWidth="1"/>
    <col min="14568" max="14568" width="55.42578125" style="2176" customWidth="1"/>
    <col min="14569" max="14569" width="23" style="2176" customWidth="1"/>
    <col min="14570" max="14571" width="0" style="2176" hidden="1" customWidth="1"/>
    <col min="14572" max="14572" width="58.5703125" style="2176" customWidth="1"/>
    <col min="14573" max="14573" width="59.28515625" style="2176" customWidth="1"/>
    <col min="14574" max="14577" width="0" style="2176" hidden="1" customWidth="1"/>
    <col min="14578" max="14822" width="8.7109375" style="2176"/>
    <col min="14823" max="14823" width="5.28515625" style="2176" customWidth="1"/>
    <col min="14824" max="14824" width="55.42578125" style="2176" customWidth="1"/>
    <col min="14825" max="14825" width="23" style="2176" customWidth="1"/>
    <col min="14826" max="14827" width="0" style="2176" hidden="1" customWidth="1"/>
    <col min="14828" max="14828" width="58.5703125" style="2176" customWidth="1"/>
    <col min="14829" max="14829" width="59.28515625" style="2176" customWidth="1"/>
    <col min="14830" max="14833" width="0" style="2176" hidden="1" customWidth="1"/>
    <col min="14834" max="15078" width="8.7109375" style="2176"/>
    <col min="15079" max="15079" width="5.28515625" style="2176" customWidth="1"/>
    <col min="15080" max="15080" width="55.42578125" style="2176" customWidth="1"/>
    <col min="15081" max="15081" width="23" style="2176" customWidth="1"/>
    <col min="15082" max="15083" width="0" style="2176" hidden="1" customWidth="1"/>
    <col min="15084" max="15084" width="58.5703125" style="2176" customWidth="1"/>
    <col min="15085" max="15085" width="59.28515625" style="2176" customWidth="1"/>
    <col min="15086" max="15089" width="0" style="2176" hidden="1" customWidth="1"/>
    <col min="15090" max="15334" width="8.7109375" style="2176"/>
    <col min="15335" max="15335" width="5.28515625" style="2176" customWidth="1"/>
    <col min="15336" max="15336" width="55.42578125" style="2176" customWidth="1"/>
    <col min="15337" max="15337" width="23" style="2176" customWidth="1"/>
    <col min="15338" max="15339" width="0" style="2176" hidden="1" customWidth="1"/>
    <col min="15340" max="15340" width="58.5703125" style="2176" customWidth="1"/>
    <col min="15341" max="15341" width="59.28515625" style="2176" customWidth="1"/>
    <col min="15342" max="15345" width="0" style="2176" hidden="1" customWidth="1"/>
    <col min="15346" max="15590" width="8.7109375" style="2176"/>
    <col min="15591" max="15591" width="5.28515625" style="2176" customWidth="1"/>
    <col min="15592" max="15592" width="55.42578125" style="2176" customWidth="1"/>
    <col min="15593" max="15593" width="23" style="2176" customWidth="1"/>
    <col min="15594" max="15595" width="0" style="2176" hidden="1" customWidth="1"/>
    <col min="15596" max="15596" width="58.5703125" style="2176" customWidth="1"/>
    <col min="15597" max="15597" width="59.28515625" style="2176" customWidth="1"/>
    <col min="15598" max="15601" width="0" style="2176" hidden="1" customWidth="1"/>
    <col min="15602" max="15846" width="8.7109375" style="2176"/>
    <col min="15847" max="15847" width="5.28515625" style="2176" customWidth="1"/>
    <col min="15848" max="15848" width="55.42578125" style="2176" customWidth="1"/>
    <col min="15849" max="15849" width="23" style="2176" customWidth="1"/>
    <col min="15850" max="15851" width="0" style="2176" hidden="1" customWidth="1"/>
    <col min="15852" max="15852" width="58.5703125" style="2176" customWidth="1"/>
    <col min="15853" max="15853" width="59.28515625" style="2176" customWidth="1"/>
    <col min="15854" max="15857" width="0" style="2176" hidden="1" customWidth="1"/>
    <col min="15858" max="16102" width="8.7109375" style="2176"/>
    <col min="16103" max="16103" width="5.28515625" style="2176" customWidth="1"/>
    <col min="16104" max="16104" width="55.42578125" style="2176" customWidth="1"/>
    <col min="16105" max="16105" width="23" style="2176" customWidth="1"/>
    <col min="16106" max="16107" width="0" style="2176" hidden="1" customWidth="1"/>
    <col min="16108" max="16108" width="58.5703125" style="2176" customWidth="1"/>
    <col min="16109" max="16109" width="59.28515625" style="2176" customWidth="1"/>
    <col min="16110" max="16113" width="0" style="2176" hidden="1" customWidth="1"/>
    <col min="16114" max="16357" width="8.7109375" style="2176"/>
    <col min="16358" max="16384" width="8.42578125" style="2176" customWidth="1"/>
  </cols>
  <sheetData>
    <row r="1" spans="2:6">
      <c r="C1" s="2177" t="s">
        <v>1084</v>
      </c>
    </row>
    <row r="2" spans="2:6">
      <c r="C2" s="2179">
        <v>44682</v>
      </c>
    </row>
    <row r="3" spans="2:6">
      <c r="B3" s="2180"/>
      <c r="C3" s="2181" t="s">
        <v>1086</v>
      </c>
    </row>
    <row r="4" spans="2:6" ht="24.95" customHeight="1" thickBot="1">
      <c r="B4" s="2182" t="s">
        <v>825</v>
      </c>
      <c r="C4" s="2183" t="s">
        <v>1338</v>
      </c>
      <c r="D4" s="2182" t="s">
        <v>1087</v>
      </c>
      <c r="E4" s="2184" t="s">
        <v>1088</v>
      </c>
      <c r="F4" s="2184" t="s">
        <v>1115</v>
      </c>
    </row>
    <row r="5" spans="2:6" ht="39.950000000000003" customHeight="1">
      <c r="B5" s="2185" t="s">
        <v>1089</v>
      </c>
      <c r="C5" s="2186">
        <v>20</v>
      </c>
      <c r="D5" s="2530" t="s">
        <v>1116</v>
      </c>
      <c r="E5" s="2528" t="s">
        <v>833</v>
      </c>
      <c r="F5" s="2528" t="s">
        <v>1339</v>
      </c>
    </row>
    <row r="6" spans="2:6" ht="42.6" customHeight="1" thickBot="1">
      <c r="B6" s="2187" t="s">
        <v>1090</v>
      </c>
      <c r="C6" s="2188">
        <f>C5*2080</f>
        <v>41600</v>
      </c>
      <c r="D6" s="2531"/>
      <c r="E6" s="2529"/>
      <c r="F6" s="2529"/>
    </row>
    <row r="7" spans="2:6">
      <c r="B7" s="2189" t="s">
        <v>835</v>
      </c>
      <c r="C7" s="2186">
        <f>'[18]DC  CNA  DC III'!I19</f>
        <v>25.580080000000002</v>
      </c>
      <c r="D7" s="2190" t="s">
        <v>836</v>
      </c>
      <c r="E7" s="2528" t="s">
        <v>837</v>
      </c>
      <c r="F7" s="2528" t="s">
        <v>1340</v>
      </c>
    </row>
    <row r="8" spans="2:6" ht="46.5" customHeight="1" thickBot="1">
      <c r="B8" s="2191" t="s">
        <v>838</v>
      </c>
      <c r="C8" s="2192">
        <f>C7*2080</f>
        <v>53206.566400000003</v>
      </c>
      <c r="D8" s="2178" t="s">
        <v>1341</v>
      </c>
      <c r="E8" s="2532"/>
      <c r="F8" s="2532"/>
    </row>
    <row r="9" spans="2:6" ht="26.1" customHeight="1">
      <c r="B9" s="2189" t="s">
        <v>839</v>
      </c>
      <c r="C9" s="2186">
        <f>'[18]DC  CNA  DC III'!I11</f>
        <v>19.121599999999997</v>
      </c>
      <c r="D9" s="2190"/>
      <c r="E9" s="2528" t="s">
        <v>840</v>
      </c>
      <c r="F9" s="2528" t="s">
        <v>1120</v>
      </c>
    </row>
    <row r="10" spans="2:6" ht="27" thickBot="1">
      <c r="B10" s="2193" t="s">
        <v>841</v>
      </c>
      <c r="C10" s="2188">
        <f>C6</f>
        <v>41600</v>
      </c>
      <c r="D10" s="2194"/>
      <c r="E10" s="2529"/>
      <c r="F10" s="2529"/>
    </row>
    <row r="11" spans="2:6">
      <c r="B11" s="2189" t="s">
        <v>842</v>
      </c>
      <c r="C11" s="2186">
        <f>'[18]Case Social Worker.Manager'!J4</f>
        <v>28.180799999999998</v>
      </c>
      <c r="D11" s="2190" t="s">
        <v>843</v>
      </c>
      <c r="E11" s="2528" t="s">
        <v>844</v>
      </c>
      <c r="F11" s="2528" t="s">
        <v>1121</v>
      </c>
    </row>
    <row r="12" spans="2:6" ht="27" thickBot="1">
      <c r="B12" s="2191" t="s">
        <v>845</v>
      </c>
      <c r="C12" s="2192">
        <f>C11*2080</f>
        <v>58616.063999999998</v>
      </c>
      <c r="D12" s="2176" t="s">
        <v>1091</v>
      </c>
      <c r="E12" s="2532"/>
      <c r="F12" s="2532"/>
    </row>
    <row r="13" spans="2:6" ht="52.5">
      <c r="B13" s="2195" t="s">
        <v>846</v>
      </c>
      <c r="C13" s="2186">
        <f>'[18]Case Social Worker.Manager'!J11</f>
        <v>30.9283</v>
      </c>
      <c r="D13" s="2190" t="s">
        <v>1092</v>
      </c>
      <c r="E13" s="2528" t="s">
        <v>847</v>
      </c>
      <c r="F13" s="2528" t="s">
        <v>1342</v>
      </c>
    </row>
    <row r="14" spans="2:6" ht="53.25" thickBot="1">
      <c r="B14" s="2196" t="s">
        <v>848</v>
      </c>
      <c r="C14" s="2188">
        <f>C13*2080</f>
        <v>64330.864000000001</v>
      </c>
      <c r="D14" s="2194" t="s">
        <v>849</v>
      </c>
      <c r="E14" s="2529"/>
      <c r="F14" s="2529"/>
    </row>
    <row r="15" spans="2:6">
      <c r="B15" s="2189" t="s">
        <v>858</v>
      </c>
      <c r="C15" s="2186">
        <f>[18]Nursing!J2</f>
        <v>31.575200000000002</v>
      </c>
      <c r="D15" s="2190"/>
      <c r="E15" s="2528" t="s">
        <v>859</v>
      </c>
      <c r="F15" s="2528" t="s">
        <v>1123</v>
      </c>
    </row>
    <row r="16" spans="2:6" ht="27" thickBot="1">
      <c r="B16" s="2193" t="s">
        <v>860</v>
      </c>
      <c r="C16" s="2188">
        <f>C15*2080</f>
        <v>65676.416000000012</v>
      </c>
      <c r="D16" s="2194" t="s">
        <v>1343</v>
      </c>
      <c r="E16" s="2529"/>
      <c r="F16" s="2529"/>
    </row>
    <row r="17" spans="2:6">
      <c r="B17" s="2189" t="s">
        <v>850</v>
      </c>
      <c r="C17" s="2186">
        <f>[18]Clinical!J6</f>
        <v>38.753100000000003</v>
      </c>
      <c r="D17" s="2190" t="s">
        <v>851</v>
      </c>
      <c r="E17" s="2528" t="s">
        <v>852</v>
      </c>
      <c r="F17" s="2528" t="s">
        <v>1344</v>
      </c>
    </row>
    <row r="18" spans="2:6" ht="27" thickBot="1">
      <c r="B18" s="2193" t="s">
        <v>853</v>
      </c>
      <c r="C18" s="2188">
        <f>C17*2080</f>
        <v>80606.448000000004</v>
      </c>
      <c r="D18" s="2326" t="s">
        <v>1443</v>
      </c>
      <c r="E18" s="2529"/>
      <c r="F18" s="2529"/>
    </row>
    <row r="19" spans="2:6">
      <c r="B19" s="2189" t="s">
        <v>1125</v>
      </c>
      <c r="C19" s="2197">
        <f>[18]Therapies!M2</f>
        <v>32.740400000000001</v>
      </c>
      <c r="D19" s="2190"/>
      <c r="E19" s="2528" t="s">
        <v>1126</v>
      </c>
      <c r="F19" s="2528" t="s">
        <v>1127</v>
      </c>
    </row>
    <row r="20" spans="2:6" ht="27" thickBot="1">
      <c r="B20" s="2193" t="s">
        <v>1128</v>
      </c>
      <c r="C20" s="2188">
        <f>C19*2080</f>
        <v>68100.032000000007</v>
      </c>
      <c r="D20" s="2194"/>
      <c r="E20" s="2529"/>
      <c r="F20" s="2529"/>
    </row>
    <row r="21" spans="2:6">
      <c r="B21" s="2191" t="s">
        <v>1093</v>
      </c>
      <c r="C21" s="2198">
        <f>[18]Management!J2</f>
        <v>38.180400000000006</v>
      </c>
      <c r="D21" s="2176" t="s">
        <v>1129</v>
      </c>
      <c r="E21" s="2528" t="s">
        <v>1094</v>
      </c>
      <c r="F21" s="2533" t="s">
        <v>1130</v>
      </c>
    </row>
    <row r="22" spans="2:6" ht="27" thickBot="1">
      <c r="B22" s="2193" t="s">
        <v>1095</v>
      </c>
      <c r="C22" s="2188">
        <f>C21*2080</f>
        <v>79415.232000000018</v>
      </c>
      <c r="D22" s="2194" t="s">
        <v>1131</v>
      </c>
      <c r="E22" s="2529"/>
      <c r="F22" s="2534"/>
    </row>
    <row r="23" spans="2:6" ht="39.950000000000003" customHeight="1">
      <c r="B23" s="2199" t="s">
        <v>1345</v>
      </c>
      <c r="C23" s="2198">
        <f>[18]Therapies!M8</f>
        <v>38.017499999999998</v>
      </c>
      <c r="D23" s="2176" t="s">
        <v>1133</v>
      </c>
      <c r="E23" s="2528" t="s">
        <v>847</v>
      </c>
      <c r="F23" s="2528" t="s">
        <v>1346</v>
      </c>
    </row>
    <row r="24" spans="2:6" ht="39.950000000000003" customHeight="1" thickBot="1">
      <c r="B24" s="2187" t="s">
        <v>1347</v>
      </c>
      <c r="C24" s="2188">
        <f>C23*2080</f>
        <v>79076.399999999994</v>
      </c>
      <c r="D24" s="2194"/>
      <c r="E24" s="2529"/>
      <c r="F24" s="2529"/>
    </row>
    <row r="25" spans="2:6">
      <c r="B25" s="2191" t="s">
        <v>1136</v>
      </c>
      <c r="C25" s="2198">
        <f>[18]Therapies!M14</f>
        <v>41.25168</v>
      </c>
      <c r="D25" s="2176" t="s">
        <v>1137</v>
      </c>
      <c r="E25" s="2528" t="s">
        <v>847</v>
      </c>
      <c r="F25" s="2528" t="s">
        <v>1138</v>
      </c>
    </row>
    <row r="26" spans="2:6" ht="27" thickBot="1">
      <c r="B26" s="2193" t="s">
        <v>1139</v>
      </c>
      <c r="C26" s="2192">
        <f>C25*2080</f>
        <v>85803.494399999996</v>
      </c>
      <c r="E26" s="2529"/>
      <c r="F26" s="2529"/>
    </row>
    <row r="27" spans="2:6">
      <c r="B27" s="2189" t="s">
        <v>1140</v>
      </c>
      <c r="C27" s="2186">
        <f>[18]Clinical!J12</f>
        <v>48.742200000000004</v>
      </c>
      <c r="D27" s="2535" t="s">
        <v>1348</v>
      </c>
      <c r="E27" s="2528" t="s">
        <v>856</v>
      </c>
      <c r="F27" s="2528" t="s">
        <v>1349</v>
      </c>
    </row>
    <row r="28" spans="2:6" ht="49.5" customHeight="1" thickBot="1">
      <c r="B28" s="2193" t="s">
        <v>1143</v>
      </c>
      <c r="C28" s="2188">
        <f>C27*2080</f>
        <v>101383.77600000001</v>
      </c>
      <c r="D28" s="2536"/>
      <c r="E28" s="2529"/>
      <c r="F28" s="2529"/>
    </row>
    <row r="29" spans="2:6">
      <c r="B29" s="2185" t="s">
        <v>1350</v>
      </c>
      <c r="C29" s="2186">
        <f>[18]Therapies!M18</f>
        <v>42.756720000000001</v>
      </c>
      <c r="D29" s="2190"/>
      <c r="E29" s="2528" t="s">
        <v>847</v>
      </c>
      <c r="F29" s="2528" t="s">
        <v>1351</v>
      </c>
    </row>
    <row r="30" spans="2:6" ht="27" thickBot="1">
      <c r="B30" s="2187" t="s">
        <v>1352</v>
      </c>
      <c r="C30" s="2188">
        <f>C29*2080</f>
        <v>88933.977599999998</v>
      </c>
      <c r="D30" s="2194"/>
      <c r="E30" s="2529"/>
      <c r="F30" s="2529"/>
    </row>
    <row r="31" spans="2:6">
      <c r="B31" s="2189" t="s">
        <v>861</v>
      </c>
      <c r="C31" s="2186">
        <f>[18]Nursing!J6</f>
        <v>49.162799999999997</v>
      </c>
      <c r="D31" s="2190"/>
      <c r="E31" s="2528" t="s">
        <v>862</v>
      </c>
      <c r="F31" s="2528" t="s">
        <v>1147</v>
      </c>
    </row>
    <row r="32" spans="2:6" ht="53.25" customHeight="1" thickBot="1">
      <c r="B32" s="2193" t="s">
        <v>863</v>
      </c>
      <c r="C32" s="2188">
        <f>C31*2080</f>
        <v>102258.624</v>
      </c>
      <c r="D32" s="2194"/>
      <c r="E32" s="2529"/>
      <c r="F32" s="2529"/>
    </row>
    <row r="33" spans="2:6">
      <c r="B33" s="2189" t="s">
        <v>864</v>
      </c>
      <c r="C33" s="2186">
        <f>[18]Nursing!J11</f>
        <v>65.162400000000005</v>
      </c>
      <c r="D33" s="2190"/>
      <c r="E33" s="2528" t="s">
        <v>865</v>
      </c>
      <c r="F33" s="2528" t="s">
        <v>1148</v>
      </c>
    </row>
    <row r="34" spans="2:6" ht="27" thickBot="1">
      <c r="B34" s="2193" t="s">
        <v>866</v>
      </c>
      <c r="C34" s="2188">
        <f>C33*2080</f>
        <v>135537.79200000002</v>
      </c>
      <c r="D34" s="2194"/>
      <c r="E34" s="2529"/>
      <c r="F34" s="2529"/>
    </row>
    <row r="36" spans="2:6" ht="52.5">
      <c r="B36" s="2200" t="s">
        <v>1353</v>
      </c>
      <c r="C36" s="2192">
        <f>C6</f>
        <v>41600</v>
      </c>
    </row>
    <row r="37" spans="2:6">
      <c r="C37" s="2201"/>
    </row>
    <row r="38" spans="2:6">
      <c r="B38" s="2202" t="s">
        <v>1354</v>
      </c>
      <c r="C38" s="2203">
        <f>25.38%+2%</f>
        <v>0.27379999999999999</v>
      </c>
      <c r="D38" s="2176" t="s">
        <v>1355</v>
      </c>
    </row>
    <row r="39" spans="2:6" ht="34.35" customHeight="1">
      <c r="B39" s="2202"/>
      <c r="C39" s="2201"/>
      <c r="D39" s="2537" t="s">
        <v>1356</v>
      </c>
      <c r="E39" s="2537"/>
      <c r="F39" s="2176"/>
    </row>
    <row r="40" spans="2:6">
      <c r="C40" s="2201"/>
    </row>
    <row r="41" spans="2:6">
      <c r="B41" s="2202" t="s">
        <v>1098</v>
      </c>
      <c r="C41" s="2204">
        <v>0.12</v>
      </c>
      <c r="D41" s="2176" t="s">
        <v>1099</v>
      </c>
    </row>
    <row r="42" spans="2:6">
      <c r="B42" s="2202"/>
      <c r="C42" s="2205"/>
    </row>
    <row r="43" spans="2:6">
      <c r="B43" s="2538" t="s">
        <v>1357</v>
      </c>
      <c r="C43" s="2538"/>
      <c r="D43" s="2538"/>
    </row>
    <row r="44" spans="2:6">
      <c r="B44" s="2206" t="s">
        <v>1358</v>
      </c>
      <c r="C44" s="2192">
        <v>247470</v>
      </c>
      <c r="D44" s="2176" t="s">
        <v>1359</v>
      </c>
    </row>
    <row r="45" spans="2:6">
      <c r="B45" s="2202" t="s">
        <v>1152</v>
      </c>
      <c r="C45" s="2192">
        <v>252850</v>
      </c>
      <c r="D45" s="2176" t="s">
        <v>1360</v>
      </c>
    </row>
    <row r="46" spans="2:6">
      <c r="B46" s="2202" t="s">
        <v>1361</v>
      </c>
      <c r="C46" s="2192">
        <f>'[18]M2022 53_PCT'!N33</f>
        <v>135424.64000000001</v>
      </c>
      <c r="D46" s="2176" t="s">
        <v>1362</v>
      </c>
    </row>
    <row r="47" spans="2:6">
      <c r="B47" s="2202" t="s">
        <v>1363</v>
      </c>
      <c r="C47" s="2207">
        <f>C6</f>
        <v>41600</v>
      </c>
      <c r="D47" s="2176" t="s">
        <v>1364</v>
      </c>
    </row>
    <row r="48" spans="2:6">
      <c r="B48" s="2202" t="s">
        <v>1365</v>
      </c>
      <c r="C48" s="2207">
        <f>AVERAGE(C6,C8)</f>
        <v>47403.283200000005</v>
      </c>
      <c r="D48" s="2176" t="s">
        <v>1366</v>
      </c>
    </row>
    <row r="49" spans="2:6">
      <c r="B49" s="2202" t="s">
        <v>1367</v>
      </c>
      <c r="C49" s="2192">
        <f>C8</f>
        <v>53206.566400000003</v>
      </c>
      <c r="D49" s="2176" t="s">
        <v>1368</v>
      </c>
    </row>
    <row r="50" spans="2:6">
      <c r="B50" s="2202" t="s">
        <v>1369</v>
      </c>
      <c r="C50" s="2192">
        <f>'[18]M2022 53_PCT'!N34</f>
        <v>40890.303999999996</v>
      </c>
      <c r="D50" s="2176" t="s">
        <v>1370</v>
      </c>
    </row>
    <row r="51" spans="2:6">
      <c r="B51" s="2202" t="s">
        <v>1371</v>
      </c>
      <c r="C51" s="2207">
        <f>'[18]M2022 53_PCT'!N37</f>
        <v>50652.160000000003</v>
      </c>
      <c r="D51" s="2176" t="s">
        <v>1372</v>
      </c>
    </row>
    <row r="52" spans="2:6">
      <c r="B52" s="2202" t="s">
        <v>1373</v>
      </c>
      <c r="C52" s="2207">
        <f>AVERAGE('[18]M2022 53_PCT'!N35,'[18]M2022 53_PCT'!N36)</f>
        <v>57014.464000000007</v>
      </c>
      <c r="D52" s="2176" t="s">
        <v>1374</v>
      </c>
    </row>
    <row r="53" spans="2:6">
      <c r="B53" s="2202"/>
      <c r="C53" s="2207"/>
    </row>
    <row r="54" spans="2:6">
      <c r="B54" s="2202"/>
      <c r="C54" s="2207"/>
    </row>
    <row r="55" spans="2:6">
      <c r="B55" s="2539" t="s">
        <v>1375</v>
      </c>
      <c r="C55" s="2539"/>
      <c r="D55" s="2539"/>
      <c r="E55" s="2539"/>
      <c r="F55" s="2539"/>
    </row>
    <row r="56" spans="2:6">
      <c r="B56" s="2208" t="s">
        <v>1376</v>
      </c>
      <c r="C56" s="2176" t="s">
        <v>1377</v>
      </c>
    </row>
    <row r="57" spans="2:6" ht="66.599999999999994" customHeight="1">
      <c r="B57" s="2209" t="s">
        <v>1378</v>
      </c>
      <c r="C57" s="2537" t="s">
        <v>1379</v>
      </c>
      <c r="D57" s="2537"/>
      <c r="E57" s="2537"/>
      <c r="F57" s="2537"/>
    </row>
  </sheetData>
  <mergeCells count="36">
    <mergeCell ref="D39:E39"/>
    <mergeCell ref="B43:D43"/>
    <mergeCell ref="B55:F55"/>
    <mergeCell ref="C57:F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43"/>
  <sheetViews>
    <sheetView zoomScale="80" zoomScaleNormal="80" workbookViewId="0">
      <pane xSplit="1" ySplit="3" topLeftCell="B4" activePane="bottomRight" state="frozen"/>
      <selection activeCell="H11" sqref="H11"/>
      <selection pane="topRight" activeCell="H11" sqref="H11"/>
      <selection pane="bottomLeft" activeCell="H11" sqref="H11"/>
      <selection pane="bottomRight" activeCell="Z36" sqref="Z36"/>
    </sheetView>
  </sheetViews>
  <sheetFormatPr defaultColWidth="9.42578125" defaultRowHeight="15"/>
  <cols>
    <col min="1" max="1" width="79.140625" customWidth="1"/>
    <col min="2" max="2" width="13.7109375" customWidth="1"/>
    <col min="3" max="6" width="0" hidden="1" customWidth="1"/>
    <col min="7" max="7" width="19.5703125" hidden="1" customWidth="1"/>
    <col min="8" max="8" width="0" hidden="1" customWidth="1"/>
    <col min="9" max="9" width="11.5703125" customWidth="1"/>
    <col min="11" max="11" width="17.28515625" hidden="1" customWidth="1"/>
    <col min="12" max="12" width="16.28515625" hidden="1" customWidth="1"/>
    <col min="13" max="14" width="0" hidden="1" customWidth="1"/>
    <col min="15" max="15" width="15.140625" hidden="1" customWidth="1"/>
    <col min="16" max="17" width="0" hidden="1" customWidth="1"/>
  </cols>
  <sheetData>
    <row r="2" spans="1:15" ht="21">
      <c r="A2" s="1750"/>
      <c r="D2" s="2540" t="s">
        <v>1414</v>
      </c>
      <c r="E2" s="2540" t="s">
        <v>1415</v>
      </c>
      <c r="F2" s="2540" t="s">
        <v>1416</v>
      </c>
      <c r="G2" s="2540" t="s">
        <v>1417</v>
      </c>
      <c r="I2" s="2540" t="s">
        <v>1418</v>
      </c>
      <c r="J2" s="2540" t="s">
        <v>1419</v>
      </c>
      <c r="K2" s="2540" t="s">
        <v>1420</v>
      </c>
    </row>
    <row r="3" spans="1:15" ht="15.75" thickBot="1">
      <c r="B3" t="s">
        <v>1321</v>
      </c>
      <c r="C3" t="s">
        <v>981</v>
      </c>
      <c r="D3" s="2540"/>
      <c r="E3" s="2540"/>
      <c r="F3" s="2540"/>
      <c r="G3" s="2540"/>
      <c r="I3" s="2540"/>
      <c r="J3" s="2540"/>
      <c r="K3" s="2540"/>
    </row>
    <row r="4" spans="1:15" ht="24" customHeight="1" thickBot="1">
      <c r="A4" s="1563" t="s">
        <v>913</v>
      </c>
    </row>
    <row r="5" spans="1:15" ht="15.75" thickBot="1">
      <c r="A5" s="1565" t="s">
        <v>545</v>
      </c>
      <c r="B5" s="11">
        <v>46.32</v>
      </c>
      <c r="C5">
        <v>2480110</v>
      </c>
      <c r="F5">
        <f>C5+D5+E5</f>
        <v>2480110</v>
      </c>
      <c r="G5" s="714">
        <f>F5*B5</f>
        <v>114878695.2</v>
      </c>
      <c r="I5" s="11">
        <f ca="1">'Integrated Team '!O46</f>
        <v>55.991993761853166</v>
      </c>
      <c r="J5" s="1666">
        <f ca="1">(I5-B5)/B5</f>
        <v>0.20880815548042242</v>
      </c>
      <c r="K5" s="795">
        <f ca="1">I5*F5</f>
        <v>138866303.64870965</v>
      </c>
      <c r="L5" s="795">
        <f t="shared" ref="L5:L8" ca="1" si="0">K5-G5</f>
        <v>23987608.448709652</v>
      </c>
    </row>
    <row r="6" spans="1:15" ht="15.75" thickBot="1">
      <c r="A6" s="1565" t="s">
        <v>584</v>
      </c>
      <c r="B6" s="11">
        <v>31.65</v>
      </c>
      <c r="D6">
        <v>806320</v>
      </c>
      <c r="E6">
        <v>103719</v>
      </c>
      <c r="F6">
        <f t="shared" ref="F6:F30" si="1">C6+D6+E6</f>
        <v>910039</v>
      </c>
      <c r="G6" s="714">
        <f t="shared" ref="G6:G30" si="2">F6*B6</f>
        <v>28802734.349999998</v>
      </c>
      <c r="I6" s="11">
        <f ca="1">'Integrated Team '!O93</f>
        <v>38.275054852990557</v>
      </c>
      <c r="J6" s="1666">
        <f t="shared" ref="J6:J33" ca="1" si="3">(I6-B6)/B6</f>
        <v>0.20932242821455163</v>
      </c>
      <c r="K6" s="795">
        <f t="shared" ref="K6:K30" ca="1" si="4">I6*F6</f>
        <v>34831792.643360674</v>
      </c>
      <c r="L6" s="795">
        <f t="shared" ca="1" si="0"/>
        <v>6029058.2933606766</v>
      </c>
    </row>
    <row r="7" spans="1:15" ht="15.75" thickBot="1">
      <c r="A7" s="1565" t="s">
        <v>915</v>
      </c>
      <c r="B7" s="11"/>
      <c r="F7">
        <f t="shared" si="1"/>
        <v>0</v>
      </c>
      <c r="G7" s="714">
        <f t="shared" si="2"/>
        <v>0</v>
      </c>
      <c r="I7" s="11"/>
      <c r="J7" s="1666"/>
      <c r="K7" s="795">
        <f t="shared" si="4"/>
        <v>0</v>
      </c>
      <c r="L7" s="795">
        <f t="shared" si="0"/>
        <v>0</v>
      </c>
    </row>
    <row r="8" spans="1:15" ht="15.75" thickBot="1">
      <c r="A8" s="1565" t="s">
        <v>916</v>
      </c>
      <c r="B8" s="11"/>
      <c r="F8">
        <f t="shared" si="1"/>
        <v>0</v>
      </c>
      <c r="G8" s="714">
        <f t="shared" si="2"/>
        <v>0</v>
      </c>
      <c r="I8" s="11"/>
      <c r="J8" s="1666"/>
      <c r="K8" s="795">
        <f t="shared" si="4"/>
        <v>0</v>
      </c>
      <c r="L8" s="795">
        <f t="shared" si="0"/>
        <v>0</v>
      </c>
    </row>
    <row r="9" spans="1:15" ht="15.75" thickBot="1">
      <c r="A9" s="1565" t="s">
        <v>925</v>
      </c>
      <c r="B9" s="11">
        <v>295.48</v>
      </c>
      <c r="C9">
        <v>231210</v>
      </c>
      <c r="F9">
        <f t="shared" si="1"/>
        <v>231210</v>
      </c>
      <c r="G9" s="714">
        <f t="shared" si="2"/>
        <v>68317930.799999997</v>
      </c>
      <c r="I9" s="11">
        <f>'GLE SIE'!Q41</f>
        <v>361.64945550135087</v>
      </c>
      <c r="J9" s="1666">
        <f t="shared" si="3"/>
        <v>0.22393886388706799</v>
      </c>
      <c r="K9" s="795">
        <f t="shared" si="4"/>
        <v>83616970.606467336</v>
      </c>
      <c r="L9" s="795">
        <f>K9-G9</f>
        <v>15299039.806467339</v>
      </c>
    </row>
    <row r="10" spans="1:15" ht="15.75" thickBot="1">
      <c r="A10" s="1565" t="s">
        <v>926</v>
      </c>
      <c r="B10" s="11">
        <v>210.26</v>
      </c>
      <c r="C10">
        <v>389482</v>
      </c>
      <c r="F10">
        <f t="shared" si="1"/>
        <v>389482</v>
      </c>
      <c r="G10" s="714">
        <f t="shared" si="2"/>
        <v>81892485.319999993</v>
      </c>
      <c r="I10" s="11">
        <f>'GLE SIE'!W41</f>
        <v>256.88362110244987</v>
      </c>
      <c r="J10" s="1666">
        <f t="shared" si="3"/>
        <v>0.22174270475815597</v>
      </c>
      <c r="K10" s="795">
        <f t="shared" si="4"/>
        <v>100051546.51422438</v>
      </c>
      <c r="L10" s="795">
        <f t="shared" ref="L10:L34" si="5">K10-G10</f>
        <v>18159061.194224387</v>
      </c>
    </row>
    <row r="11" spans="1:15" ht="15.75" thickBot="1">
      <c r="A11" s="1565" t="s">
        <v>927</v>
      </c>
      <c r="B11" s="11">
        <v>171.52</v>
      </c>
      <c r="C11">
        <v>185628</v>
      </c>
      <c r="F11">
        <f t="shared" si="1"/>
        <v>185628</v>
      </c>
      <c r="G11" s="714">
        <f t="shared" si="2"/>
        <v>31838914.560000002</v>
      </c>
      <c r="I11" s="11">
        <f>'GLE SIE'!AC41</f>
        <v>209.26278728476754</v>
      </c>
      <c r="J11" s="1666">
        <f t="shared" si="3"/>
        <v>0.220048899747945</v>
      </c>
      <c r="K11" s="795">
        <f t="shared" si="4"/>
        <v>38845032.678096831</v>
      </c>
      <c r="L11" s="795">
        <f t="shared" si="5"/>
        <v>7006118.1180968285</v>
      </c>
    </row>
    <row r="12" spans="1:15" ht="15.75" thickBot="1">
      <c r="A12" s="1565" t="s">
        <v>917</v>
      </c>
      <c r="B12" s="11"/>
      <c r="F12">
        <f t="shared" si="1"/>
        <v>0</v>
      </c>
      <c r="G12" s="714">
        <f t="shared" si="2"/>
        <v>0</v>
      </c>
      <c r="I12" s="11"/>
      <c r="J12" s="1666"/>
      <c r="K12" s="795">
        <f t="shared" si="4"/>
        <v>0</v>
      </c>
      <c r="L12" s="795">
        <f t="shared" si="5"/>
        <v>0</v>
      </c>
    </row>
    <row r="13" spans="1:15" ht="15.75" thickBot="1">
      <c r="A13" s="1565" t="s">
        <v>918</v>
      </c>
      <c r="B13" s="11">
        <v>72.92</v>
      </c>
      <c r="C13">
        <v>51471</v>
      </c>
      <c r="F13">
        <f t="shared" si="1"/>
        <v>51471</v>
      </c>
      <c r="G13" s="714">
        <f t="shared" si="2"/>
        <v>3753265.3200000003</v>
      </c>
      <c r="I13" s="11">
        <f>'GLE SIE'!Y82</f>
        <v>89.094402030014564</v>
      </c>
      <c r="J13" s="1666">
        <f t="shared" si="3"/>
        <v>0.22181023080107737</v>
      </c>
      <c r="K13" s="795">
        <f t="shared" si="4"/>
        <v>4585777.9668868799</v>
      </c>
      <c r="L13" s="795">
        <f t="shared" si="5"/>
        <v>832512.64688687958</v>
      </c>
      <c r="N13">
        <v>5548</v>
      </c>
      <c r="O13" s="795">
        <f>N13*I13</f>
        <v>494295.74246252078</v>
      </c>
    </row>
    <row r="14" spans="1:15" ht="15.75" thickBot="1">
      <c r="A14" s="1565" t="s">
        <v>919</v>
      </c>
      <c r="B14" s="11">
        <v>57.65</v>
      </c>
      <c r="C14">
        <v>39934</v>
      </c>
      <c r="F14">
        <f t="shared" si="1"/>
        <v>39934</v>
      </c>
      <c r="G14" s="714">
        <f t="shared" si="2"/>
        <v>2302195.1</v>
      </c>
      <c r="I14" s="11">
        <f>'GLE SIE'!AE82</f>
        <v>70.274196734548227</v>
      </c>
      <c r="J14" s="1666">
        <f t="shared" si="3"/>
        <v>0.21897999539545929</v>
      </c>
      <c r="K14" s="795">
        <f t="shared" si="4"/>
        <v>2806329.7723974488</v>
      </c>
      <c r="L14" s="795">
        <f t="shared" si="5"/>
        <v>504134.67239744868</v>
      </c>
      <c r="O14" s="795">
        <f t="shared" ref="O14:O21" si="6">N14*I14</f>
        <v>0</v>
      </c>
    </row>
    <row r="15" spans="1:15" ht="15.75" thickBot="1">
      <c r="A15" s="1565" t="s">
        <v>920</v>
      </c>
      <c r="B15" s="11">
        <v>42.39</v>
      </c>
      <c r="C15">
        <v>12314</v>
      </c>
      <c r="F15">
        <f t="shared" si="1"/>
        <v>12314</v>
      </c>
      <c r="G15" s="714">
        <f t="shared" si="2"/>
        <v>521990.46</v>
      </c>
      <c r="I15" s="11">
        <f>'GLE SIE'!AK82</f>
        <v>51.453991439081889</v>
      </c>
      <c r="J15" s="1666">
        <f t="shared" si="3"/>
        <v>0.21382381314182328</v>
      </c>
      <c r="K15" s="795">
        <f t="shared" si="4"/>
        <v>633604.45058085443</v>
      </c>
      <c r="L15" s="795">
        <f t="shared" si="5"/>
        <v>111613.99058085441</v>
      </c>
      <c r="O15" s="795">
        <f t="shared" si="6"/>
        <v>0</v>
      </c>
    </row>
    <row r="16" spans="1:15" ht="15.75" thickBot="1">
      <c r="A16" s="1565" t="s">
        <v>921</v>
      </c>
      <c r="B16" s="11"/>
      <c r="F16">
        <f t="shared" si="1"/>
        <v>0</v>
      </c>
      <c r="G16" s="714">
        <f t="shared" si="2"/>
        <v>0</v>
      </c>
      <c r="I16" s="11"/>
      <c r="J16" s="1666"/>
      <c r="K16" s="795">
        <f t="shared" si="4"/>
        <v>0</v>
      </c>
      <c r="L16" s="795">
        <f t="shared" si="5"/>
        <v>0</v>
      </c>
      <c r="O16" s="795">
        <f t="shared" si="6"/>
        <v>0</v>
      </c>
    </row>
    <row r="17" spans="1:15" ht="15.75" thickBot="1">
      <c r="A17" s="1565" t="s">
        <v>928</v>
      </c>
      <c r="B17" s="11">
        <v>437.99</v>
      </c>
      <c r="C17">
        <v>10948</v>
      </c>
      <c r="F17">
        <f t="shared" si="1"/>
        <v>10948</v>
      </c>
      <c r="G17" s="714">
        <f t="shared" si="2"/>
        <v>4795114.5200000005</v>
      </c>
      <c r="I17" s="11">
        <f ca="1">'Med_Int_Spec  '!N45</f>
        <v>527.98898910783123</v>
      </c>
      <c r="J17" s="1666">
        <f t="shared" ca="1" si="3"/>
        <v>0.20548183544791254</v>
      </c>
      <c r="K17" s="795">
        <f t="shared" ca="1" si="4"/>
        <v>5780423.4527525362</v>
      </c>
      <c r="L17" s="795">
        <f t="shared" ca="1" si="5"/>
        <v>985308.93275253568</v>
      </c>
      <c r="N17">
        <v>4161</v>
      </c>
      <c r="O17" s="795">
        <f t="shared" ca="1" si="6"/>
        <v>2196962.1836776859</v>
      </c>
    </row>
    <row r="18" spans="1:15" ht="15.75" thickBot="1">
      <c r="A18" s="1565" t="s">
        <v>929</v>
      </c>
      <c r="B18" s="11">
        <v>365</v>
      </c>
      <c r="C18">
        <v>20248</v>
      </c>
      <c r="F18">
        <f t="shared" si="1"/>
        <v>20248</v>
      </c>
      <c r="G18" s="714">
        <f t="shared" si="2"/>
        <v>7390520</v>
      </c>
      <c r="I18" s="11">
        <f ca="1">'Med_Int_Spec  '!N85</f>
        <v>439.22638399136588</v>
      </c>
      <c r="J18" s="1666">
        <f t="shared" ca="1" si="3"/>
        <v>0.20335995614072844</v>
      </c>
      <c r="K18" s="795">
        <f t="shared" ca="1" si="4"/>
        <v>8893455.8230571765</v>
      </c>
      <c r="L18" s="795">
        <f t="shared" ca="1" si="5"/>
        <v>1502935.8230571765</v>
      </c>
      <c r="N18">
        <v>6242</v>
      </c>
      <c r="O18" s="795">
        <f t="shared" ca="1" si="6"/>
        <v>2741651.0888741058</v>
      </c>
    </row>
    <row r="19" spans="1:15" ht="15.75" thickBot="1">
      <c r="A19" s="1565" t="s">
        <v>930</v>
      </c>
      <c r="B19" s="11">
        <v>328.56</v>
      </c>
      <c r="C19">
        <v>3932</v>
      </c>
      <c r="F19">
        <f t="shared" si="1"/>
        <v>3932</v>
      </c>
      <c r="G19" s="714">
        <f t="shared" si="2"/>
        <v>1291897.92</v>
      </c>
      <c r="I19" s="11">
        <f ca="1">'Med_Int_Spec  '!N123</f>
        <v>394.91751211826261</v>
      </c>
      <c r="J19" s="1666">
        <f t="shared" ca="1" si="3"/>
        <v>0.20196467043542307</v>
      </c>
      <c r="K19" s="795">
        <f t="shared" ca="1" si="4"/>
        <v>1552815.6576490086</v>
      </c>
      <c r="L19" s="795">
        <f t="shared" ca="1" si="5"/>
        <v>260917.73764900863</v>
      </c>
      <c r="O19" s="795">
        <f t="shared" ca="1" si="6"/>
        <v>0</v>
      </c>
    </row>
    <row r="20" spans="1:15" ht="15.75" thickBot="1">
      <c r="A20" s="1565" t="s">
        <v>931</v>
      </c>
      <c r="B20" s="11">
        <v>467.91</v>
      </c>
      <c r="C20">
        <v>9659</v>
      </c>
      <c r="F20">
        <f t="shared" si="1"/>
        <v>9659</v>
      </c>
      <c r="G20" s="714">
        <f t="shared" si="2"/>
        <v>4519542.6900000004</v>
      </c>
      <c r="I20" s="11">
        <f ca="1">'Int_Beh FY25'!N42</f>
        <v>568.08417133528064</v>
      </c>
      <c r="J20" s="1666">
        <f t="shared" ca="1" si="3"/>
        <v>0.21408854552217438</v>
      </c>
      <c r="K20" s="795">
        <f t="shared" ca="1" si="4"/>
        <v>5487125.010927476</v>
      </c>
      <c r="L20" s="795">
        <f t="shared" ca="1" si="5"/>
        <v>967582.32092747558</v>
      </c>
      <c r="N20">
        <v>4161</v>
      </c>
      <c r="O20" s="795">
        <f t="shared" ca="1" si="6"/>
        <v>2363798.2369261025</v>
      </c>
    </row>
    <row r="21" spans="1:15" ht="15.75" thickBot="1">
      <c r="A21" s="1565" t="s">
        <v>932</v>
      </c>
      <c r="B21" s="11">
        <v>354.13</v>
      </c>
      <c r="C21">
        <v>14764</v>
      </c>
      <c r="F21">
        <f t="shared" si="1"/>
        <v>14764</v>
      </c>
      <c r="G21" s="714">
        <f t="shared" si="2"/>
        <v>5228375.32</v>
      </c>
      <c r="I21" s="11">
        <f ca="1">'Int_Beh FY25'!N77</f>
        <v>429.36572562235813</v>
      </c>
      <c r="J21" s="1666">
        <f t="shared" ca="1" si="3"/>
        <v>0.21245227916967818</v>
      </c>
      <c r="K21" s="795">
        <f t="shared" ca="1" si="4"/>
        <v>6339155.5730884951</v>
      </c>
      <c r="L21" s="795">
        <f t="shared" ca="1" si="5"/>
        <v>1110780.2530884948</v>
      </c>
      <c r="N21">
        <v>3121</v>
      </c>
      <c r="O21" s="795">
        <f t="shared" ca="1" si="6"/>
        <v>1340050.4296673797</v>
      </c>
    </row>
    <row r="22" spans="1:15" ht="15.75" thickBot="1">
      <c r="A22" s="1565" t="s">
        <v>933</v>
      </c>
      <c r="B22" s="11">
        <v>304.44</v>
      </c>
      <c r="C22">
        <v>4135</v>
      </c>
      <c r="F22">
        <f t="shared" si="1"/>
        <v>4135</v>
      </c>
      <c r="G22" s="714">
        <f t="shared" si="2"/>
        <v>1258859.3999999999</v>
      </c>
      <c r="I22" s="11">
        <f ca="1">'Int_Beh FY25'!N113</f>
        <v>368.34662281258744</v>
      </c>
      <c r="J22" s="1666">
        <f t="shared" ca="1" si="3"/>
        <v>0.20991532917023861</v>
      </c>
      <c r="K22" s="795">
        <f t="shared" ca="1" si="4"/>
        <v>1523113.285330049</v>
      </c>
      <c r="L22" s="795">
        <f t="shared" ca="1" si="5"/>
        <v>264253.88533004909</v>
      </c>
      <c r="O22" s="795">
        <f ca="1">SUM(O13:O21)</f>
        <v>9136757.6816077959</v>
      </c>
    </row>
    <row r="23" spans="1:15" ht="15.75" thickBot="1">
      <c r="A23" s="1572" t="s">
        <v>934</v>
      </c>
      <c r="B23" s="11">
        <v>377.36</v>
      </c>
      <c r="F23">
        <f t="shared" si="1"/>
        <v>0</v>
      </c>
      <c r="G23" s="714">
        <f t="shared" si="2"/>
        <v>0</v>
      </c>
      <c r="I23" s="11">
        <f ca="1">'Int_Beh FY25'!N156</f>
        <v>460.41203745167172</v>
      </c>
      <c r="J23" s="1666">
        <f t="shared" ca="1" si="3"/>
        <v>0.22008701889885443</v>
      </c>
      <c r="K23" s="795">
        <f t="shared" ca="1" si="4"/>
        <v>0</v>
      </c>
      <c r="L23" s="795">
        <f t="shared" ca="1" si="5"/>
        <v>0</v>
      </c>
    </row>
    <row r="24" spans="1:15" ht="15.75" thickBot="1">
      <c r="A24" s="1572" t="s">
        <v>935</v>
      </c>
      <c r="B24" s="11">
        <v>261.93</v>
      </c>
      <c r="C24">
        <v>4352</v>
      </c>
      <c r="F24">
        <f t="shared" si="1"/>
        <v>4352</v>
      </c>
      <c r="G24" s="714">
        <f t="shared" si="2"/>
        <v>1139919.3600000001</v>
      </c>
      <c r="I24" s="11">
        <f ca="1">'Int_Beh FY25'!N198</f>
        <v>318.45891434449442</v>
      </c>
      <c r="J24" s="1666">
        <f t="shared" ca="1" si="3"/>
        <v>0.21581687605274083</v>
      </c>
      <c r="K24" s="795">
        <f t="shared" ca="1" si="4"/>
        <v>1385933.1952272397</v>
      </c>
      <c r="L24" s="795">
        <f t="shared" ca="1" si="5"/>
        <v>246013.83522723964</v>
      </c>
    </row>
    <row r="25" spans="1:15" ht="15.75" thickBot="1">
      <c r="A25" s="1565" t="s">
        <v>936</v>
      </c>
      <c r="B25" s="11">
        <v>451.36</v>
      </c>
      <c r="F25">
        <f t="shared" si="1"/>
        <v>0</v>
      </c>
      <c r="G25" s="714">
        <f t="shared" si="2"/>
        <v>0</v>
      </c>
      <c r="I25" s="11">
        <f ca="1">'Int_Fire_Safety '!M48</f>
        <v>549.2395034238973</v>
      </c>
      <c r="J25" s="1666">
        <f t="shared" ca="1" si="3"/>
        <v>0.21685462474277137</v>
      </c>
      <c r="K25" s="795">
        <f t="shared" ca="1" si="4"/>
        <v>0</v>
      </c>
      <c r="L25" s="795">
        <f t="shared" ca="1" si="5"/>
        <v>0</v>
      </c>
    </row>
    <row r="26" spans="1:15" ht="15.75" thickBot="1">
      <c r="A26" s="1565" t="s">
        <v>937</v>
      </c>
      <c r="B26" s="11">
        <v>504.21</v>
      </c>
      <c r="C26">
        <v>5344</v>
      </c>
      <c r="F26">
        <f t="shared" si="1"/>
        <v>5344</v>
      </c>
      <c r="G26" s="714">
        <f t="shared" si="2"/>
        <v>2694498.2399999998</v>
      </c>
      <c r="I26" s="11">
        <f ca="1">'Clin_Int '!M45</f>
        <v>596.21631855618193</v>
      </c>
      <c r="J26" s="1666">
        <f t="shared" ca="1" si="3"/>
        <v>0.18247618761266526</v>
      </c>
      <c r="K26" s="795">
        <f t="shared" ca="1" si="4"/>
        <v>3186180.0063642361</v>
      </c>
      <c r="L26" s="795">
        <f t="shared" ca="1" si="5"/>
        <v>491681.76636423636</v>
      </c>
    </row>
    <row r="27" spans="1:15" ht="15.75" thickBot="1">
      <c r="A27" s="1565" t="s">
        <v>938</v>
      </c>
      <c r="B27" s="11">
        <v>444.76</v>
      </c>
      <c r="C27">
        <v>6205</v>
      </c>
      <c r="F27">
        <f t="shared" si="1"/>
        <v>6205</v>
      </c>
      <c r="G27" s="714">
        <f t="shared" si="2"/>
        <v>2759735.8</v>
      </c>
      <c r="I27" s="11">
        <f ca="1">'Clin_Int '!G99</f>
        <v>523.7311135121289</v>
      </c>
      <c r="J27" s="1666">
        <f t="shared" ca="1" si="3"/>
        <v>0.17755893855591534</v>
      </c>
      <c r="K27" s="795">
        <f t="shared" ca="1" si="4"/>
        <v>3249751.5593427597</v>
      </c>
      <c r="L27" s="795">
        <f t="shared" ca="1" si="5"/>
        <v>490015.75934275985</v>
      </c>
    </row>
    <row r="28" spans="1:15" ht="15.75" thickBot="1">
      <c r="A28" s="1565" t="s">
        <v>939</v>
      </c>
      <c r="B28" s="11">
        <v>407.84</v>
      </c>
      <c r="C28">
        <v>3591</v>
      </c>
      <c r="F28">
        <f t="shared" si="1"/>
        <v>3591</v>
      </c>
      <c r="G28" s="714">
        <f t="shared" si="2"/>
        <v>1464553.44</v>
      </c>
      <c r="I28" s="11">
        <f ca="1">'Clin_Int '!M99</f>
        <v>482.92772936758234</v>
      </c>
      <c r="J28" s="1666">
        <f t="shared" ca="1" si="3"/>
        <v>0.18411075266668883</v>
      </c>
      <c r="K28" s="795">
        <f t="shared" ca="1" si="4"/>
        <v>1734193.4761589882</v>
      </c>
      <c r="L28" s="795">
        <f t="shared" ca="1" si="5"/>
        <v>269640.03615898825</v>
      </c>
    </row>
    <row r="29" spans="1:15" ht="15.75" thickBot="1">
      <c r="A29" s="1572" t="s">
        <v>940</v>
      </c>
      <c r="B29" s="11">
        <v>433.69</v>
      </c>
      <c r="F29">
        <f t="shared" si="1"/>
        <v>0</v>
      </c>
      <c r="G29" s="714">
        <f t="shared" si="2"/>
        <v>0</v>
      </c>
      <c r="I29" s="11">
        <f ca="1">Int_DBT!M47</f>
        <v>525.88394657296783</v>
      </c>
      <c r="J29" s="1666">
        <f t="shared" ca="1" si="3"/>
        <v>0.2125802913900893</v>
      </c>
      <c r="K29" s="795">
        <f t="shared" ca="1" si="4"/>
        <v>0</v>
      </c>
      <c r="L29" s="795">
        <f t="shared" ca="1" si="5"/>
        <v>0</v>
      </c>
    </row>
    <row r="30" spans="1:15" ht="15.75" thickBot="1">
      <c r="A30" s="1572" t="s">
        <v>941</v>
      </c>
      <c r="B30" s="11">
        <v>339.3</v>
      </c>
      <c r="F30">
        <f t="shared" si="1"/>
        <v>0</v>
      </c>
      <c r="G30" s="714">
        <f t="shared" si="2"/>
        <v>0</v>
      </c>
      <c r="I30" s="11">
        <f ca="1">Int_DBT!M90</f>
        <v>412.33053443884967</v>
      </c>
      <c r="J30" s="1666">
        <f t="shared" ca="1" si="3"/>
        <v>0.21523882829015517</v>
      </c>
      <c r="K30" s="795">
        <f t="shared" ca="1" si="4"/>
        <v>0</v>
      </c>
      <c r="L30" s="795">
        <f t="shared" ca="1" si="5"/>
        <v>0</v>
      </c>
    </row>
    <row r="31" spans="1:15" ht="15.75" thickBot="1">
      <c r="A31" s="1572" t="s">
        <v>1444</v>
      </c>
      <c r="B31" s="11">
        <v>529.80999999999995</v>
      </c>
      <c r="G31" s="714"/>
      <c r="I31" s="11">
        <f>' Enhanced Medical Model'!M38</f>
        <v>565.76847995924186</v>
      </c>
      <c r="J31" s="1666">
        <f t="shared" si="3"/>
        <v>6.7870519543311594E-2</v>
      </c>
      <c r="K31" s="795"/>
      <c r="L31" s="795">
        <f t="shared" si="5"/>
        <v>0</v>
      </c>
    </row>
    <row r="32" spans="1:15" ht="15.75" thickBot="1">
      <c r="A32" s="1572" t="s">
        <v>1445</v>
      </c>
      <c r="B32" s="11">
        <v>427.2</v>
      </c>
      <c r="G32" s="714"/>
      <c r="I32" s="11">
        <f>' Enhanced Medical Model'!S38</f>
        <v>459.54166501005727</v>
      </c>
      <c r="J32" s="1666">
        <f t="shared" si="3"/>
        <v>7.5706144686463681E-2</v>
      </c>
      <c r="K32" s="795"/>
      <c r="L32" s="795">
        <f t="shared" si="5"/>
        <v>0</v>
      </c>
    </row>
    <row r="33" spans="1:12" ht="15.75" thickBot="1">
      <c r="A33" s="1572" t="s">
        <v>1446</v>
      </c>
      <c r="B33" s="11">
        <v>403.27</v>
      </c>
      <c r="G33" s="714"/>
      <c r="I33" s="11">
        <f>' Enhanced Medical Model'!Y38</f>
        <v>427.03855582109213</v>
      </c>
      <c r="J33" s="1666">
        <f t="shared" si="3"/>
        <v>5.8939558660679327E-2</v>
      </c>
      <c r="K33" s="795"/>
      <c r="L33" s="795">
        <f t="shared" si="5"/>
        <v>0</v>
      </c>
    </row>
    <row r="34" spans="1:12" ht="15.75" thickBot="1">
      <c r="A34" s="1572"/>
      <c r="B34" s="11"/>
      <c r="C34">
        <f>SUM(C5:C30)</f>
        <v>3473327</v>
      </c>
      <c r="D34">
        <f>SUM(D5:D30)</f>
        <v>806320</v>
      </c>
      <c r="E34">
        <f>SUM(E5:E30)</f>
        <v>103719</v>
      </c>
      <c r="G34" s="2253">
        <f>SUM(G5:G30)</f>
        <v>364851227.80000001</v>
      </c>
      <c r="J34" s="2254">
        <f ca="1">AVERAGE(J5:J33)</f>
        <v>0.19251909793651972</v>
      </c>
      <c r="K34" s="795">
        <f ca="1">SUM(K5:K30)</f>
        <v>443369505.32062197</v>
      </c>
      <c r="L34" s="795">
        <f t="shared" ca="1" si="5"/>
        <v>78518277.520621955</v>
      </c>
    </row>
    <row r="35" spans="1:12" ht="15.75" thickBot="1">
      <c r="A35" s="1572"/>
      <c r="B35" s="11"/>
      <c r="J35" s="2254"/>
    </row>
    <row r="36" spans="1:12" ht="15.75" thickBot="1">
      <c r="A36" s="2252" t="s">
        <v>1412</v>
      </c>
      <c r="J36" s="2254"/>
    </row>
    <row r="37" spans="1:12" ht="15.75" thickBot="1">
      <c r="A37" s="1572" t="s">
        <v>1413</v>
      </c>
      <c r="B37" s="1568">
        <v>29.09</v>
      </c>
      <c r="C37">
        <v>14707</v>
      </c>
      <c r="G37" s="796">
        <f>C37*B37</f>
        <v>427826.63</v>
      </c>
      <c r="I37" s="11">
        <f>'Lease Mgmt Add-On'!D26</f>
        <v>34.9</v>
      </c>
      <c r="J37" s="2254">
        <f>(I37-B37)/B37</f>
        <v>0.19972499140598141</v>
      </c>
      <c r="K37" s="795">
        <f>I37*C37</f>
        <v>513274.3</v>
      </c>
    </row>
    <row r="40" spans="1:12">
      <c r="E40" s="10"/>
      <c r="F40" s="10"/>
      <c r="G40" s="2413"/>
      <c r="I40" s="10"/>
      <c r="J40" s="10"/>
      <c r="K40" s="2414"/>
    </row>
    <row r="41" spans="1:12">
      <c r="I41" s="10"/>
      <c r="J41" s="10"/>
      <c r="K41" s="2414"/>
    </row>
    <row r="42" spans="1:12">
      <c r="I42" s="10"/>
      <c r="J42" s="10"/>
      <c r="K42" s="2415"/>
    </row>
    <row r="43" spans="1:12" ht="14.25" customHeight="1"/>
  </sheetData>
  <sheetProtection sheet="1" objects="1" scenarios="1"/>
  <mergeCells count="7">
    <mergeCell ref="J2:J3"/>
    <mergeCell ref="K2:K3"/>
    <mergeCell ref="D2:D3"/>
    <mergeCell ref="E2:E3"/>
    <mergeCell ref="F2:F3"/>
    <mergeCell ref="G2:G3"/>
    <mergeCell ref="I2:I3"/>
  </mergeCells>
  <pageMargins left="0.7" right="0.7" top="0.75" bottom="0.75" header="0.3" footer="0.3"/>
  <pageSetup scale="74"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B118"/>
  <sheetViews>
    <sheetView topLeftCell="A64" zoomScale="80" zoomScaleNormal="80" workbookViewId="0">
      <selection activeCell="S18" sqref="S18"/>
    </sheetView>
  </sheetViews>
  <sheetFormatPr defaultColWidth="9.42578125" defaultRowHeight="17.25"/>
  <cols>
    <col min="1" max="1" width="1.5703125" style="985" customWidth="1"/>
    <col min="2" max="2" width="38" style="985" customWidth="1"/>
    <col min="3" max="3" width="17" style="985" customWidth="1"/>
    <col min="4" max="4" width="23.5703125" style="985" customWidth="1"/>
    <col min="5" max="5" width="15.42578125" style="985" customWidth="1"/>
    <col min="6" max="6" width="15.140625" style="933" hidden="1" customWidth="1"/>
    <col min="7" max="7" width="13.42578125" style="985" customWidth="1"/>
    <col min="8" max="8" width="58.140625" style="1187" customWidth="1"/>
    <col min="9" max="9" width="1.5703125" style="985" customWidth="1"/>
    <col min="10" max="10" width="35.42578125" style="1190" bestFit="1" customWidth="1"/>
    <col min="11" max="11" width="11.5703125" style="1190" customWidth="1"/>
    <col min="12" max="13" width="14.42578125" style="1190" customWidth="1"/>
    <col min="14" max="14" width="13.42578125" style="1190" customWidth="1"/>
    <col min="15" max="15" width="21.42578125" style="1190" bestFit="1" customWidth="1"/>
    <col min="16" max="16" width="1.5703125" style="985" customWidth="1"/>
    <col min="17" max="17" width="20.140625" style="1400" customWidth="1"/>
    <col min="18" max="18" width="9.42578125" style="985"/>
    <col min="19" max="19" width="10.5703125" style="985" bestFit="1" customWidth="1"/>
    <col min="20" max="16384" width="9.42578125" style="985"/>
  </cols>
  <sheetData>
    <row r="1" spans="2:17" ht="18" thickBot="1">
      <c r="B1" s="2541" t="s">
        <v>546</v>
      </c>
      <c r="C1" s="2541"/>
      <c r="D1" s="2541"/>
      <c r="E1" s="2541"/>
      <c r="F1" s="2541"/>
      <c r="G1" s="2541"/>
      <c r="H1" s="2541"/>
      <c r="I1" s="1977"/>
      <c r="J1" s="1978"/>
    </row>
    <row r="2" spans="2:17" ht="15.6" customHeight="1" thickBot="1">
      <c r="J2" s="1979" t="s">
        <v>481</v>
      </c>
    </row>
    <row r="3" spans="2:17" ht="13.5" thickBot="1">
      <c r="B3" s="1980" t="s">
        <v>0</v>
      </c>
      <c r="C3" s="1981"/>
      <c r="D3" s="1982" t="s">
        <v>1</v>
      </c>
      <c r="E3" s="1983" t="s">
        <v>2</v>
      </c>
      <c r="F3" s="1984"/>
      <c r="G3" s="1985"/>
      <c r="H3" s="1986"/>
      <c r="I3" s="1987"/>
      <c r="J3" s="1988" t="s">
        <v>547</v>
      </c>
      <c r="K3" s="1989"/>
      <c r="L3" s="1989"/>
      <c r="M3" s="1989"/>
      <c r="N3" s="1989"/>
      <c r="O3" s="1990"/>
    </row>
    <row r="4" spans="2:17" ht="12.75">
      <c r="B4" s="1091" t="s">
        <v>370</v>
      </c>
      <c r="D4" s="1400">
        <v>15</v>
      </c>
      <c r="E4" s="1380">
        <f>D4*8</f>
        <v>120</v>
      </c>
      <c r="F4" s="1984"/>
      <c r="G4" s="1985"/>
      <c r="H4" s="1991"/>
      <c r="I4" s="1400"/>
      <c r="J4" s="1980" t="s">
        <v>277</v>
      </c>
      <c r="K4" s="1992">
        <v>100</v>
      </c>
      <c r="L4" s="1981"/>
      <c r="M4" s="1981"/>
      <c r="N4" s="1993"/>
      <c r="O4" s="1994"/>
    </row>
    <row r="5" spans="2:17" ht="12.75">
      <c r="B5" s="1091" t="s">
        <v>371</v>
      </c>
      <c r="D5" s="1400">
        <v>8</v>
      </c>
      <c r="E5" s="1380">
        <f>D5*8</f>
        <v>64</v>
      </c>
      <c r="F5" s="1984"/>
      <c r="G5" s="1985"/>
      <c r="H5" s="1991"/>
      <c r="I5" s="1400"/>
      <c r="J5" s="848" t="s">
        <v>133</v>
      </c>
      <c r="K5" s="1995">
        <f>K4*365</f>
        <v>36500</v>
      </c>
      <c r="L5" s="985"/>
      <c r="M5" s="985"/>
      <c r="N5" s="985"/>
      <c r="O5" s="1401"/>
    </row>
    <row r="6" spans="2:17" ht="12.75">
      <c r="B6" s="1091" t="s">
        <v>372</v>
      </c>
      <c r="D6" s="1400">
        <v>11</v>
      </c>
      <c r="E6" s="1380">
        <f>D6*8</f>
        <v>88</v>
      </c>
      <c r="F6" s="1984"/>
      <c r="G6" s="1985"/>
      <c r="H6" s="1991"/>
      <c r="I6" s="1400"/>
      <c r="J6" s="1403"/>
      <c r="K6" s="1996"/>
      <c r="L6" s="1404" t="s">
        <v>5</v>
      </c>
      <c r="M6" s="1404"/>
      <c r="N6" s="1404" t="s">
        <v>6</v>
      </c>
      <c r="O6" s="1405" t="s">
        <v>7</v>
      </c>
    </row>
    <row r="7" spans="2:17" ht="12.75">
      <c r="B7" s="2328" t="s">
        <v>902</v>
      </c>
      <c r="C7" s="1450"/>
      <c r="D7" s="1400">
        <v>5</v>
      </c>
      <c r="E7" s="1381">
        <f>D7*8</f>
        <v>40</v>
      </c>
      <c r="F7" s="1984"/>
      <c r="G7" s="1985"/>
      <c r="H7" s="1991"/>
      <c r="I7" s="1400"/>
      <c r="J7" s="848" t="s">
        <v>29</v>
      </c>
      <c r="K7" s="1997"/>
      <c r="L7" s="1998"/>
      <c r="M7" s="1998"/>
      <c r="N7" s="1998"/>
      <c r="O7" s="1999"/>
    </row>
    <row r="8" spans="2:17" ht="12.75">
      <c r="B8" s="1091"/>
      <c r="D8" s="1382" t="s">
        <v>3</v>
      </c>
      <c r="E8" s="1380">
        <f>SUM(E4:E7)</f>
        <v>312</v>
      </c>
      <c r="F8" s="1984"/>
      <c r="G8" s="1985"/>
      <c r="H8" s="1991"/>
      <c r="I8" s="1400"/>
      <c r="J8" s="1091" t="s">
        <v>43</v>
      </c>
      <c r="K8" s="1410"/>
      <c r="L8" s="1411">
        <f>E13</f>
        <v>79415.232000000018</v>
      </c>
      <c r="M8" s="1411"/>
      <c r="N8" s="1412">
        <f>C13</f>
        <v>1</v>
      </c>
      <c r="O8" s="1413">
        <f>N8*L8</f>
        <v>79415.232000000018</v>
      </c>
    </row>
    <row r="9" spans="2:17" ht="13.5" thickBot="1">
      <c r="B9" s="1383"/>
      <c r="C9" s="1168"/>
      <c r="D9" s="1384" t="s">
        <v>4</v>
      </c>
      <c r="E9" s="1385">
        <f>E8/(52*40)</f>
        <v>0.15</v>
      </c>
      <c r="F9" s="1984"/>
      <c r="G9" s="1985"/>
      <c r="H9" s="2000"/>
      <c r="I9" s="1482"/>
      <c r="J9" s="1091" t="s">
        <v>134</v>
      </c>
      <c r="K9" s="1410"/>
      <c r="L9" s="1411">
        <f>E14</f>
        <v>80606.448000000004</v>
      </c>
      <c r="M9" s="1411"/>
      <c r="N9" s="1412">
        <f>C14</f>
        <v>1</v>
      </c>
      <c r="O9" s="1413">
        <f>N9*L9</f>
        <v>80606.448000000004</v>
      </c>
    </row>
    <row r="10" spans="2:17" ht="15.6" customHeight="1" thickBot="1">
      <c r="J10" s="1091" t="str">
        <f>B15</f>
        <v xml:space="preserve">Program Functional Oversight </v>
      </c>
      <c r="K10" s="1410"/>
      <c r="L10" s="1411">
        <f>E15</f>
        <v>74264</v>
      </c>
      <c r="M10" s="1411"/>
      <c r="N10" s="1412">
        <f>C15</f>
        <v>0.1</v>
      </c>
      <c r="O10" s="1413">
        <f>N10*L10</f>
        <v>7426.4000000000005</v>
      </c>
    </row>
    <row r="11" spans="2:17" ht="38.25">
      <c r="B11" s="2329"/>
      <c r="C11" s="2330" t="s">
        <v>550</v>
      </c>
      <c r="D11" s="2330" t="s">
        <v>555</v>
      </c>
      <c r="E11" s="2330" t="s">
        <v>41</v>
      </c>
      <c r="F11" s="856" t="s">
        <v>1157</v>
      </c>
      <c r="G11" s="2330"/>
      <c r="H11" s="2331" t="s">
        <v>278</v>
      </c>
      <c r="I11" s="1313"/>
      <c r="J11" s="848" t="s">
        <v>30</v>
      </c>
      <c r="K11" s="1410"/>
      <c r="L11" s="1411"/>
      <c r="M11" s="1411"/>
      <c r="N11" s="1412"/>
      <c r="O11" s="1413"/>
    </row>
    <row r="12" spans="2:17" ht="12.75">
      <c r="B12" s="2001" t="s">
        <v>29</v>
      </c>
      <c r="C12" s="1313"/>
      <c r="E12" s="1409"/>
      <c r="F12" s="1387"/>
      <c r="G12" s="1409"/>
      <c r="H12" s="484"/>
      <c r="I12" s="1313"/>
      <c r="J12" s="1091" t="s">
        <v>38</v>
      </c>
      <c r="K12" s="1410"/>
      <c r="L12" s="1411">
        <f>E17</f>
        <v>247470</v>
      </c>
      <c r="M12" s="1411"/>
      <c r="N12" s="1412">
        <f>C17</f>
        <v>0.1</v>
      </c>
      <c r="O12" s="1413">
        <f>N12*L12</f>
        <v>24747</v>
      </c>
      <c r="Q12" s="1400">
        <v>0.05</v>
      </c>
    </row>
    <row r="13" spans="2:17" ht="12.75">
      <c r="B13" s="1345" t="s">
        <v>43</v>
      </c>
      <c r="C13" s="1408">
        <v>1</v>
      </c>
      <c r="D13" s="1408">
        <v>1</v>
      </c>
      <c r="E13" s="1409">
        <f>'M2022 BLS SALARY CHART (53_PCT)'!C22</f>
        <v>79415.232000000018</v>
      </c>
      <c r="F13" s="1387">
        <v>62573.393248784203</v>
      </c>
      <c r="G13" s="1409"/>
      <c r="H13" s="484" t="s">
        <v>1401</v>
      </c>
      <c r="I13" s="1313"/>
      <c r="J13" s="1399" t="s">
        <v>44</v>
      </c>
      <c r="K13" s="1460"/>
      <c r="L13" s="1411">
        <f>E18</f>
        <v>80606.448000000004</v>
      </c>
      <c r="M13" s="1411"/>
      <c r="N13" s="1412">
        <f>C18</f>
        <v>3.5999999999999996</v>
      </c>
      <c r="O13" s="1413">
        <f>N13*L13</f>
        <v>290183.21279999998</v>
      </c>
    </row>
    <row r="14" spans="2:17" ht="12.75">
      <c r="B14" s="1345" t="s">
        <v>134</v>
      </c>
      <c r="C14" s="1408">
        <v>1</v>
      </c>
      <c r="D14" s="1408">
        <v>1</v>
      </c>
      <c r="E14" s="1409">
        <f>'M2022 BLS SALARY CHART (53_PCT)'!C18</f>
        <v>80606.448000000004</v>
      </c>
      <c r="F14" s="1387">
        <v>60923</v>
      </c>
      <c r="G14" s="1409"/>
      <c r="H14" s="484" t="s">
        <v>1401</v>
      </c>
      <c r="I14" s="1313"/>
      <c r="J14" s="1091" t="s">
        <v>45</v>
      </c>
      <c r="K14" s="1410"/>
      <c r="L14" s="1411">
        <f>E19</f>
        <v>102258.624</v>
      </c>
      <c r="M14" s="1411"/>
      <c r="N14" s="1412">
        <f>C19</f>
        <v>1</v>
      </c>
      <c r="O14" s="1413">
        <f>N14*L14</f>
        <v>102258.624</v>
      </c>
    </row>
    <row r="15" spans="2:17" ht="12.75">
      <c r="B15" s="1345" t="s">
        <v>1327</v>
      </c>
      <c r="C15" s="1408">
        <v>0.1</v>
      </c>
      <c r="D15" s="1408">
        <v>0.1</v>
      </c>
      <c r="E15" s="1409">
        <v>74264</v>
      </c>
      <c r="F15" s="1387">
        <v>92496.84919424048</v>
      </c>
      <c r="G15" s="1409"/>
      <c r="H15" s="484" t="s">
        <v>1328</v>
      </c>
      <c r="I15" s="1313"/>
      <c r="J15" s="1091" t="str">
        <f>B20</f>
        <v xml:space="preserve">    Substance Abuse Counselor/ LCSW</v>
      </c>
      <c r="K15" s="1410"/>
      <c r="L15" s="1411">
        <f>E20</f>
        <v>64330.864000000001</v>
      </c>
      <c r="M15" s="1411"/>
      <c r="N15" s="1412">
        <f>C20</f>
        <v>1</v>
      </c>
      <c r="O15" s="1413">
        <f>N15*L15</f>
        <v>64330.864000000001</v>
      </c>
      <c r="P15" s="1398"/>
      <c r="Q15" s="2154"/>
    </row>
    <row r="16" spans="2:17" ht="12.75">
      <c r="B16" s="2001" t="s">
        <v>30</v>
      </c>
      <c r="C16" s="1408"/>
      <c r="D16" s="1408"/>
      <c r="E16" s="1409"/>
      <c r="F16" s="1387"/>
      <c r="G16" s="1409"/>
      <c r="H16" s="484"/>
      <c r="I16" s="1313"/>
      <c r="J16" s="848" t="s">
        <v>31</v>
      </c>
      <c r="K16" s="1410"/>
      <c r="L16" s="1411"/>
      <c r="M16" s="1411"/>
      <c r="N16" s="1412"/>
      <c r="O16" s="1413"/>
    </row>
    <row r="17" spans="2:28" ht="12.75">
      <c r="B17" s="1345" t="s">
        <v>38</v>
      </c>
      <c r="C17" s="1408">
        <f>0.05+0.05</f>
        <v>0.1</v>
      </c>
      <c r="D17" s="1408">
        <f>0.05+0.05</f>
        <v>0.1</v>
      </c>
      <c r="E17" s="1409">
        <f>'M2022 BLS SALARY CHART (53_PCT)'!C44</f>
        <v>247470</v>
      </c>
      <c r="F17" s="1387">
        <v>208323.9231935351</v>
      </c>
      <c r="G17" s="1409"/>
      <c r="H17" s="484" t="s">
        <v>1401</v>
      </c>
      <c r="I17" s="1313"/>
      <c r="J17" s="1091" t="s">
        <v>388</v>
      </c>
      <c r="K17" s="1410"/>
      <c r="L17" s="1411">
        <f t="shared" ref="L17:L22" si="0">E22</f>
        <v>53206.566400000003</v>
      </c>
      <c r="M17" s="1411"/>
      <c r="N17" s="1412">
        <f t="shared" ref="N17:N22" si="1">C22</f>
        <v>4</v>
      </c>
      <c r="O17" s="1413">
        <f t="shared" ref="O17:O22" si="2">N17*L17</f>
        <v>212826.26560000001</v>
      </c>
      <c r="Q17" s="1457">
        <v>2</v>
      </c>
    </row>
    <row r="18" spans="2:28" ht="12.75">
      <c r="B18" s="2332" t="s">
        <v>44</v>
      </c>
      <c r="C18" s="1418">
        <v>3.5999999999999996</v>
      </c>
      <c r="D18" s="1418">
        <v>3.5999999999999996</v>
      </c>
      <c r="E18" s="1409">
        <f>'M2022 BLS SALARY CHART (53_PCT)'!C18</f>
        <v>80606.448000000004</v>
      </c>
      <c r="F18" s="1387">
        <v>60923.199999999997</v>
      </c>
      <c r="G18" s="1409"/>
      <c r="H18" s="484" t="s">
        <v>1401</v>
      </c>
      <c r="I18" s="1313"/>
      <c r="J18" s="1091" t="str">
        <f>B23</f>
        <v xml:space="preserve">    Direct Care</v>
      </c>
      <c r="K18" s="1460"/>
      <c r="L18" s="1411">
        <f t="shared" si="0"/>
        <v>41600</v>
      </c>
      <c r="M18" s="1817"/>
      <c r="N18" s="2173">
        <f t="shared" si="1"/>
        <v>4</v>
      </c>
      <c r="O18" s="1461">
        <f t="shared" si="2"/>
        <v>166400</v>
      </c>
      <c r="P18" s="1398"/>
      <c r="Q18" s="2159">
        <v>6</v>
      </c>
    </row>
    <row r="19" spans="2:28" ht="12.75">
      <c r="B19" s="1345" t="s">
        <v>45</v>
      </c>
      <c r="C19" s="1408">
        <v>1</v>
      </c>
      <c r="D19" s="1408">
        <v>1</v>
      </c>
      <c r="E19" s="1409">
        <f>'M2022 BLS SALARY CHART (53_PCT)'!C32</f>
        <v>102258.624</v>
      </c>
      <c r="F19" s="1387">
        <v>86860.800000000003</v>
      </c>
      <c r="G19" s="1409"/>
      <c r="H19" s="484" t="s">
        <v>1401</v>
      </c>
      <c r="I19" s="1313"/>
      <c r="J19" s="1091" t="str">
        <f>B24</f>
        <v xml:space="preserve">    Housing Coordinator/DC III</v>
      </c>
      <c r="K19" s="1410"/>
      <c r="L19" s="1411">
        <f t="shared" si="0"/>
        <v>53206.566400000003</v>
      </c>
      <c r="M19" s="1411"/>
      <c r="N19" s="1412">
        <f t="shared" si="1"/>
        <v>1</v>
      </c>
      <c r="O19" s="1413">
        <f t="shared" si="2"/>
        <v>53206.566400000003</v>
      </c>
      <c r="P19" s="1398"/>
      <c r="Q19" s="1457">
        <v>1</v>
      </c>
    </row>
    <row r="20" spans="2:28" ht="12.75">
      <c r="B20" s="1345" t="s">
        <v>1255</v>
      </c>
      <c r="C20" s="1408">
        <v>1</v>
      </c>
      <c r="D20" s="1408">
        <v>1</v>
      </c>
      <c r="E20" s="1409">
        <f>'M2022 BLS SALARY CHART (53_PCT)'!C14</f>
        <v>64330.864000000001</v>
      </c>
      <c r="F20" s="1387">
        <v>43971.200000000004</v>
      </c>
      <c r="G20" s="1409"/>
      <c r="H20" s="484" t="s">
        <v>1401</v>
      </c>
      <c r="I20" s="1313"/>
      <c r="J20" s="1091" t="str">
        <f>B25</f>
        <v xml:space="preserve">    Peer &amp; Family Specialist-DCIII</v>
      </c>
      <c r="K20" s="1410"/>
      <c r="L20" s="1411">
        <f t="shared" si="0"/>
        <v>53206.566400000003</v>
      </c>
      <c r="M20" s="1411"/>
      <c r="N20" s="1412">
        <f t="shared" si="1"/>
        <v>0.75</v>
      </c>
      <c r="O20" s="1413">
        <f>N20*L20</f>
        <v>39904.924800000001</v>
      </c>
      <c r="P20" s="1398"/>
      <c r="Q20" s="1457">
        <v>0.75</v>
      </c>
    </row>
    <row r="21" spans="2:28" ht="12.75">
      <c r="B21" s="2001" t="s">
        <v>31</v>
      </c>
      <c r="C21" s="1408"/>
      <c r="D21" s="1408"/>
      <c r="E21" s="1409"/>
      <c r="F21" s="1387"/>
      <c r="G21" s="1409"/>
      <c r="H21" s="484"/>
      <c r="I21" s="1313"/>
      <c r="J21" s="1091" t="str">
        <f>B26</f>
        <v xml:space="preserve">    Peer &amp; Family Specialist</v>
      </c>
      <c r="K21" s="1410"/>
      <c r="L21" s="1411">
        <f t="shared" si="0"/>
        <v>41600</v>
      </c>
      <c r="M21" s="1411"/>
      <c r="N21" s="1412">
        <f t="shared" si="1"/>
        <v>2.25</v>
      </c>
      <c r="O21" s="1413">
        <f t="shared" si="2"/>
        <v>93600</v>
      </c>
      <c r="P21" s="1398"/>
      <c r="Q21" s="1457">
        <v>2.25</v>
      </c>
    </row>
    <row r="22" spans="2:28" ht="12.75">
      <c r="B22" s="2002" t="s">
        <v>388</v>
      </c>
      <c r="C22" s="1408">
        <v>4</v>
      </c>
      <c r="D22" s="1408">
        <v>0</v>
      </c>
      <c r="E22" s="1409">
        <f>'M2022 BLS SALARY CHART (53_PCT)'!C8</f>
        <v>53206.566400000003</v>
      </c>
      <c r="F22" s="1387">
        <v>41516.800000000003</v>
      </c>
      <c r="G22" s="1409"/>
      <c r="H22" s="484" t="s">
        <v>1401</v>
      </c>
      <c r="I22" s="1313"/>
      <c r="J22" s="1091" t="s">
        <v>32</v>
      </c>
      <c r="K22" s="1410"/>
      <c r="L22" s="1411">
        <f t="shared" si="0"/>
        <v>47403.283200000005</v>
      </c>
      <c r="M22" s="1411"/>
      <c r="N22" s="1412">
        <f t="shared" si="1"/>
        <v>1.23</v>
      </c>
      <c r="O22" s="1413">
        <f t="shared" si="2"/>
        <v>58306.038336000005</v>
      </c>
      <c r="P22" s="1398"/>
      <c r="Q22" s="1457">
        <v>1.23</v>
      </c>
    </row>
    <row r="23" spans="2:28" ht="12.75">
      <c r="B23" s="2002" t="s">
        <v>972</v>
      </c>
      <c r="C23" s="1408">
        <v>4</v>
      </c>
      <c r="D23" s="1408">
        <v>0</v>
      </c>
      <c r="E23" s="1409">
        <f>'M2022 BLS SALARY CHART (53_PCT)'!C6</f>
        <v>41600</v>
      </c>
      <c r="F23" s="1387">
        <v>32198.400000000001</v>
      </c>
      <c r="G23" s="1409"/>
      <c r="H23" s="484" t="s">
        <v>1401</v>
      </c>
      <c r="I23" s="1313"/>
      <c r="J23" s="848" t="s">
        <v>33</v>
      </c>
      <c r="K23" s="1410"/>
      <c r="L23" s="1411"/>
      <c r="M23" s="1411"/>
      <c r="N23" s="1412"/>
      <c r="O23" s="1413"/>
      <c r="P23" s="1398"/>
      <c r="Q23" s="1457"/>
    </row>
    <row r="24" spans="2:28" ht="12.75">
      <c r="B24" s="1345" t="s">
        <v>945</v>
      </c>
      <c r="C24" s="1408">
        <v>1</v>
      </c>
      <c r="D24" s="1408">
        <v>1</v>
      </c>
      <c r="E24" s="1409">
        <f>'M2022 BLS SALARY CHART (53_PCT)'!C8</f>
        <v>53206.566400000003</v>
      </c>
      <c r="F24" s="1387">
        <v>41516.800000000003</v>
      </c>
      <c r="G24" s="1409"/>
      <c r="H24" s="484" t="s">
        <v>1401</v>
      </c>
      <c r="I24" s="1313"/>
      <c r="J24" s="1091" t="s">
        <v>34</v>
      </c>
      <c r="K24" s="2003"/>
      <c r="L24" s="1810">
        <f>E29</f>
        <v>41600</v>
      </c>
      <c r="M24" s="1411"/>
      <c r="N24" s="1412">
        <f>C29</f>
        <v>1</v>
      </c>
      <c r="O24" s="1413">
        <f>N24*L24</f>
        <v>41600</v>
      </c>
      <c r="P24" s="1398"/>
      <c r="Q24" s="1457"/>
    </row>
    <row r="25" spans="2:28" ht="12.75">
      <c r="B25" s="1345" t="s">
        <v>1253</v>
      </c>
      <c r="C25" s="1408">
        <v>0.75</v>
      </c>
      <c r="D25" s="1408">
        <v>0.75</v>
      </c>
      <c r="E25" s="1409">
        <f>'M2022 BLS SALARY CHART (53_PCT)'!C8</f>
        <v>53206.566400000003</v>
      </c>
      <c r="F25" s="1387">
        <v>41516.800000000003</v>
      </c>
      <c r="G25" s="1409"/>
      <c r="H25" s="484" t="s">
        <v>1401</v>
      </c>
      <c r="I25" s="1313"/>
      <c r="J25" s="1419" t="s">
        <v>13</v>
      </c>
      <c r="K25" s="1420"/>
      <c r="L25" s="2004"/>
      <c r="M25" s="2004"/>
      <c r="N25" s="1135">
        <f>SUM(N8:N24)</f>
        <v>22.03</v>
      </c>
      <c r="O25" s="1421">
        <f>SUM(O8:O24)</f>
        <v>1314811.5759359999</v>
      </c>
      <c r="P25" s="1398"/>
    </row>
    <row r="26" spans="2:28" ht="12.75">
      <c r="B26" s="1345" t="s">
        <v>46</v>
      </c>
      <c r="C26" s="1408">
        <v>2.25</v>
      </c>
      <c r="D26" s="1408">
        <v>2.25</v>
      </c>
      <c r="E26" s="1409">
        <f>'M2022 BLS SALARY CHART (53_PCT)'!C6</f>
        <v>41600</v>
      </c>
      <c r="F26" s="1387">
        <v>32198.400000000001</v>
      </c>
      <c r="G26" s="1969"/>
      <c r="H26" s="484" t="s">
        <v>1401</v>
      </c>
      <c r="I26" s="1313"/>
      <c r="J26" s="848" t="s">
        <v>374</v>
      </c>
      <c r="K26" s="985"/>
      <c r="L26" s="985"/>
      <c r="M26" s="985"/>
      <c r="N26" s="1398" t="s">
        <v>16</v>
      </c>
      <c r="O26" s="1401"/>
      <c r="P26" s="1398"/>
      <c r="AB26" s="2005"/>
    </row>
    <row r="27" spans="2:28" ht="25.5">
      <c r="B27" s="1345" t="s">
        <v>32</v>
      </c>
      <c r="C27" s="1408">
        <v>1.23</v>
      </c>
      <c r="D27" s="1408">
        <v>0</v>
      </c>
      <c r="E27" s="1409">
        <f>AVERAGE(E22:E23)</f>
        <v>47403.283200000005</v>
      </c>
      <c r="F27" s="1387">
        <v>32198.400000000001</v>
      </c>
      <c r="G27" s="1409"/>
      <c r="H27" s="484" t="s">
        <v>1400</v>
      </c>
      <c r="I27" s="1313"/>
      <c r="J27" s="1091" t="s">
        <v>17</v>
      </c>
      <c r="K27" s="985"/>
      <c r="L27" s="1811">
        <f>E32</f>
        <v>0.27379999999999999</v>
      </c>
      <c r="M27" s="1811"/>
      <c r="N27" s="985"/>
      <c r="O27" s="1422">
        <f>O25*L27</f>
        <v>359995.40949127672</v>
      </c>
      <c r="P27" s="1398"/>
    </row>
    <row r="28" spans="2:28" ht="12.75">
      <c r="B28" s="2001" t="s">
        <v>33</v>
      </c>
      <c r="C28" s="1408"/>
      <c r="D28" s="1408"/>
      <c r="E28" s="1409"/>
      <c r="F28" s="1387"/>
      <c r="G28" s="1409"/>
      <c r="H28" s="484"/>
      <c r="I28" s="1313"/>
      <c r="J28" s="1419" t="s">
        <v>18</v>
      </c>
      <c r="K28" s="1420"/>
      <c r="L28" s="1420"/>
      <c r="M28" s="1420"/>
      <c r="N28" s="1423"/>
      <c r="O28" s="1424">
        <f>SUM(O25:O27)</f>
        <v>1674806.9854272767</v>
      </c>
    </row>
    <row r="29" spans="2:28" ht="12.75">
      <c r="B29" s="1345" t="s">
        <v>34</v>
      </c>
      <c r="C29" s="1408">
        <v>1</v>
      </c>
      <c r="D29" s="1408">
        <v>1</v>
      </c>
      <c r="E29" s="1409">
        <f>'M2022 BLS SALARY CHART (53_PCT)'!C6</f>
        <v>41600</v>
      </c>
      <c r="F29" s="1387">
        <v>32198.400000000001</v>
      </c>
      <c r="G29" s="1409"/>
      <c r="H29" s="484" t="s">
        <v>1401</v>
      </c>
      <c r="I29" s="1313"/>
      <c r="J29" s="1403" t="s">
        <v>478</v>
      </c>
      <c r="K29" s="1425"/>
      <c r="L29" s="1404" t="s">
        <v>19</v>
      </c>
      <c r="M29" s="1404"/>
      <c r="N29" s="1426" t="s">
        <v>2</v>
      </c>
      <c r="O29" s="1427" t="s">
        <v>7</v>
      </c>
      <c r="P29" s="1398"/>
      <c r="AB29" s="2005"/>
    </row>
    <row r="30" spans="2:28" ht="12.75">
      <c r="B30" s="1345"/>
      <c r="C30" s="2333"/>
      <c r="D30" s="2333"/>
      <c r="E30" s="1409"/>
      <c r="F30" s="1387"/>
      <c r="G30" s="1496"/>
      <c r="H30" s="484"/>
      <c r="I30" s="1313"/>
      <c r="J30" s="2006" t="s">
        <v>977</v>
      </c>
      <c r="K30" s="1398"/>
      <c r="L30" s="1877">
        <f>E35</f>
        <v>136.75</v>
      </c>
      <c r="M30" s="1877"/>
      <c r="N30" s="1429">
        <f>55+104</f>
        <v>159</v>
      </c>
      <c r="O30" s="1422">
        <f>N30*L30</f>
        <v>21743.25</v>
      </c>
      <c r="Q30" s="2155"/>
    </row>
    <row r="31" spans="2:28" ht="12.75">
      <c r="B31" s="1091"/>
      <c r="E31" s="2334" t="s">
        <v>42</v>
      </c>
      <c r="H31" s="1416"/>
      <c r="I31" s="1430"/>
      <c r="J31" s="2006" t="s">
        <v>11</v>
      </c>
      <c r="K31" s="1398"/>
      <c r="L31" s="1877">
        <f>E36</f>
        <v>55.04</v>
      </c>
      <c r="M31" s="1877"/>
      <c r="N31" s="1429">
        <v>55</v>
      </c>
      <c r="O31" s="1422">
        <f>N31*L31</f>
        <v>3027.2</v>
      </c>
      <c r="Q31" s="2155"/>
    </row>
    <row r="32" spans="2:28" ht="16.5" thickBot="1">
      <c r="B32" s="1345" t="s">
        <v>434</v>
      </c>
      <c r="C32" s="1313"/>
      <c r="D32" s="1428"/>
      <c r="E32" s="1428">
        <f>'M2022 BLS SALARY CHART (53_PCT)'!C38</f>
        <v>0.27379999999999999</v>
      </c>
      <c r="G32" s="1428"/>
      <c r="H32" s="2335" t="s">
        <v>1406</v>
      </c>
      <c r="I32" s="1433"/>
      <c r="J32" s="1419" t="s">
        <v>21</v>
      </c>
      <c r="K32" s="1431"/>
      <c r="L32" s="1431"/>
      <c r="M32" s="1431"/>
      <c r="N32" s="1431"/>
      <c r="O32" s="1424">
        <f>SUM(O30:O31)</f>
        <v>24770.45</v>
      </c>
      <c r="Q32" s="2155"/>
    </row>
    <row r="33" spans="2:19" ht="12.75">
      <c r="B33" s="1345"/>
      <c r="C33" s="1313"/>
      <c r="D33" s="1433"/>
      <c r="E33" s="1408"/>
      <c r="F33" s="2336"/>
      <c r="G33" s="1408"/>
      <c r="H33" s="2337"/>
      <c r="I33" s="1433"/>
      <c r="J33" s="1980" t="s">
        <v>367</v>
      </c>
      <c r="K33" s="1483"/>
      <c r="L33" s="1981" t="s">
        <v>423</v>
      </c>
      <c r="M33" s="1981" t="s">
        <v>368</v>
      </c>
      <c r="N33" s="1981"/>
      <c r="O33" s="2007"/>
      <c r="Q33" s="2155"/>
    </row>
    <row r="34" spans="2:19" ht="12.75">
      <c r="B34" s="1091"/>
      <c r="E34" s="2338" t="s">
        <v>328</v>
      </c>
      <c r="F34" s="1393"/>
      <c r="G34" s="2338"/>
      <c r="H34" s="2339"/>
      <c r="I34" s="1433"/>
      <c r="J34" s="2008" t="s">
        <v>440</v>
      </c>
      <c r="K34" s="985"/>
      <c r="L34" s="2009">
        <f>E40</f>
        <v>25.667548076800003</v>
      </c>
      <c r="M34" s="985"/>
      <c r="N34" s="985"/>
      <c r="O34" s="1422">
        <f>L34*G70</f>
        <v>43506.493990176008</v>
      </c>
      <c r="Q34" s="2155"/>
    </row>
    <row r="35" spans="2:19" ht="12.75">
      <c r="B35" s="1345" t="s">
        <v>125</v>
      </c>
      <c r="C35" s="1971"/>
      <c r="D35" s="1408">
        <f>55/52</f>
        <v>1.0576923076923077</v>
      </c>
      <c r="E35" s="1358">
        <v>136.75</v>
      </c>
      <c r="F35" s="1394">
        <f>135.32</f>
        <v>135.32</v>
      </c>
      <c r="G35" s="1969"/>
      <c r="H35" s="2337" t="s">
        <v>1254</v>
      </c>
      <c r="I35" s="1433"/>
      <c r="J35" s="1091" t="s">
        <v>441</v>
      </c>
      <c r="K35" s="985"/>
      <c r="L35" s="985"/>
      <c r="M35" s="1206">
        <f>E41</f>
        <v>366.40800000000002</v>
      </c>
      <c r="N35" s="1206"/>
      <c r="O35" s="1422">
        <f>M35*N25</f>
        <v>8071.9682400000011</v>
      </c>
      <c r="Q35" s="2155"/>
    </row>
    <row r="36" spans="2:19" ht="12.75">
      <c r="B36" s="1345" t="s">
        <v>123</v>
      </c>
      <c r="C36" s="1313"/>
      <c r="D36" s="1408">
        <f>55/52</f>
        <v>1.0576923076923077</v>
      </c>
      <c r="E36" s="1358">
        <v>55.04</v>
      </c>
      <c r="F36" s="1394">
        <f>52.16*(1+7.68%)</f>
        <v>56.165887999999995</v>
      </c>
      <c r="G36" s="1969"/>
      <c r="H36" s="2337" t="s">
        <v>1254</v>
      </c>
      <c r="I36" s="1433"/>
      <c r="J36" s="1091" t="s">
        <v>443</v>
      </c>
      <c r="K36" s="985"/>
      <c r="L36" s="985"/>
      <c r="M36" s="1206">
        <f>E42</f>
        <v>604.53</v>
      </c>
      <c r="N36" s="1206"/>
      <c r="O36" s="1422">
        <f>M36*N25</f>
        <v>13317.795900000001</v>
      </c>
      <c r="Q36" s="2156"/>
      <c r="S36" s="1092"/>
    </row>
    <row r="37" spans="2:19" ht="12.75">
      <c r="B37" s="1345"/>
      <c r="C37" s="1313"/>
      <c r="D37" s="1313"/>
      <c r="H37" s="484"/>
      <c r="I37" s="1433"/>
      <c r="J37" s="1091" t="s">
        <v>454</v>
      </c>
      <c r="K37" s="985"/>
      <c r="L37" s="985"/>
      <c r="M37" s="1206">
        <f ca="1">E43</f>
        <v>693.71474143152727</v>
      </c>
      <c r="N37" s="1206"/>
      <c r="O37" s="1422">
        <f ca="1">M37*N25</f>
        <v>15282.535753736547</v>
      </c>
      <c r="Q37" s="2155"/>
      <c r="S37" s="1092"/>
    </row>
    <row r="38" spans="2:19" ht="13.5" thickBot="1">
      <c r="B38" s="1345"/>
      <c r="C38" s="1313"/>
      <c r="D38" s="1430"/>
      <c r="E38" s="2338" t="s">
        <v>367</v>
      </c>
      <c r="F38" s="1393"/>
      <c r="G38" s="2338"/>
      <c r="H38" s="484"/>
      <c r="I38" s="1433"/>
      <c r="J38" s="1091" t="str">
        <f>B39</f>
        <v xml:space="preserve">  Cultural Facilitator</v>
      </c>
      <c r="K38" s="985"/>
      <c r="L38" s="985"/>
      <c r="M38" s="1614"/>
      <c r="N38" s="1206"/>
      <c r="O38" s="1472">
        <f>E39*0.82</f>
        <v>28640.435199999993</v>
      </c>
      <c r="Q38" s="2155"/>
    </row>
    <row r="39" spans="2:19" ht="13.5" thickTop="1">
      <c r="B39" s="1345" t="s">
        <v>944</v>
      </c>
      <c r="C39" s="1408"/>
      <c r="D39" s="1408"/>
      <c r="E39" s="1409">
        <f>'M2020 BLS  SALARY CHART'!C6</f>
        <v>34927.359999999993</v>
      </c>
      <c r="G39" s="1969"/>
      <c r="H39" s="484" t="s">
        <v>1100</v>
      </c>
      <c r="I39" s="1433"/>
      <c r="J39" s="1403" t="s">
        <v>375</v>
      </c>
      <c r="K39" s="1425"/>
      <c r="L39" s="1425"/>
      <c r="M39" s="1425"/>
      <c r="N39" s="2010"/>
      <c r="O39" s="1526">
        <f ca="1">SUM(O34:O38)</f>
        <v>108819.22908391255</v>
      </c>
      <c r="Q39" s="2157"/>
    </row>
    <row r="40" spans="2:19" ht="12.75">
      <c r="B40" s="1345" t="s">
        <v>440</v>
      </c>
      <c r="C40" s="1313"/>
      <c r="D40" s="2340"/>
      <c r="E40" s="1877">
        <f>23.42*(1+7.68%)*(1+1.78%)</f>
        <v>25.667548076800003</v>
      </c>
      <c r="F40" s="1672"/>
      <c r="G40" s="1969"/>
      <c r="H40" s="484" t="s">
        <v>1260</v>
      </c>
      <c r="I40" s="1433"/>
      <c r="J40" s="1419" t="s">
        <v>377</v>
      </c>
      <c r="K40" s="1420"/>
      <c r="L40" s="1420"/>
      <c r="M40" s="1420"/>
      <c r="N40" s="1420"/>
      <c r="O40" s="1437">
        <f ca="1">O28+O32+O39</f>
        <v>1808396.6645111891</v>
      </c>
      <c r="Q40" s="2155"/>
    </row>
    <row r="41" spans="2:19" ht="25.5">
      <c r="B41" s="1345" t="s">
        <v>441</v>
      </c>
      <c r="C41" s="1313"/>
      <c r="D41" s="1430"/>
      <c r="E41" s="1877">
        <f>360*(1+1.78%)</f>
        <v>366.40800000000002</v>
      </c>
      <c r="F41" s="1672"/>
      <c r="G41" s="1969"/>
      <c r="H41" s="484" t="s">
        <v>1261</v>
      </c>
      <c r="I41" s="1433"/>
      <c r="J41" s="848"/>
      <c r="K41" s="1398"/>
      <c r="L41" s="1442"/>
      <c r="M41" s="1398"/>
      <c r="N41" s="1398"/>
      <c r="O41" s="2011"/>
      <c r="Q41" s="2155"/>
    </row>
    <row r="42" spans="2:19" ht="12.75">
      <c r="B42" s="1345" t="s">
        <v>443</v>
      </c>
      <c r="C42" s="1313"/>
      <c r="D42" s="1313"/>
      <c r="E42" s="1877">
        <v>604.53</v>
      </c>
      <c r="F42" s="2341">
        <v>880.66</v>
      </c>
      <c r="G42" s="2342"/>
      <c r="H42" s="484" t="s">
        <v>1106</v>
      </c>
      <c r="I42" s="1433"/>
      <c r="J42" s="848"/>
      <c r="K42" s="985"/>
      <c r="L42" s="1998" t="s">
        <v>369</v>
      </c>
      <c r="M42" s="1998"/>
      <c r="N42" s="1439"/>
      <c r="O42" s="1440"/>
      <c r="Q42" s="2155"/>
    </row>
    <row r="43" spans="2:19" ht="12.75">
      <c r="B43" s="1345" t="s">
        <v>454</v>
      </c>
      <c r="C43" s="1313"/>
      <c r="D43" s="1313"/>
      <c r="E43" s="1877">
        <f ca="1">'Below the line'!AK5</f>
        <v>693.71474143152727</v>
      </c>
      <c r="F43" s="2341">
        <f>642.72*1.0178</f>
        <v>654.16041600000005</v>
      </c>
      <c r="G43" s="1877"/>
      <c r="H43" s="484" t="s">
        <v>1107</v>
      </c>
      <c r="I43" s="1433"/>
      <c r="J43" s="1493" t="s">
        <v>24</v>
      </c>
      <c r="K43" s="1431"/>
      <c r="L43" s="2012">
        <v>0.12</v>
      </c>
      <c r="M43" s="2012"/>
      <c r="N43" s="1431"/>
      <c r="O43" s="1498">
        <f ca="1">(O40+O41)*L43</f>
        <v>217007.59974134268</v>
      </c>
      <c r="P43" s="1092"/>
      <c r="Q43" s="2158"/>
    </row>
    <row r="44" spans="2:19" ht="12.75">
      <c r="B44" s="1345"/>
      <c r="C44" s="1313"/>
      <c r="D44" s="1206"/>
      <c r="E44" s="1428"/>
      <c r="F44" s="2343"/>
      <c r="G44" s="1877"/>
      <c r="H44" s="484"/>
      <c r="I44" s="1433"/>
      <c r="J44" s="848" t="s">
        <v>25</v>
      </c>
      <c r="K44" s="985"/>
      <c r="L44" s="1400"/>
      <c r="M44" s="1400"/>
      <c r="N44" s="985"/>
      <c r="O44" s="2013">
        <f ca="1">SUM(O40:O43)</f>
        <v>2025404.2642525318</v>
      </c>
      <c r="Q44" s="2155"/>
    </row>
    <row r="45" spans="2:19" ht="12.75">
      <c r="B45" s="1345" t="s">
        <v>437</v>
      </c>
      <c r="C45" s="1313"/>
      <c r="D45" s="1428"/>
      <c r="E45" s="1428">
        <f>'M2020 BLS  SALARY CHART'!C44</f>
        <v>0.12</v>
      </c>
      <c r="F45" s="1391"/>
      <c r="G45" s="1428"/>
      <c r="H45" s="2344" t="s">
        <v>1406</v>
      </c>
      <c r="I45" s="1433"/>
      <c r="J45" s="848" t="s">
        <v>26</v>
      </c>
      <c r="K45" s="1398"/>
      <c r="L45" s="2014">
        <f>E47</f>
        <v>2.5758086673353865E-2</v>
      </c>
      <c r="M45" s="2015"/>
      <c r="N45" s="1398"/>
      <c r="O45" s="2016">
        <f ca="1">(O44+(O44*L45))-(O25*L45)</f>
        <v>2043707.7723076406</v>
      </c>
      <c r="Q45" s="2155"/>
    </row>
    <row r="46" spans="2:19" ht="15" customHeight="1" thickBot="1">
      <c r="B46" s="1345"/>
      <c r="C46" s="1313"/>
      <c r="D46" s="1313"/>
      <c r="E46" s="1428"/>
      <c r="F46" s="1391"/>
      <c r="G46" s="1428"/>
      <c r="H46" s="484"/>
      <c r="I46" s="1433"/>
      <c r="J46" s="1473" t="s">
        <v>479</v>
      </c>
      <c r="K46" s="1168"/>
      <c r="L46" s="1168"/>
      <c r="M46" s="1168"/>
      <c r="N46" s="1452"/>
      <c r="O46" s="1166">
        <f ca="1">O45/K5</f>
        <v>55.991993761853166</v>
      </c>
      <c r="Q46" s="2155"/>
    </row>
    <row r="47" spans="2:19" ht="13.5" thickBot="1">
      <c r="B47" s="1881" t="s">
        <v>438</v>
      </c>
      <c r="C47" s="1168"/>
      <c r="D47" s="1168"/>
      <c r="E47" s="2088">
        <f>'Fall CAF 2023'!CR28</f>
        <v>2.5758086673353865E-2</v>
      </c>
      <c r="F47" s="2018"/>
      <c r="G47" s="2019"/>
      <c r="H47" s="2020" t="s">
        <v>893</v>
      </c>
      <c r="I47" s="1433"/>
      <c r="J47" s="1398"/>
      <c r="K47" s="985"/>
      <c r="L47" s="985"/>
      <c r="M47" s="985"/>
      <c r="N47" s="1513" t="s">
        <v>783</v>
      </c>
      <c r="O47" s="2017">
        <v>46.32</v>
      </c>
    </row>
    <row r="48" spans="2:19" ht="15">
      <c r="B48" s="1313"/>
      <c r="D48" s="985" t="s">
        <v>1407</v>
      </c>
      <c r="E48" s="1391"/>
      <c r="F48" s="1391"/>
      <c r="G48" s="1428"/>
      <c r="H48" s="2029"/>
      <c r="I48" s="1313"/>
      <c r="J48" s="1188"/>
      <c r="K48" s="1189"/>
      <c r="L48" s="1189"/>
      <c r="M48" s="1189"/>
      <c r="N48" s="1513" t="s">
        <v>784</v>
      </c>
      <c r="O48" s="2021">
        <f ca="1">(O46-O47)/O47</f>
        <v>0.20880815548042242</v>
      </c>
      <c r="Q48" s="2154"/>
    </row>
    <row r="49" spans="2:17" ht="18" thickBot="1">
      <c r="H49" s="985"/>
      <c r="I49" s="1313"/>
      <c r="J49" s="1979" t="s">
        <v>556</v>
      </c>
      <c r="Q49" s="2155"/>
    </row>
    <row r="50" spans="2:17" ht="13.5" thickBot="1">
      <c r="B50" s="1402"/>
      <c r="C50" s="1406"/>
      <c r="D50" s="2237"/>
      <c r="E50" s="2238" t="s">
        <v>415</v>
      </c>
      <c r="F50" s="2239"/>
      <c r="G50" s="2238"/>
      <c r="H50" s="2022"/>
      <c r="I50" s="1187"/>
      <c r="J50" s="1988" t="s">
        <v>480</v>
      </c>
      <c r="K50" s="1989"/>
      <c r="L50" s="1989"/>
      <c r="M50" s="1989"/>
      <c r="N50" s="1989"/>
      <c r="O50" s="1990"/>
    </row>
    <row r="51" spans="2:17" ht="25.5">
      <c r="B51" s="1091"/>
      <c r="D51" s="2023" t="str">
        <f>C11</f>
        <v>Integrated Team Benchmark FTEs</v>
      </c>
      <c r="E51" s="2023" t="s">
        <v>403</v>
      </c>
      <c r="F51" s="2024" t="s">
        <v>404</v>
      </c>
      <c r="G51" s="2023" t="s">
        <v>405</v>
      </c>
      <c r="H51" s="1416"/>
      <c r="I51" s="1313"/>
      <c r="J51" s="1980" t="s">
        <v>277</v>
      </c>
      <c r="K51" s="1992">
        <v>100</v>
      </c>
      <c r="L51" s="1981"/>
      <c r="M51" s="1981"/>
      <c r="N51" s="1993"/>
      <c r="O51" s="1994"/>
    </row>
    <row r="52" spans="2:17" ht="12.75">
      <c r="B52" s="2001" t="str">
        <f t="shared" ref="B52:B64" si="3">B12</f>
        <v>Management</v>
      </c>
      <c r="C52" s="2025"/>
      <c r="D52" s="1433"/>
      <c r="E52" s="1621"/>
      <c r="F52" s="1672"/>
      <c r="G52" s="1969"/>
      <c r="H52" s="484"/>
      <c r="I52" s="1313"/>
      <c r="J52" s="848" t="s">
        <v>133</v>
      </c>
      <c r="K52" s="1995">
        <f>K51*365</f>
        <v>36500</v>
      </c>
      <c r="L52" s="985"/>
      <c r="M52" s="985"/>
      <c r="N52" s="985"/>
      <c r="O52" s="1401"/>
      <c r="Q52" s="2155"/>
    </row>
    <row r="53" spans="2:17" ht="12.75">
      <c r="B53" s="1345" t="str">
        <f t="shared" si="3"/>
        <v xml:space="preserve">  Program Director</v>
      </c>
      <c r="C53" s="1313"/>
      <c r="D53" s="1408">
        <f>C13</f>
        <v>1</v>
      </c>
      <c r="E53" s="1408">
        <v>1</v>
      </c>
      <c r="F53" s="2026">
        <v>300</v>
      </c>
      <c r="G53" s="2027">
        <f>E53*F53</f>
        <v>300</v>
      </c>
      <c r="H53" s="484"/>
      <c r="I53" s="1313"/>
      <c r="J53" s="1403"/>
      <c r="K53" s="1996"/>
      <c r="L53" s="1404" t="s">
        <v>5</v>
      </c>
      <c r="M53" s="1404"/>
      <c r="N53" s="1404" t="s">
        <v>6</v>
      </c>
      <c r="O53" s="1405" t="s">
        <v>7</v>
      </c>
    </row>
    <row r="54" spans="2:17" ht="12.75">
      <c r="B54" s="1345" t="str">
        <f t="shared" si="3"/>
        <v xml:space="preserve">  Assistant Director (LICSW Level)</v>
      </c>
      <c r="C54" s="1313"/>
      <c r="D54" s="1408">
        <f>C14</f>
        <v>1</v>
      </c>
      <c r="E54" s="1408">
        <v>1</v>
      </c>
      <c r="F54" s="2026">
        <v>200</v>
      </c>
      <c r="G54" s="2027">
        <f>E54*F54</f>
        <v>200</v>
      </c>
      <c r="H54" s="484"/>
      <c r="I54" s="1313"/>
      <c r="J54" s="848" t="s">
        <v>29</v>
      </c>
      <c r="K54" s="1997"/>
      <c r="L54" s="1998"/>
      <c r="M54" s="1998"/>
      <c r="N54" s="1998"/>
      <c r="O54" s="1999"/>
    </row>
    <row r="55" spans="2:17" ht="12.75">
      <c r="B55" s="1345" t="str">
        <f t="shared" si="3"/>
        <v xml:space="preserve">Program Functional Oversight </v>
      </c>
      <c r="C55" s="1313"/>
      <c r="D55" s="1408">
        <f>C15</f>
        <v>0.1</v>
      </c>
      <c r="E55" s="1408">
        <v>0.5</v>
      </c>
      <c r="F55" s="2026">
        <v>120</v>
      </c>
      <c r="G55" s="2027">
        <f>E55*F55+75</f>
        <v>135</v>
      </c>
      <c r="H55" s="484"/>
      <c r="I55" s="1313"/>
      <c r="J55" s="1091" t="s">
        <v>43</v>
      </c>
      <c r="K55" s="1410"/>
      <c r="L55" s="1411">
        <f>E13</f>
        <v>79415.232000000018</v>
      </c>
      <c r="M55" s="1411"/>
      <c r="N55" s="1412">
        <f>D13</f>
        <v>1</v>
      </c>
      <c r="O55" s="1413">
        <f>N55*L55</f>
        <v>79415.232000000018</v>
      </c>
      <c r="P55" s="1092"/>
    </row>
    <row r="56" spans="2:17" ht="12.75">
      <c r="B56" s="2001" t="str">
        <f t="shared" si="3"/>
        <v>Medical and Clinical</v>
      </c>
      <c r="C56" s="2025"/>
      <c r="D56" s="1408"/>
      <c r="E56" s="1408"/>
      <c r="F56" s="2026"/>
      <c r="G56" s="2027"/>
      <c r="H56" s="484"/>
      <c r="I56" s="1313"/>
      <c r="J56" s="1091" t="s">
        <v>134</v>
      </c>
      <c r="K56" s="1410"/>
      <c r="L56" s="1411">
        <f>E14</f>
        <v>80606.448000000004</v>
      </c>
      <c r="M56" s="1411"/>
      <c r="N56" s="1412">
        <f>D14</f>
        <v>1</v>
      </c>
      <c r="O56" s="1413">
        <f>N56*L56</f>
        <v>80606.448000000004</v>
      </c>
    </row>
    <row r="57" spans="2:17" ht="12.75">
      <c r="B57" s="1345" t="str">
        <f t="shared" si="3"/>
        <v xml:space="preserve">    Psychiatrist</v>
      </c>
      <c r="C57" s="1313"/>
      <c r="D57" s="1408">
        <f>C17</f>
        <v>0.1</v>
      </c>
      <c r="E57" s="1408">
        <v>0.1</v>
      </c>
      <c r="F57" s="2026">
        <v>120</v>
      </c>
      <c r="G57" s="2027">
        <f>E57*F57</f>
        <v>12</v>
      </c>
      <c r="H57" s="484"/>
      <c r="I57" s="1313"/>
      <c r="J57" s="1091" t="str">
        <f>B55</f>
        <v xml:space="preserve">Program Functional Oversight </v>
      </c>
      <c r="K57" s="1410"/>
      <c r="L57" s="1411">
        <f>E15</f>
        <v>74264</v>
      </c>
      <c r="M57" s="1411"/>
      <c r="N57" s="1412">
        <f>D15</f>
        <v>0.1</v>
      </c>
      <c r="O57" s="1413">
        <f>N57*L57</f>
        <v>7426.4000000000005</v>
      </c>
    </row>
    <row r="58" spans="2:17" ht="12.75">
      <c r="B58" s="2028" t="str">
        <f t="shared" si="3"/>
        <v xml:space="preserve">    LPHA</v>
      </c>
      <c r="C58" s="2029"/>
      <c r="D58" s="1408">
        <f>C18</f>
        <v>3.5999999999999996</v>
      </c>
      <c r="E58" s="1408">
        <v>3</v>
      </c>
      <c r="F58" s="2026">
        <v>120</v>
      </c>
      <c r="G58" s="2027">
        <f>E58*F58</f>
        <v>360</v>
      </c>
      <c r="H58" s="484"/>
      <c r="I58" s="1313"/>
      <c r="J58" s="848" t="s">
        <v>30</v>
      </c>
      <c r="K58" s="1410"/>
      <c r="L58" s="1411"/>
      <c r="M58" s="1411"/>
      <c r="N58" s="1412"/>
      <c r="O58" s="1413"/>
    </row>
    <row r="59" spans="2:17" ht="12.75">
      <c r="B59" s="1345" t="str">
        <f t="shared" si="3"/>
        <v xml:space="preserve">    RN</v>
      </c>
      <c r="C59" s="1313"/>
      <c r="D59" s="1408">
        <f>C19</f>
        <v>1</v>
      </c>
      <c r="E59" s="1408">
        <v>1</v>
      </c>
      <c r="F59" s="2026">
        <v>120</v>
      </c>
      <c r="G59" s="2027">
        <f>E59*F59</f>
        <v>120</v>
      </c>
      <c r="H59" s="484"/>
      <c r="I59" s="1313"/>
      <c r="J59" s="1091" t="s">
        <v>38</v>
      </c>
      <c r="K59" s="1410"/>
      <c r="L59" s="1411">
        <f>E17</f>
        <v>247470</v>
      </c>
      <c r="M59" s="1411"/>
      <c r="N59" s="1412">
        <f>D17</f>
        <v>0.1</v>
      </c>
      <c r="O59" s="1413">
        <f>N59*L59</f>
        <v>24747</v>
      </c>
    </row>
    <row r="60" spans="2:17" ht="12.75">
      <c r="B60" s="1345" t="str">
        <f t="shared" si="3"/>
        <v xml:space="preserve">    Substance Abuse Counselor/ LCSW</v>
      </c>
      <c r="C60" s="1313"/>
      <c r="D60" s="1408">
        <f>C20</f>
        <v>1</v>
      </c>
      <c r="E60" s="1408">
        <v>1</v>
      </c>
      <c r="F60" s="2026">
        <v>120</v>
      </c>
      <c r="G60" s="2027">
        <f>E60*F60</f>
        <v>120</v>
      </c>
      <c r="H60" s="484"/>
      <c r="J60" s="1399" t="s">
        <v>44</v>
      </c>
      <c r="K60" s="1460"/>
      <c r="L60" s="1411">
        <f>E18</f>
        <v>80606.448000000004</v>
      </c>
      <c r="M60" s="1411"/>
      <c r="N60" s="1412">
        <f>D18</f>
        <v>3.5999999999999996</v>
      </c>
      <c r="O60" s="1413">
        <f>N60*L60</f>
        <v>290183.21279999998</v>
      </c>
    </row>
    <row r="61" spans="2:17" ht="12.75">
      <c r="B61" s="2001" t="str">
        <f t="shared" si="3"/>
        <v>Direct Care</v>
      </c>
      <c r="C61" s="2025"/>
      <c r="D61" s="1408"/>
      <c r="E61" s="1408"/>
      <c r="F61" s="2026"/>
      <c r="G61" s="2027"/>
      <c r="H61" s="1416"/>
      <c r="J61" s="1091" t="s">
        <v>45</v>
      </c>
      <c r="K61" s="1410"/>
      <c r="L61" s="1411">
        <f>E19</f>
        <v>102258.624</v>
      </c>
      <c r="M61" s="1411"/>
      <c r="N61" s="1412">
        <f>D19</f>
        <v>1</v>
      </c>
      <c r="O61" s="1413">
        <f>N61*L61</f>
        <v>102258.624</v>
      </c>
    </row>
    <row r="62" spans="2:17" ht="12.75">
      <c r="B62" s="2002" t="str">
        <f t="shared" si="3"/>
        <v xml:space="preserve">    DC III</v>
      </c>
      <c r="C62" s="2030"/>
      <c r="D62" s="1408">
        <f>C22</f>
        <v>4</v>
      </c>
      <c r="E62" s="1408">
        <v>1</v>
      </c>
      <c r="F62" s="2026">
        <v>80</v>
      </c>
      <c r="G62" s="2027">
        <f t="shared" ref="G62:G67" si="4">E62*F62</f>
        <v>80</v>
      </c>
      <c r="H62" s="1416"/>
      <c r="J62" s="1091" t="str">
        <f>B60</f>
        <v xml:space="preserve">    Substance Abuse Counselor/ LCSW</v>
      </c>
      <c r="K62" s="1410"/>
      <c r="L62" s="1411">
        <f>E20</f>
        <v>64330.864000000001</v>
      </c>
      <c r="M62" s="1411"/>
      <c r="N62" s="1412">
        <f>D20</f>
        <v>1</v>
      </c>
      <c r="O62" s="1413">
        <f>N62*L62</f>
        <v>64330.864000000001</v>
      </c>
    </row>
    <row r="63" spans="2:17" ht="12.75">
      <c r="B63" s="2002" t="str">
        <f t="shared" si="3"/>
        <v xml:space="preserve">    Direct Care</v>
      </c>
      <c r="C63" s="2030"/>
      <c r="D63" s="1408">
        <f>C23</f>
        <v>4</v>
      </c>
      <c r="E63" s="1408">
        <v>2</v>
      </c>
      <c r="F63" s="2026">
        <v>80</v>
      </c>
      <c r="G63" s="2027">
        <f t="shared" si="4"/>
        <v>160</v>
      </c>
      <c r="H63" s="1416"/>
      <c r="J63" s="848" t="s">
        <v>31</v>
      </c>
      <c r="K63" s="1410"/>
      <c r="L63" s="1411"/>
      <c r="M63" s="1411"/>
      <c r="N63" s="1412"/>
      <c r="O63" s="1413"/>
    </row>
    <row r="64" spans="2:17" ht="12.75">
      <c r="B64" s="1345" t="str">
        <f t="shared" si="3"/>
        <v xml:space="preserve">    Housing Coordinator/DC III</v>
      </c>
      <c r="C64" s="1313"/>
      <c r="D64" s="1408">
        <f>C24</f>
        <v>1</v>
      </c>
      <c r="E64" s="1408">
        <v>0.5</v>
      </c>
      <c r="F64" s="2026">
        <v>80</v>
      </c>
      <c r="G64" s="2027">
        <f t="shared" si="4"/>
        <v>40</v>
      </c>
      <c r="H64" s="1416"/>
      <c r="J64" s="1091" t="s">
        <v>388</v>
      </c>
      <c r="K64" s="1410"/>
      <c r="L64" s="1411">
        <f>E22</f>
        <v>53206.566400000003</v>
      </c>
      <c r="M64" s="1411"/>
      <c r="N64" s="1412">
        <f>D22</f>
        <v>0</v>
      </c>
      <c r="O64" s="1413">
        <f>N64*L64</f>
        <v>0</v>
      </c>
    </row>
    <row r="65" spans="2:15" ht="12.75">
      <c r="B65" s="1345" t="str">
        <f>B26</f>
        <v xml:space="preserve">    Peer &amp; Family Specialist</v>
      </c>
      <c r="C65" s="1313"/>
      <c r="D65" s="1408">
        <f>C26</f>
        <v>2.25</v>
      </c>
      <c r="E65" s="1408">
        <v>1.5</v>
      </c>
      <c r="F65" s="2026">
        <v>80</v>
      </c>
      <c r="G65" s="2027">
        <f t="shared" si="4"/>
        <v>120</v>
      </c>
      <c r="H65" s="1416"/>
      <c r="J65" s="1091" t="str">
        <f>J18</f>
        <v xml:space="preserve">    Direct Care</v>
      </c>
      <c r="K65" s="1410"/>
      <c r="L65" s="1411">
        <f>E23</f>
        <v>41600</v>
      </c>
      <c r="M65" s="1817"/>
      <c r="N65" s="1412">
        <f>D23</f>
        <v>0</v>
      </c>
      <c r="O65" s="1413">
        <f>N65*L65</f>
        <v>0</v>
      </c>
    </row>
    <row r="66" spans="2:15" ht="12.75">
      <c r="B66" s="1345" t="s">
        <v>428</v>
      </c>
      <c r="C66" s="1313"/>
      <c r="D66" s="1408">
        <f>C39</f>
        <v>0</v>
      </c>
      <c r="E66" s="1408">
        <v>0</v>
      </c>
      <c r="F66" s="2026">
        <v>80</v>
      </c>
      <c r="G66" s="2027">
        <f t="shared" si="4"/>
        <v>0</v>
      </c>
      <c r="H66" s="1416"/>
      <c r="J66" s="1091" t="str">
        <f>J19</f>
        <v xml:space="preserve">    Housing Coordinator/DC III</v>
      </c>
      <c r="K66" s="1410"/>
      <c r="L66" s="1411">
        <f>E24</f>
        <v>53206.566400000003</v>
      </c>
      <c r="M66" s="1411"/>
      <c r="N66" s="1412">
        <f>D24</f>
        <v>1</v>
      </c>
      <c r="O66" s="1413">
        <f>N66*L66</f>
        <v>53206.566400000003</v>
      </c>
    </row>
    <row r="67" spans="2:15" ht="12.75">
      <c r="B67" s="1505" t="str">
        <f>B27</f>
        <v xml:space="preserve">    Relief</v>
      </c>
      <c r="C67" s="1506"/>
      <c r="D67" s="1408">
        <f>C27</f>
        <v>1.23</v>
      </c>
      <c r="E67" s="1408">
        <v>0</v>
      </c>
      <c r="F67" s="2026">
        <v>80</v>
      </c>
      <c r="G67" s="2027">
        <f t="shared" si="4"/>
        <v>0</v>
      </c>
      <c r="H67" s="1416"/>
      <c r="J67" s="1091" t="str">
        <f>B25</f>
        <v xml:space="preserve">    Peer &amp; Family Specialist-DCIII</v>
      </c>
      <c r="K67" s="1410"/>
      <c r="L67" s="1411">
        <f>E25</f>
        <v>53206.566400000003</v>
      </c>
      <c r="M67" s="1411"/>
      <c r="N67" s="1412">
        <f>D25</f>
        <v>0.75</v>
      </c>
      <c r="O67" s="1413">
        <f>N67*L67</f>
        <v>39904.924800000001</v>
      </c>
    </row>
    <row r="68" spans="2:15" ht="12.75">
      <c r="B68" s="2001" t="str">
        <f>B28</f>
        <v>Support</v>
      </c>
      <c r="C68" s="2025"/>
      <c r="D68" s="1408"/>
      <c r="E68" s="1408"/>
      <c r="F68" s="2026"/>
      <c r="G68" s="2027"/>
      <c r="H68" s="1416"/>
      <c r="J68" s="1091" t="str">
        <f>J21</f>
        <v xml:space="preserve">    Peer &amp; Family Specialist</v>
      </c>
      <c r="K68" s="1410"/>
      <c r="L68" s="1411">
        <f>E26</f>
        <v>41600</v>
      </c>
      <c r="M68" s="1411"/>
      <c r="N68" s="1412">
        <f>D26</f>
        <v>2.25</v>
      </c>
      <c r="O68" s="1413">
        <f>N68*L68</f>
        <v>93600</v>
      </c>
    </row>
    <row r="69" spans="2:15" ht="12.75">
      <c r="B69" s="1345" t="str">
        <f>B29</f>
        <v xml:space="preserve">    Prog Secretarial / Clerical</v>
      </c>
      <c r="C69" s="1313"/>
      <c r="D69" s="1408">
        <f>C29</f>
        <v>1</v>
      </c>
      <c r="E69" s="1408">
        <v>1</v>
      </c>
      <c r="F69" s="2026">
        <v>48</v>
      </c>
      <c r="G69" s="2027">
        <f>E69*F69</f>
        <v>48</v>
      </c>
      <c r="H69" s="1416"/>
      <c r="J69" s="1091"/>
      <c r="K69" s="1410"/>
      <c r="L69" s="1411"/>
      <c r="M69" s="1614"/>
      <c r="N69" s="1412"/>
      <c r="O69" s="1413"/>
    </row>
    <row r="70" spans="2:15" ht="24.75" customHeight="1">
      <c r="B70" s="2031" t="s">
        <v>348</v>
      </c>
      <c r="C70" s="2032"/>
      <c r="D70" s="2033">
        <f>SUM(D53:D69)</f>
        <v>21.28</v>
      </c>
      <c r="E70" s="2033">
        <f>SUM(E53:E69)</f>
        <v>13.6</v>
      </c>
      <c r="F70" s="2034">
        <f>SUM(F53:F69)</f>
        <v>1628</v>
      </c>
      <c r="G70" s="2035">
        <f>SUM(G53:G69)</f>
        <v>1695</v>
      </c>
      <c r="H70" s="1401"/>
      <c r="J70" s="848" t="s">
        <v>33</v>
      </c>
      <c r="K70" s="1410"/>
      <c r="L70" s="1411"/>
      <c r="M70" s="1411"/>
      <c r="N70" s="1412"/>
      <c r="O70" s="1413"/>
    </row>
    <row r="71" spans="2:15" ht="12.75">
      <c r="B71" s="2542" t="s">
        <v>872</v>
      </c>
      <c r="C71" s="2543"/>
      <c r="D71" s="2543"/>
      <c r="E71" s="2543"/>
      <c r="F71" s="2543"/>
      <c r="G71" s="2543"/>
      <c r="H71" s="2544"/>
      <c r="J71" s="1091" t="s">
        <v>34</v>
      </c>
      <c r="K71" s="2003"/>
      <c r="L71" s="1810">
        <f>E29</f>
        <v>41600</v>
      </c>
      <c r="M71" s="1411"/>
      <c r="N71" s="1412">
        <f>D29</f>
        <v>1</v>
      </c>
      <c r="O71" s="1413">
        <f>N71*L71</f>
        <v>41600</v>
      </c>
    </row>
    <row r="72" spans="2:15" ht="12.75">
      <c r="B72" s="848" t="s">
        <v>409</v>
      </c>
      <c r="C72" s="1398"/>
      <c r="F72" s="2026"/>
      <c r="H72" s="1416"/>
      <c r="J72" s="1419" t="s">
        <v>13</v>
      </c>
      <c r="K72" s="1420"/>
      <c r="L72" s="2004"/>
      <c r="M72" s="2004"/>
      <c r="N72" s="1135">
        <f>SUM(N55:N71)</f>
        <v>12.8</v>
      </c>
      <c r="O72" s="1421">
        <f>SUM(O55:O71)</f>
        <v>877279.27200000011</v>
      </c>
    </row>
    <row r="73" spans="2:15" ht="12.75">
      <c r="B73" s="1399" t="s">
        <v>406</v>
      </c>
      <c r="C73" s="2036"/>
      <c r="D73" s="1418">
        <f>D58+D59</f>
        <v>4.5999999999999996</v>
      </c>
      <c r="E73" s="1418">
        <v>4</v>
      </c>
      <c r="F73" s="2037"/>
      <c r="G73" s="2036"/>
      <c r="H73" s="2038" t="s">
        <v>427</v>
      </c>
      <c r="J73" s="848" t="s">
        <v>374</v>
      </c>
      <c r="K73" s="985"/>
      <c r="L73" s="985"/>
      <c r="M73" s="985"/>
      <c r="N73" s="1398" t="s">
        <v>16</v>
      </c>
      <c r="O73" s="1401"/>
    </row>
    <row r="74" spans="2:15" ht="12.75">
      <c r="B74" s="1399" t="s">
        <v>407</v>
      </c>
      <c r="C74" s="2036"/>
      <c r="D74" s="1418">
        <f>D60</f>
        <v>1</v>
      </c>
      <c r="E74" s="1418">
        <v>1</v>
      </c>
      <c r="F74" s="2037"/>
      <c r="G74" s="2036"/>
      <c r="H74" s="2038" t="s">
        <v>411</v>
      </c>
      <c r="J74" s="1091" t="s">
        <v>17</v>
      </c>
      <c r="K74" s="985"/>
      <c r="L74" s="1811">
        <f>E32</f>
        <v>0.27379999999999999</v>
      </c>
      <c r="M74" s="1811"/>
      <c r="N74" s="985"/>
      <c r="O74" s="1422">
        <f>O72*L74</f>
        <v>240199.06467360002</v>
      </c>
    </row>
    <row r="75" spans="2:15" ht="25.5">
      <c r="B75" s="1399" t="s">
        <v>31</v>
      </c>
      <c r="C75" s="2036"/>
      <c r="D75" s="1418">
        <f>D62+D63</f>
        <v>8</v>
      </c>
      <c r="E75" s="1418">
        <v>3</v>
      </c>
      <c r="F75" s="2037"/>
      <c r="G75" s="2036"/>
      <c r="H75" s="2038" t="s">
        <v>410</v>
      </c>
      <c r="J75" s="1419" t="s">
        <v>18</v>
      </c>
      <c r="K75" s="1420"/>
      <c r="L75" s="1420"/>
      <c r="M75" s="1420"/>
      <c r="N75" s="1423"/>
      <c r="O75" s="1424">
        <f>SUM(O72:O74)</f>
        <v>1117478.3366736001</v>
      </c>
    </row>
    <row r="76" spans="2:15" ht="25.5">
      <c r="B76" s="2039" t="s">
        <v>432</v>
      </c>
      <c r="C76" s="2040"/>
      <c r="D76" s="1418">
        <f>D64+D65</f>
        <v>3.25</v>
      </c>
      <c r="E76" s="1418">
        <v>3</v>
      </c>
      <c r="F76" s="2037"/>
      <c r="G76" s="2036"/>
      <c r="H76" s="2038" t="s">
        <v>431</v>
      </c>
      <c r="J76" s="1403" t="s">
        <v>478</v>
      </c>
      <c r="K76" s="1425"/>
      <c r="L76" s="1404" t="s">
        <v>19</v>
      </c>
      <c r="M76" s="1404"/>
      <c r="N76" s="1426" t="s">
        <v>2</v>
      </c>
      <c r="O76" s="1427" t="s">
        <v>7</v>
      </c>
    </row>
    <row r="77" spans="2:15" ht="12.75">
      <c r="B77" s="1399" t="s">
        <v>408</v>
      </c>
      <c r="C77" s="2036"/>
      <c r="D77" s="1418">
        <f>D69</f>
        <v>1</v>
      </c>
      <c r="E77" s="1418">
        <v>1</v>
      </c>
      <c r="F77" s="2037"/>
      <c r="G77" s="2036"/>
      <c r="H77" s="2038" t="s">
        <v>412</v>
      </c>
      <c r="J77" s="2006" t="s">
        <v>359</v>
      </c>
      <c r="K77" s="1398"/>
      <c r="L77" s="1877">
        <f>E35</f>
        <v>136.75</v>
      </c>
      <c r="M77" s="1877"/>
      <c r="N77" s="1429">
        <f>N30</f>
        <v>159</v>
      </c>
      <c r="O77" s="1422">
        <f>N77*L77</f>
        <v>21743.25</v>
      </c>
    </row>
    <row r="78" spans="2:15" ht="12.75">
      <c r="B78" s="848" t="s">
        <v>413</v>
      </c>
      <c r="C78" s="1398"/>
      <c r="H78" s="1416"/>
      <c r="J78" s="2006" t="s">
        <v>11</v>
      </c>
      <c r="K78" s="1398"/>
      <c r="L78" s="1877">
        <f>E36</f>
        <v>55.04</v>
      </c>
      <c r="M78" s="1877"/>
      <c r="N78" s="1429">
        <f>N31</f>
        <v>55</v>
      </c>
      <c r="O78" s="1422">
        <f>N78*L78</f>
        <v>3027.2</v>
      </c>
    </row>
    <row r="79" spans="2:15" ht="19.5" customHeight="1" thickBot="1">
      <c r="B79" s="1473"/>
      <c r="C79" s="1475"/>
      <c r="D79" s="1168"/>
      <c r="E79" s="1168"/>
      <c r="F79" s="2041"/>
      <c r="G79" s="1168"/>
      <c r="H79" s="2042"/>
      <c r="J79" s="1419" t="s">
        <v>21</v>
      </c>
      <c r="K79" s="1431"/>
      <c r="L79" s="1431"/>
      <c r="M79" s="1431"/>
      <c r="N79" s="1431"/>
      <c r="O79" s="1424">
        <f>SUM(O77:O78)</f>
        <v>24770.45</v>
      </c>
    </row>
    <row r="80" spans="2:15" ht="12.75">
      <c r="B80" s="2543" t="s">
        <v>414</v>
      </c>
      <c r="C80" s="2543"/>
      <c r="D80" s="2543"/>
      <c r="E80" s="2543"/>
      <c r="F80" s="2543"/>
      <c r="G80" s="2543"/>
      <c r="H80" s="2543"/>
      <c r="J80" s="1980" t="s">
        <v>367</v>
      </c>
      <c r="K80" s="1483"/>
      <c r="L80" s="1981" t="s">
        <v>423</v>
      </c>
      <c r="M80" s="1981" t="s">
        <v>368</v>
      </c>
      <c r="N80" s="1981"/>
      <c r="O80" s="2007"/>
    </row>
    <row r="81" spans="2:17" ht="12.75">
      <c r="B81" s="2543"/>
      <c r="C81" s="2543"/>
      <c r="D81" s="2543"/>
      <c r="E81" s="2543"/>
      <c r="F81" s="2543"/>
      <c r="G81" s="2543"/>
      <c r="H81" s="2543"/>
      <c r="J81" s="1091" t="s">
        <v>440</v>
      </c>
      <c r="K81" s="985"/>
      <c r="L81" s="2009">
        <f>E40</f>
        <v>25.667548076800003</v>
      </c>
      <c r="M81" s="985"/>
      <c r="N81" s="985"/>
      <c r="O81" s="1422">
        <f>L81*G70</f>
        <v>43506.493990176008</v>
      </c>
    </row>
    <row r="82" spans="2:17" ht="12.75">
      <c r="B82" s="2543"/>
      <c r="C82" s="2543"/>
      <c r="D82" s="2543"/>
      <c r="E82" s="2543"/>
      <c r="F82" s="2543"/>
      <c r="G82" s="2543"/>
      <c r="H82" s="2543"/>
      <c r="J82" s="1091" t="s">
        <v>441</v>
      </c>
      <c r="K82" s="985"/>
      <c r="L82" s="985"/>
      <c r="M82" s="1206">
        <f>E41</f>
        <v>366.40800000000002</v>
      </c>
      <c r="N82" s="1206"/>
      <c r="O82" s="1422">
        <f>M82*N72</f>
        <v>4690.0224000000007</v>
      </c>
      <c r="Q82" s="2154"/>
    </row>
    <row r="83" spans="2:17" ht="12.75">
      <c r="J83" s="1091"/>
      <c r="K83" s="985"/>
      <c r="L83" s="1442"/>
      <c r="M83" s="1206"/>
      <c r="N83" s="1206"/>
      <c r="O83" s="1422"/>
      <c r="Q83" s="2154"/>
    </row>
    <row r="84" spans="2:17" ht="12.75">
      <c r="J84" s="1091" t="s">
        <v>443</v>
      </c>
      <c r="K84" s="985"/>
      <c r="L84" s="985"/>
      <c r="M84" s="1206">
        <f>E42</f>
        <v>604.53</v>
      </c>
      <c r="N84" s="1206"/>
      <c r="O84" s="1422">
        <f>M84*N72</f>
        <v>7737.9840000000004</v>
      </c>
    </row>
    <row r="85" spans="2:17" ht="12.75">
      <c r="J85" s="1091" t="s">
        <v>454</v>
      </c>
      <c r="K85" s="985"/>
      <c r="L85" s="985"/>
      <c r="M85" s="1206">
        <f ca="1">E43</f>
        <v>693.71474143152727</v>
      </c>
      <c r="N85" s="1206"/>
      <c r="O85" s="1422">
        <f ca="1">M85*N72</f>
        <v>8879.5486903235487</v>
      </c>
    </row>
    <row r="86" spans="2:17" ht="12.75">
      <c r="J86" s="1091" t="str">
        <f>J38</f>
        <v xml:space="preserve">  Cultural Facilitator</v>
      </c>
      <c r="K86" s="985"/>
      <c r="L86" s="1411"/>
      <c r="M86" s="1206"/>
      <c r="N86" s="1206"/>
      <c r="O86" s="1422">
        <f>O38</f>
        <v>28640.435199999993</v>
      </c>
    </row>
    <row r="87" spans="2:17" ht="12.75">
      <c r="J87" s="1403" t="s">
        <v>375</v>
      </c>
      <c r="K87" s="1425"/>
      <c r="L87" s="1425"/>
      <c r="M87" s="1425"/>
      <c r="N87" s="2010"/>
      <c r="O87" s="1526">
        <f ca="1">SUM(O81:O86)</f>
        <v>93454.484280499542</v>
      </c>
    </row>
    <row r="88" spans="2:17" ht="12.75">
      <c r="J88" s="1419" t="s">
        <v>377</v>
      </c>
      <c r="K88" s="1420"/>
      <c r="L88" s="1420"/>
      <c r="M88" s="1420"/>
      <c r="N88" s="1420"/>
      <c r="O88" s="1437">
        <f ca="1">O75+O79+O87</f>
        <v>1235703.2709540997</v>
      </c>
    </row>
    <row r="89" spans="2:17" ht="12.75">
      <c r="J89" s="848" t="s">
        <v>376</v>
      </c>
      <c r="K89" s="985"/>
      <c r="L89" s="1998" t="s">
        <v>369</v>
      </c>
      <c r="M89" s="1998"/>
      <c r="N89" s="1439"/>
      <c r="O89" s="1440"/>
    </row>
    <row r="90" spans="2:17" ht="12.75">
      <c r="J90" s="1493" t="s">
        <v>24</v>
      </c>
      <c r="K90" s="1431"/>
      <c r="L90" s="2012">
        <v>0.12</v>
      </c>
      <c r="M90" s="2012"/>
      <c r="N90" s="1431"/>
      <c r="O90" s="1498">
        <f ca="1">O88*L90</f>
        <v>148284.39251449195</v>
      </c>
    </row>
    <row r="91" spans="2:17" ht="12.75">
      <c r="J91" s="848" t="s">
        <v>25</v>
      </c>
      <c r="K91" s="985"/>
      <c r="L91" s="1400"/>
      <c r="M91" s="1400"/>
      <c r="N91" s="985"/>
      <c r="O91" s="2013">
        <f ca="1">SUM(O88:O90)</f>
        <v>1383987.6634685916</v>
      </c>
    </row>
    <row r="92" spans="2:17" ht="12.75">
      <c r="J92" s="848" t="s">
        <v>26</v>
      </c>
      <c r="K92" s="1398"/>
      <c r="L92" s="2014">
        <f>E47</f>
        <v>2.5758086673353865E-2</v>
      </c>
      <c r="M92" s="2015"/>
      <c r="N92" s="1398"/>
      <c r="O92" s="2016">
        <f ca="1">O91+(O91*L92)-(O72*L92)</f>
        <v>1397039.5021341552</v>
      </c>
    </row>
    <row r="93" spans="2:17" ht="13.5" thickBot="1">
      <c r="J93" s="1473" t="s">
        <v>479</v>
      </c>
      <c r="K93" s="1168"/>
      <c r="L93" s="1168"/>
      <c r="M93" s="1168"/>
      <c r="N93" s="1452"/>
      <c r="O93" s="1166">
        <f ca="1">O92/K52</f>
        <v>38.275054852990557</v>
      </c>
    </row>
    <row r="94" spans="2:17" ht="15">
      <c r="J94" s="1188"/>
      <c r="K94" s="1189"/>
      <c r="L94" s="1189"/>
      <c r="M94" s="1189"/>
      <c r="N94" s="1513" t="s">
        <v>783</v>
      </c>
      <c r="O94" s="2017">
        <v>31.65</v>
      </c>
    </row>
    <row r="95" spans="2:17">
      <c r="N95" s="1513" t="s">
        <v>784</v>
      </c>
      <c r="O95" s="2021">
        <f ca="1">(O93-O94)/O94</f>
        <v>0.20932242821455163</v>
      </c>
    </row>
    <row r="98" spans="2:12" ht="21">
      <c r="B98" s="2247"/>
      <c r="C98" s="2248"/>
      <c r="D98" s="2248"/>
      <c r="E98" s="2248"/>
      <c r="F98" s="1879"/>
    </row>
    <row r="99" spans="2:12">
      <c r="B99" s="2401"/>
      <c r="D99" s="1400"/>
      <c r="E99" s="1400"/>
      <c r="F99" s="985"/>
      <c r="G99" s="1400"/>
      <c r="J99" s="985"/>
      <c r="K99" s="985"/>
      <c r="L99" s="985"/>
    </row>
    <row r="100" spans="2:12">
      <c r="B100" s="2402"/>
      <c r="D100" s="1400"/>
      <c r="E100" s="1400"/>
      <c r="F100" s="985"/>
      <c r="G100" s="1400"/>
      <c r="H100" s="985"/>
      <c r="J100" s="985"/>
      <c r="K100" s="985"/>
      <c r="L100" s="985"/>
    </row>
    <row r="101" spans="2:12">
      <c r="B101" s="2402"/>
      <c r="D101" s="1400"/>
      <c r="E101" s="1400"/>
      <c r="F101" s="985"/>
      <c r="G101" s="1400"/>
      <c r="H101" s="985"/>
      <c r="J101" s="985"/>
      <c r="K101" s="985"/>
      <c r="L101" s="985"/>
    </row>
    <row r="102" spans="2:12">
      <c r="B102" s="2402"/>
      <c r="D102" s="1400"/>
      <c r="E102" s="1400"/>
      <c r="F102" s="985"/>
      <c r="G102" s="1400"/>
      <c r="H102" s="985"/>
      <c r="J102" s="985"/>
      <c r="K102" s="985"/>
      <c r="L102" s="985"/>
    </row>
    <row r="103" spans="2:12">
      <c r="D103" s="1400"/>
      <c r="E103" s="1400"/>
      <c r="F103" s="985"/>
      <c r="G103" s="1400"/>
      <c r="H103" s="985"/>
      <c r="J103" s="985"/>
      <c r="K103" s="985"/>
      <c r="L103" s="985"/>
    </row>
    <row r="104" spans="2:12" ht="21">
      <c r="B104" s="2171"/>
      <c r="C104" s="1879"/>
      <c r="D104" s="1879"/>
      <c r="E104" s="1879"/>
      <c r="F104" s="1879"/>
      <c r="H104" s="985"/>
      <c r="J104" s="985"/>
      <c r="K104" s="985"/>
      <c r="L104" s="985"/>
    </row>
    <row r="105" spans="2:12" ht="21">
      <c r="B105" s="2171"/>
      <c r="C105" s="2249"/>
      <c r="D105" s="2250"/>
      <c r="E105" s="1879"/>
      <c r="F105" s="1879"/>
      <c r="H105" s="985"/>
      <c r="J105" s="985"/>
      <c r="K105" s="985"/>
      <c r="L105" s="985"/>
    </row>
    <row r="106" spans="2:12" ht="21">
      <c r="B106" s="2171"/>
      <c r="C106" s="1879"/>
      <c r="D106" s="1879"/>
      <c r="E106" s="1879"/>
      <c r="F106" s="1879"/>
      <c r="H106" s="985"/>
      <c r="J106" s="985"/>
      <c r="K106" s="985"/>
      <c r="L106" s="985"/>
    </row>
    <row r="107" spans="2:12">
      <c r="B107" s="1879"/>
      <c r="C107" s="1879"/>
      <c r="D107" s="1879"/>
      <c r="E107" s="1879"/>
      <c r="F107" s="1879"/>
      <c r="H107" s="985"/>
      <c r="J107" s="985"/>
      <c r="K107" s="985"/>
      <c r="L107" s="985"/>
    </row>
    <row r="108" spans="2:12">
      <c r="F108" s="985"/>
      <c r="H108" s="985"/>
      <c r="J108" s="985"/>
      <c r="K108" s="985"/>
      <c r="L108" s="985"/>
    </row>
    <row r="109" spans="2:12" ht="21">
      <c r="B109" s="2247"/>
      <c r="C109" s="2248"/>
      <c r="D109" s="2248"/>
      <c r="E109" s="2248"/>
      <c r="H109" s="985"/>
    </row>
    <row r="110" spans="2:12" ht="21">
      <c r="B110" s="2171"/>
      <c r="C110" s="1879"/>
      <c r="D110" s="1879"/>
      <c r="E110" s="1879"/>
    </row>
    <row r="111" spans="2:12" ht="21">
      <c r="B111" s="2171"/>
      <c r="C111" s="1879"/>
      <c r="D111" s="1879"/>
      <c r="E111" s="1879"/>
      <c r="H111" s="2134"/>
    </row>
    <row r="112" spans="2:12" ht="21">
      <c r="B112" s="2171"/>
      <c r="C112" s="1879"/>
      <c r="D112" s="1879"/>
      <c r="E112" s="1879"/>
    </row>
    <row r="113" spans="2:5" ht="21">
      <c r="B113" s="2171"/>
      <c r="C113" s="1879"/>
      <c r="D113" s="1879"/>
      <c r="E113" s="1879"/>
    </row>
    <row r="114" spans="2:5" ht="21">
      <c r="B114" s="2171"/>
      <c r="C114" s="1879"/>
      <c r="D114" s="1879"/>
      <c r="E114" s="1879"/>
    </row>
    <row r="115" spans="2:5" ht="21">
      <c r="B115" s="2171"/>
      <c r="C115" s="1879"/>
      <c r="D115" s="1879"/>
      <c r="E115" s="1879"/>
    </row>
    <row r="116" spans="2:5" ht="21">
      <c r="B116" s="2171"/>
      <c r="C116" s="2249"/>
      <c r="D116" s="2250"/>
      <c r="E116" s="1879"/>
    </row>
    <row r="117" spans="2:5" ht="21">
      <c r="B117" s="2171"/>
      <c r="C117" s="1879"/>
      <c r="D117" s="1879"/>
      <c r="E117" s="1879"/>
    </row>
    <row r="118" spans="2:5">
      <c r="B118" s="1879"/>
      <c r="C118" s="1879"/>
      <c r="D118" s="1879"/>
      <c r="E118" s="1879"/>
    </row>
  </sheetData>
  <mergeCells count="3">
    <mergeCell ref="B1:H1"/>
    <mergeCell ref="B71:H71"/>
    <mergeCell ref="B80:H82"/>
  </mergeCells>
  <printOptions horizontalCentered="1"/>
  <pageMargins left="0.25" right="0.25" top="0.25" bottom="0.25" header="0.3" footer="0.3"/>
  <pageSetup scale="75" fitToHeight="2" orientation="portrait" r:id="rId1"/>
  <headerFooter>
    <oddFooter>&amp;R&amp;P of &amp;N</oddFooter>
  </headerFooter>
  <rowBreaks count="1" manualBreakCount="1">
    <brk id="48" min="9" max="14" man="1"/>
  </rowBreaks>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RS300"/>
  <sheetViews>
    <sheetView zoomScale="85" zoomScaleNormal="85" workbookViewId="0">
      <pane xSplit="2" ySplit="11" topLeftCell="P111" activePane="bottomRight" state="frozen"/>
      <selection pane="topRight" activeCell="C1" sqref="C1"/>
      <selection pane="bottomLeft" activeCell="A12" sqref="A12"/>
      <selection pane="bottomRight" activeCell="AO5" sqref="AO5"/>
    </sheetView>
  </sheetViews>
  <sheetFormatPr defaultColWidth="8.7109375" defaultRowHeight="15"/>
  <cols>
    <col min="1" max="1" width="40.5703125" customWidth="1"/>
    <col min="2" max="2" width="19" customWidth="1"/>
    <col min="4" max="43" width="18.5703125" customWidth="1"/>
    <col min="804" max="843" width="8.7109375" style="2061"/>
    <col min="1044" max="1163" width="8.7109375" style="2062"/>
  </cols>
  <sheetData>
    <row r="1" spans="1:43">
      <c r="A1" s="2043">
        <v>98</v>
      </c>
      <c r="C1" s="2044" t="s">
        <v>1263</v>
      </c>
      <c r="E1" s="795">
        <f ca="1">IF(COUNT(E12:E300)=0,"-",AVERAGE(E12:OFFSET(E12,$A$1-1,0)))</f>
        <v>8987.3909105128278</v>
      </c>
      <c r="G1" s="795">
        <f ca="1">IF(COUNT(G12:G300)=0,"-",AVERAGE(G12:OFFSET(G12,$A$1-1,0)))</f>
        <v>3486.9620435875572</v>
      </c>
      <c r="I1" s="795">
        <f ca="1">IF(COUNT(I12:I300)=0,"-",AVERAGE(I12:OFFSET(I12,$A$1-1,0)))</f>
        <v>1615.4673475016411</v>
      </c>
      <c r="K1" s="795">
        <f ca="1">IF(COUNT(K12:K300)=0,"-",AVERAGE(K12:OFFSET(K12,$A$1-1,0)))</f>
        <v>93187.487333791505</v>
      </c>
      <c r="M1" s="795">
        <f ca="1">IF(COUNT(M12:M300)=0,"-",AVERAGE(M12:OFFSET(M12,$A$1-1,0)))</f>
        <v>7282.348103012635</v>
      </c>
      <c r="O1" s="795">
        <f ca="1">IF(COUNT(O12:O300)=0,"-",AVERAGE(O12:OFFSET(O12,$A$1-1,0)))</f>
        <v>240.70884847814224</v>
      </c>
      <c r="Q1" s="795">
        <f ca="1">IF(COUNT(Q12:Q300)=0,"-",AVERAGE(Q12:OFFSET(Q12,$A$1-1,0)))</f>
        <v>848.07583662739751</v>
      </c>
      <c r="S1" s="795">
        <f ca="1">IF(COUNT(S12:S300)=0,"-",AVERAGE(S12:OFFSET(S12,$A$1-1,0)))</f>
        <v>1685.9830670972435</v>
      </c>
      <c r="U1" s="795">
        <f ca="1">IF(COUNT(U12:U300)=0,"-",AVERAGE(U12:OFFSET(U12,$A$1-1,0)))</f>
        <v>180.64095280598303</v>
      </c>
      <c r="W1" s="795">
        <f ca="1">IF(COUNT(W12:W300)=0,"-",AVERAGE(W12:OFFSET(W12,$A$1-1,0)))</f>
        <v>1059.8017798285177</v>
      </c>
      <c r="Y1" s="795">
        <f ca="1">IF(COUNT(Y12:Y300)=0,"-",AVERAGE(Y12:OFFSET(Y12,$A$1-1,0)))</f>
        <v>286.79648112131321</v>
      </c>
      <c r="AA1" s="795">
        <f ca="1">IF(COUNT(AA12:AA300)=0,"-",AVERAGE(AA12:OFFSET(AA12,$A$1-1,0)))</f>
        <v>192.86229406922692</v>
      </c>
      <c r="AC1" s="795">
        <f ca="1">IF(COUNT(AC12:AC300)=0,"-",AVERAGE(AC12:OFFSET(AC12,$A$1-1,0)))</f>
        <v>138.36606334394247</v>
      </c>
      <c r="AE1" s="795">
        <f ca="1">IF(COUNT(AE12:AE300)=0,"-",AVERAGE(AE12:OFFSET(AE12,$A$1-1,0)))</f>
        <v>453.14527015881907</v>
      </c>
      <c r="AG1" s="795">
        <f ca="1">IF(COUNT(AG12:AG300)=0,"-",AVERAGE(AG12:OFFSET(AG12,$A$1-1,0)))</f>
        <v>1753.9043663275741</v>
      </c>
      <c r="AI1" s="795" t="str">
        <f ca="1">IF(COUNT(AI12:AI300)=0,"-",AVERAGE(AI12:OFFSET(AI12,$A$1-1,0)))</f>
        <v>-</v>
      </c>
      <c r="AK1" s="795">
        <f ca="1">IF(COUNT(AK12:AK300)=0,"-",AVERAGE(AK12:OFFSET(AK12,$A$1-1,0)))</f>
        <v>713.69949191269438</v>
      </c>
      <c r="AM1" s="795" t="str">
        <f ca="1">IF(COUNT(AM12:AM300)=0,"-",AVERAGE(AM12:OFFSET(AM12,$A$1-1,0)))</f>
        <v>-</v>
      </c>
      <c r="AO1" s="795">
        <f ca="1">IF(COUNT(AO12:AO300)=0,"-",AVERAGE(AO12:OFFSET(AO12,$A$1-1,0)))</f>
        <v>335.83948872779041</v>
      </c>
      <c r="AQ1" s="795">
        <f ca="1">IF(COUNT(AQ12:AQ300)=0,"-",AVERAGE(AQ12:OFFSET(AQ12,$A$1-1,0)))</f>
        <v>13403.064942244508</v>
      </c>
    </row>
    <row r="2" spans="1:43">
      <c r="C2" s="2044" t="s">
        <v>1264</v>
      </c>
      <c r="E2" s="795">
        <f ca="1">IF(COUNT(E12:E300)=0,"-",E1-(2*_xlfn.STDEV.P(E12:OFFSET(E12,$A$1-1,0))))</f>
        <v>-10312.641824427776</v>
      </c>
      <c r="G2" s="795">
        <f ca="1">IF(COUNT(G12:G300)=0,"-",G1-(2*_xlfn.STDEV.P(G12:OFFSET(G12,$A$1-1,0))))</f>
        <v>-7432.5162237775312</v>
      </c>
      <c r="I2" s="795">
        <f ca="1">IF(COUNT(I12:I300)=0,"-",I1-(2*_xlfn.STDEV.P(I12:OFFSET(I12,$A$1-1,0))))</f>
        <v>-1278.4556757679866</v>
      </c>
      <c r="K2" s="795">
        <f ca="1">IF(COUNT(K12:K300)=0,"-",K1-(2*_xlfn.STDEV.P(K12:OFFSET(K12,$A$1-1,0))))</f>
        <v>-168521.66236481071</v>
      </c>
      <c r="M2" s="795">
        <f ca="1">IF(COUNT(M12:M300)=0,"-",M1-(2*_xlfn.STDEV.P(M12:OFFSET(M12,$A$1-1,0))))</f>
        <v>-20385.530500116438</v>
      </c>
      <c r="O2" s="795">
        <f ca="1">IF(COUNT(O12:O300)=0,"-",O1-(2*_xlfn.STDEV.P(O12:OFFSET(O12,$A$1-1,0))))</f>
        <v>-437.41133795953829</v>
      </c>
      <c r="Q2" s="795">
        <f ca="1">IF(COUNT(Q12:Q300)=0,"-",Q1-(2*_xlfn.STDEV.P(Q12:OFFSET(Q12,$A$1-1,0))))</f>
        <v>-2032.5282026097893</v>
      </c>
      <c r="S2" s="795">
        <f ca="1">IF(COUNT(S12:S300)=0,"-",S1-(2*_xlfn.STDEV.P(S12:OFFSET(S12,$A$1-1,0))))</f>
        <v>-4645.0657348086606</v>
      </c>
      <c r="U2" s="795">
        <f ca="1">IF(COUNT(U12:U300)=0,"-",U1-(2*_xlfn.STDEV.P(U12:OFFSET(U12,$A$1-1,0))))</f>
        <v>-829.95543711797677</v>
      </c>
      <c r="W2" s="795">
        <f ca="1">IF(COUNT(W12:W300)=0,"-",W1-(2*_xlfn.STDEV.P(W12:OFFSET(W12,$A$1-1,0))))</f>
        <v>-1032.8268904916104</v>
      </c>
      <c r="Y2" s="795">
        <f ca="1">IF(COUNT(Y12:Y300)=0,"-",Y1-(2*_xlfn.STDEV.P(Y12:OFFSET(Y12,$A$1-1,0))))</f>
        <v>-288.83918993578931</v>
      </c>
      <c r="AA2" s="795">
        <f ca="1">IF(COUNT(AA12:AA300)=0,"-",AA1-(2*_xlfn.STDEV.P(AA12:OFFSET(AA12,$A$1-1,0))))</f>
        <v>-388.53200483154421</v>
      </c>
      <c r="AC2" s="795">
        <f ca="1">IF(COUNT(AC12:AC300)=0,"-",AC1-(2*_xlfn.STDEV.P(AC12:OFFSET(AC12,$A$1-1,0))))</f>
        <v>-485.03423903736592</v>
      </c>
      <c r="AE2" s="795">
        <f ca="1">IF(COUNT(AE12:AE300)=0,"-",AE1-(2*_xlfn.STDEV.P(AE12:OFFSET(AE12,$A$1-1,0))))</f>
        <v>-1418.2857159691548</v>
      </c>
      <c r="AG2" s="795">
        <f ca="1">IF(COUNT(AG12:AG300)=0,"-",AG1-(2*_xlfn.STDEV.P(AG12:OFFSET(AG12,$A$1-1,0))))</f>
        <v>-1738.5016315304836</v>
      </c>
      <c r="AI2" s="795" t="str">
        <f ca="1">IF(COUNT(AI12:AI300)=0,"-",AI1-(2*_xlfn.STDEV.P(AI12:OFFSET(AI12,$A$1-1,0))))</f>
        <v>-</v>
      </c>
      <c r="AK2" s="795">
        <f ca="1">IF(COUNT(AK12:AK300)=0,"-",AK1-(2*_xlfn.STDEV.P(AK12:OFFSET(AK12,$A$1-1,0))))</f>
        <v>-1032.5610428166108</v>
      </c>
      <c r="AM2" s="795" t="str">
        <f ca="1">IF(COUNT(AM12:AM300)=0,"-",AM1-(2*_xlfn.STDEV.P(AM12:OFFSET(AM12,$A$1-1,0))))</f>
        <v>-</v>
      </c>
      <c r="AO2" s="795">
        <f ca="1">IF(COUNT(AO12:AO300)=0,"-",AO1-(2*_xlfn.STDEV.P(AO12:OFFSET(AO12,$A$1-1,0))))</f>
        <v>-499.27065385436077</v>
      </c>
      <c r="AQ2" s="795">
        <f ca="1">IF(COUNT(AQ12:AQ300)=0,"-",AQ1-(2*_xlfn.STDEV.P(AQ12:OFFSET(AQ12,$A$1-1,0))))</f>
        <v>-60126.711540979166</v>
      </c>
    </row>
    <row r="3" spans="1:43">
      <c r="A3" s="2545" t="s">
        <v>1265</v>
      </c>
      <c r="C3" s="2044" t="s">
        <v>1266</v>
      </c>
      <c r="E3" s="795">
        <f ca="1">IF(COUNT(E12:E300)=0,"-",E1+(2*_xlfn.STDEV.P(E12:OFFSET(E12,$A$1-1,0))))</f>
        <v>28287.423645453433</v>
      </c>
      <c r="G3" s="795">
        <f ca="1">IF(COUNT(G12:G300)=0,"-",G1+(2*_xlfn.STDEV.P(G12:OFFSET(G12,$A$1-1,0))))</f>
        <v>14406.440310952645</v>
      </c>
      <c r="I3" s="795">
        <f ca="1">IF(COUNT(I12:I300)=0,"-",I1+(2*_xlfn.STDEV.P(I12:OFFSET(I12,$A$1-1,0))))</f>
        <v>4509.3903707712689</v>
      </c>
      <c r="K3" s="795">
        <f ca="1">IF(COUNT(K12:K300)=0,"-",K1+(2*_xlfn.STDEV.P(K12:OFFSET(K12,$A$1-1,0))))</f>
        <v>354896.63703239372</v>
      </c>
      <c r="M3" s="795">
        <f ca="1">IF(COUNT(M12:M300)=0,"-",M1+(2*_xlfn.STDEV.P(M12:OFFSET(M12,$A$1-1,0))))</f>
        <v>34950.226706141708</v>
      </c>
      <c r="O3" s="795">
        <f ca="1">IF(COUNT(O12:O300)=0,"-",O1+(2*_xlfn.STDEV.P(O12:OFFSET(O12,$A$1-1,0))))</f>
        <v>918.82903491582283</v>
      </c>
      <c r="Q3" s="795">
        <f ca="1">IF(COUNT(Q12:Q300)=0,"-",Q1+(2*_xlfn.STDEV.P(Q12:OFFSET(Q12,$A$1-1,0))))</f>
        <v>3728.6798758645846</v>
      </c>
      <c r="S3" s="795">
        <f ca="1">IF(COUNT(S12:S300)=0,"-",S1+(2*_xlfn.STDEV.P(S12:OFFSET(S12,$A$1-1,0))))</f>
        <v>8017.0318690031472</v>
      </c>
      <c r="U3" s="795">
        <f ca="1">IF(COUNT(U12:U300)=0,"-",U1+(2*_xlfn.STDEV.P(U12:OFFSET(U12,$A$1-1,0))))</f>
        <v>1191.2373427299428</v>
      </c>
      <c r="W3" s="795">
        <f ca="1">IF(COUNT(W12:W300)=0,"-",W1+(2*_xlfn.STDEV.P(W12:OFFSET(W12,$A$1-1,0))))</f>
        <v>3152.4304501486458</v>
      </c>
      <c r="Y3" s="795">
        <f ca="1">IF(COUNT(Y12:Y300)=0,"-",Y1+(2*_xlfn.STDEV.P(Y12:OFFSET(Y12,$A$1-1,0))))</f>
        <v>862.43215217841566</v>
      </c>
      <c r="AA3" s="795">
        <f ca="1">IF(COUNT(AA12:AA300)=0,"-",AA1+(2*_xlfn.STDEV.P(AA12:OFFSET(AA12,$A$1-1,0))))</f>
        <v>774.256592969998</v>
      </c>
      <c r="AC3" s="795">
        <f ca="1">IF(COUNT(AC12:AC300)=0,"-",AC1+(2*_xlfn.STDEV.P(AC12:OFFSET(AC12,$A$1-1,0))))</f>
        <v>761.76636572525081</v>
      </c>
      <c r="AE3" s="795">
        <f ca="1">IF(COUNT(AE12:AE300)=0,"-",AE1+(2*_xlfn.STDEV.P(AE12:OFFSET(AE12,$A$1-1,0))))</f>
        <v>2324.5762562867931</v>
      </c>
      <c r="AG3" s="795">
        <f ca="1">IF(COUNT(AG12:AG300)=0,"-",AG1+(2*_xlfn.STDEV.P(AG12:OFFSET(AG12,$A$1-1,0))))</f>
        <v>5246.3103641856314</v>
      </c>
      <c r="AI3" s="795" t="str">
        <f ca="1">IF(COUNT(AI12:AI300)=0,"-",AI1+(2*_xlfn.STDEV.P(AI12:OFFSET(AI12,$A$1-1,0))))</f>
        <v>-</v>
      </c>
      <c r="AK3" s="795">
        <f ca="1">IF(COUNT(AK12:AK300)=0,"-",AK1+(2*_xlfn.STDEV.P(AK12:OFFSET(AK12,$A$1-1,0))))</f>
        <v>2459.9600266419993</v>
      </c>
      <c r="AM3" s="795" t="str">
        <f ca="1">IF(COUNT(AM12:AM300)=0,"-",AM1+(2*_xlfn.STDEV.P(AM12:OFFSET(AM12,$A$1-1,0))))</f>
        <v>-</v>
      </c>
      <c r="AO3" s="795">
        <f ca="1">IF(COUNT(AO12:AO300)=0,"-",AO1+(2*_xlfn.STDEV.P(AO12:OFFSET(AO12,$A$1-1,0))))</f>
        <v>1170.9496313099417</v>
      </c>
      <c r="AQ3" s="795">
        <f ca="1">IF(COUNT(AQ12:AQ300)=0,"-",AQ1+(2*_xlfn.STDEV.P(AQ12:OFFSET(AQ12,$A$1-1,0))))</f>
        <v>86932.841425468185</v>
      </c>
    </row>
    <row r="4" spans="1:43">
      <c r="A4" s="2545"/>
      <c r="C4" s="2044" t="s">
        <v>1267</v>
      </c>
      <c r="E4" s="2045">
        <f ca="1">IF(COUNT(E12:E300)=0,"-",AVERAGEIFS(E12:E300, E12:E300, "&gt;="&amp;E2,E12:E300,"&lt;="&amp;E3))</f>
        <v>6773.7852964044459</v>
      </c>
      <c r="G4" s="2045">
        <f ca="1">IF(COUNT(G12:G300)=0,"-",AVERAGEIFS(G12:G300, G12:G300, "&gt;="&amp;G2,G12:G300,"&lt;="&amp;G3))</f>
        <v>2260.8665127957693</v>
      </c>
      <c r="I4" s="2045">
        <f ca="1">IF(COUNT(I12:I300)=0,"-",AVERAGEIFS(I12:I300, I12:I300, "&gt;="&amp;I2,I12:I300,"&lt;="&amp;I3))</f>
        <v>1615.4673475016411</v>
      </c>
      <c r="K4" s="2045">
        <f ca="1">IF(COUNT(K12:K300)=0,"-",AVERAGEIFS(K12:K300, K12:K300, "&gt;="&amp;K2,K12:K300,"&lt;="&amp;K3))</f>
        <v>93187.487333791505</v>
      </c>
      <c r="M4" s="2045">
        <f ca="1">IF(COUNT(M12:M300)=0,"-",AVERAGEIFS(M12:M300, M12:M300, "&gt;="&amp;M2,M12:M300,"&lt;="&amp;M3))</f>
        <v>2416.9142100863573</v>
      </c>
      <c r="O4" s="2045">
        <f ca="1">IF(COUNT(O12:O300)=0,"-",AVERAGEIFS(O12:O300, O12:O300, "&gt;="&amp;O2,O12:O300,"&lt;="&amp;O3))</f>
        <v>210.82008135385834</v>
      </c>
      <c r="Q4" s="2045">
        <f ca="1">IF(COUNT(Q12:Q300)=0,"-",AVERAGEIFS(Q12:Q300, Q12:Q300, "&gt;="&amp;Q2,Q12:Q300,"&lt;="&amp;Q3))</f>
        <v>684.79226459514132</v>
      </c>
      <c r="S4" s="2045">
        <f ca="1">IF(COUNT(S12:S300)=0,"-",AVERAGEIFS(S12:S300, S12:S300, "&gt;="&amp;S2,S12:S300,"&lt;="&amp;S3))</f>
        <v>1244.8365200328642</v>
      </c>
      <c r="U4" s="2045">
        <f ca="1">IF(COUNT(U12:U300)=0,"-",AVERAGEIFS(U12:U300, U12:U300, "&gt;="&amp;U2,U12:U300,"&lt;="&amp;U3))</f>
        <v>80.351146331195039</v>
      </c>
      <c r="W4" s="2045">
        <f ca="1">IF(COUNT(W12:W300)=0,"-",AVERAGEIFS(W12:W300, W12:W300, "&gt;="&amp;W2,W12:W300,"&lt;="&amp;W3))</f>
        <v>950.63391721906351</v>
      </c>
      <c r="Y4" s="2045">
        <f ca="1">IF(COUNT(Y12:Y300)=0,"-",AVERAGEIFS(Y12:Y300, Y12:Y300, "&gt;="&amp;Y2,Y12:Y300,"&lt;="&amp;Y3))</f>
        <v>201.39120916535634</v>
      </c>
      <c r="AA4" s="2045">
        <f ca="1">IF(COUNT(AA12:AA300)=0,"-",AVERAGEIFS(AA12:AA300, AA12:AA300, "&gt;="&amp;AA2,AA12:AA300,"&lt;="&amp;AA3))</f>
        <v>128.49125621941562</v>
      </c>
      <c r="AC4" s="2045">
        <f ca="1">IF(COUNT(AC12:AC300)=0,"-",AVERAGEIFS(AC12:AC300, AC12:AC300, "&gt;="&amp;AC2,AC12:AC300,"&lt;="&amp;AC3))</f>
        <v>76.344651201107411</v>
      </c>
      <c r="AE4" s="2045">
        <f ca="1">IF(COUNT(AE12:AE300)=0,"-",AVERAGEIFS(AE12:AE300, AE12:AE300, "&gt;="&amp;AE2,AE12:AE300,"&lt;="&amp;AE3))</f>
        <v>204.02816231640432</v>
      </c>
      <c r="AG4" s="2045">
        <f ca="1">IF(COUNT(AG12:AG300)=0,"-",AVERAGEIFS(AG12:AG300, AG12:AG300, "&gt;="&amp;AG2,AG12:AG300,"&lt;="&amp;AG3))</f>
        <v>1169.3413390726705</v>
      </c>
      <c r="AI4" s="2045" t="str">
        <f>IF(COUNT(AI12:AI300)=0,"-",AVERAGEIFS(AI12:AI300, AI12:AI300, "&gt;="&amp;AI2,AI12:AI300,"&lt;="&amp;AI3))</f>
        <v>-</v>
      </c>
      <c r="AK4" s="2045">
        <f ca="1">IF(COUNT(AK12:AK300)=0,"-",AVERAGEIFS(AK12:AK300, AK12:AK300, "&gt;="&amp;AK2,AK12:AK300,"&lt;="&amp;AK3))</f>
        <v>617.63607508917073</v>
      </c>
      <c r="AM4" s="2045" t="str">
        <f>IF(COUNT(AM12:AM300)=0,"-",AVERAGEIFS(AM12:AM300, AM12:AM300, "&gt;="&amp;AM2,AM12:AM300,"&lt;="&amp;AM3))</f>
        <v>-</v>
      </c>
      <c r="AO4" s="2045">
        <f ca="1">IF(COUNT(AO12:AO300)=0,"-",AVERAGEIFS(AO12:AO300, AO12:AO300, "&gt;="&amp;AO2,AO12:AO300,"&lt;="&amp;AO3))</f>
        <v>244.93534222233254</v>
      </c>
      <c r="AQ4" s="2045">
        <f ca="1">IF(COUNT(AQ12:AQ300)=0,"-",AVERAGEIFS(AQ12:AQ300, AQ12:AQ300, "&gt;="&amp;AQ2,AQ12:AQ300,"&lt;="&amp;AQ3))</f>
        <v>8570.7914332409491</v>
      </c>
    </row>
    <row r="5" spans="1:43">
      <c r="A5" s="2545"/>
      <c r="C5" s="2044" t="s">
        <v>1268</v>
      </c>
      <c r="E5" s="2046">
        <f ca="1">IF(COUNT(E12:E300)=0,"-",SUMIFS(D12:D300,E12:E300,"&gt;="&amp;E2,E12:E300,"&lt;="&amp;E3)/SUMIFS($B12:$B300,E12:E300,"&gt;="&amp;E2,E12:E300,"&lt;="&amp;E3))</f>
        <v>8297.3256609605232</v>
      </c>
      <c r="G5" s="2046">
        <f ca="1">IF(COUNT(G12:G300)=0,"-",SUMIFS(F12:F300,G12:G300,"&gt;="&amp;G2,G12:G300,"&lt;="&amp;G3)/SUMIFS($B12:$B300,G12:G300,"&gt;="&amp;G2,G12:G300,"&lt;="&amp;G3))</f>
        <v>1370.823171227084</v>
      </c>
      <c r="I5" s="2046">
        <f ca="1">IF(COUNT(I12:I300)=0,"-",SUMIFS(H12:H300,I12:I300,"&gt;="&amp;I2,I12:I300,"&lt;="&amp;I3)/SUMIFS($B12:$B300,I12:I300,"&gt;="&amp;I2,I12:I300,"&lt;="&amp;I3))</f>
        <v>1393.3796562462571</v>
      </c>
      <c r="K5" s="2046">
        <f ca="1">IF(COUNT(K12:K300)=0,"-",SUMIFS(J12:J300,K12:K300,"&gt;="&amp;K2,K12:K300,"&lt;="&amp;K3)/SUMIFS($B12:$B300,K12:K300,"&gt;="&amp;K2,K12:K300,"&lt;="&amp;K3))</f>
        <v>348.14015104101475</v>
      </c>
      <c r="M5" s="2046">
        <f ca="1">IF(COUNT(M12:M300)=0,"-",SUMIFS(L12:L300,M12:M300,"&gt;="&amp;M2,M12:M300,"&lt;="&amp;M3)/SUMIFS($B12:$B300,M12:M300,"&gt;="&amp;M2,M12:M300,"&lt;="&amp;M3))</f>
        <v>4203.0774040928018</v>
      </c>
      <c r="O5" s="2046">
        <f ca="1">IF(COUNT(O12:O300)=0,"-",SUMIFS(N12:N300,O12:O300,"&gt;="&amp;O2,O12:O300,"&lt;="&amp;O3)/SUMIFS($B12:$B300,O12:O300,"&gt;="&amp;O2,O12:O300,"&lt;="&amp;O3))</f>
        <v>192.10807561388694</v>
      </c>
      <c r="Q5" s="2046">
        <f ca="1">IF(COUNT(Q12:Q300)=0,"-",SUMIFS(P12:P300,Q12:Q300,"&gt;="&amp;Q2,Q12:Q300,"&lt;="&amp;Q3)/SUMIFS($B12:$B300,Q12:Q300,"&gt;="&amp;Q2,Q12:Q300,"&lt;="&amp;Q3))</f>
        <v>604.42584402801799</v>
      </c>
      <c r="S5" s="2046">
        <f ca="1">IF(COUNT(S12:S300)=0,"-",SUMIFS(R12:R300,S12:S300,"&gt;="&amp;S2,S12:S300,"&lt;="&amp;S3)/SUMIFS($B12:$B300,S12:S300,"&gt;="&amp;S2,S12:S300,"&lt;="&amp;S3))</f>
        <v>1371.7889272992938</v>
      </c>
      <c r="U5" s="2046">
        <f ca="1">IF(COUNT(U12:U300)=0,"-",SUMIFS(T12:T300,U12:U300,"&gt;="&amp;U2,U12:U300,"&lt;="&amp;U3)/SUMIFS($B12:$B300,U12:U300,"&gt;="&amp;U2,U12:U300,"&lt;="&amp;U3))</f>
        <v>30.505349583790139</v>
      </c>
      <c r="W5" s="2046">
        <f ca="1">IF(COUNT(W12:W300)=0,"-",SUMIFS(V12:V300,W12:W300,"&gt;="&amp;W2,W12:W300,"&lt;="&amp;W3)/SUMIFS($B12:$B300,W12:W300,"&gt;="&amp;W2,W12:W300,"&lt;="&amp;W3))</f>
        <v>839.20578998206827</v>
      </c>
      <c r="Y5" s="2046">
        <f ca="1">IF(COUNT(Y12:Y300)=0,"-",SUMIFS(X12:X300,Y12:Y300,"&gt;="&amp;Y2,Y12:Y300,"&lt;="&amp;Y3)/SUMIFS($B12:$B300,Y12:Y300,"&gt;="&amp;Y2,Y12:Y300,"&lt;="&amp;Y3))</f>
        <v>69.369311564966438</v>
      </c>
      <c r="AA5" s="2046">
        <f ca="1">IF(COUNT(AA12:AA300)=0,"-",SUMIFS(Z12:Z300,AA12:AA300,"&gt;="&amp;AA2,AA12:AA300,"&lt;="&amp;AA3)/SUMIFS($B12:$B300,AA12:AA300,"&gt;="&amp;AA2,AA12:AA300,"&lt;="&amp;AA3))</f>
        <v>122.94788546014591</v>
      </c>
      <c r="AC5" s="2046">
        <f ca="1">IF(COUNT(AC12:AC300)=0,"-",SUMIFS(AB12:AB300,AC12:AC300,"&gt;="&amp;AC2,AC12:AC300,"&lt;="&amp;AC3)/SUMIFS($B12:$B300,AC12:AC300,"&gt;="&amp;AC2,AC12:AC300,"&lt;="&amp;AC3))</f>
        <v>85.873814081800745</v>
      </c>
      <c r="AE5" s="2046">
        <f ca="1">IF(COUNT(AE12:AE300)=0,"-",SUMIFS(AD12:AD300,AE12:AE300,"&gt;="&amp;AE2,AE12:AE300,"&lt;="&amp;AE3)/SUMIFS($B12:$B300,AE12:AE300,"&gt;="&amp;AE2,AE12:AE300,"&lt;="&amp;AE3))</f>
        <v>384.76684137086392</v>
      </c>
      <c r="AG5" s="2046">
        <f ca="1">IF(COUNT(AG12:AG300)=0,"-",SUMIFS(AF12:AF300,AG12:AG300,"&gt;="&amp;AG2,AG12:AG300,"&lt;="&amp;AG3)/SUMIFS($B12:$B300,AG12:AG300,"&gt;="&amp;AG2,AG12:AG300,"&lt;="&amp;AG3))</f>
        <v>0.41211630058537013</v>
      </c>
      <c r="AI5" s="2046" t="str">
        <f>IF(COUNT(AI12:AI300)=0,"-",SUMIFS(AH12:AH300,AI12:AI300,"&gt;="&amp;AI2,AI12:AI300,"&lt;="&amp;AI3)/SUMIFS($B12:$B300,AI12:AI300,"&gt;="&amp;AI2,AI12:AI300,"&lt;="&amp;AI3))</f>
        <v>-</v>
      </c>
      <c r="AK5" s="2046">
        <f ca="1">IF(COUNT(AK12:AK300)=0,"-",SUMIFS(AJ12:AJ300,AK12:AK300,"&gt;="&amp;AK2,AK12:AK300,"&lt;="&amp;AK3)/SUMIFS($B12:$B300,AK12:AK300,"&gt;="&amp;AK2,AK12:AK300,"&lt;="&amp;AK3))</f>
        <v>693.71474143152727</v>
      </c>
      <c r="AM5" s="2046" t="str">
        <f>IF(COUNT(AM12:AM300)=0,"-",SUMIFS(AL12:AL300,AM12:AM300,"&gt;="&amp;AM2,AM12:AM300,"&lt;="&amp;AM3)/SUMIFS($B12:$B300,AM12:AM300,"&gt;="&amp;AM2,AM12:AM300,"&lt;="&amp;AM3))</f>
        <v>-</v>
      </c>
      <c r="AO5" s="2046">
        <f ca="1">IF(COUNT(AO12:AO300)=0,"-",SUMIFS(AN12:AN300,AO12:AO300,"&gt;="&amp;AO2,AO12:AO300,"&lt;="&amp;AO3)/SUMIFS($B12:$B300,AO12:AO300,"&gt;="&amp;AO2,AO12:AO300,"&lt;="&amp;AO3))</f>
        <v>205.26583256985981</v>
      </c>
      <c r="AQ5" s="2046">
        <f ca="1">IF(COUNT(AQ12:AQ300)=0,"-",SUMIFS(AP12:AP300,AQ12:AQ300,"&gt;="&amp;AQ2,AQ12:AQ300,"&lt;="&amp;AQ3)/SUMIFS($B12:$B300,AQ12:AQ300,"&gt;="&amp;AQ2,AQ12:AQ300,"&lt;="&amp;AQ3))</f>
        <v>7931.7410438830257</v>
      </c>
    </row>
    <row r="6" spans="1:43">
      <c r="A6" s="2545"/>
      <c r="C6" s="2044" t="s">
        <v>1269</v>
      </c>
      <c r="E6" s="2047">
        <f ca="1">IF(COUNT(E12:E300)=0,"-",SUMIFS(E12:E300, E12:E300, "&gt;="&amp;E2,E12:E300,"&lt;="&amp;E3)/($A$1-COUNTIF(E12:E300,"&lt;"&amp;E$2)-COUNTIF(E12:E300,"&gt;"&amp;E$3)))</f>
        <v>3137.3321372820592</v>
      </c>
      <c r="G6" s="2047">
        <f ca="1">IF(COUNT(G12:G300)=0,"-",SUMIFS(G12:G300, G12:G300, "&gt;="&amp;G2,G12:G300,"&lt;="&amp;G3)/($A$1-COUNTIF(G12:G300,"&lt;"&amp;G$2)-COUNTIF(G12:G300,"&gt;"&amp;G$3)))</f>
        <v>880.54801024677317</v>
      </c>
      <c r="I6" s="2047">
        <f ca="1">IF(COUNT(I12:I300)=0,"-",SUMIFS(I12:I300, I12:I300, "&gt;="&amp;I2,I12:I300,"&lt;="&amp;I3)/($A$1-COUNTIF(I12:I300,"&lt;"&amp;I$2)-COUNTIF(I12:I300,"&gt;"&amp;I$3)))</f>
        <v>82.421803443961281</v>
      </c>
      <c r="K6" s="2047">
        <f ca="1">IF(COUNT(K12:K300)=0,"-",SUMIFS(K12:K300, K12:K300, "&gt;="&amp;K2,K12:K300,"&lt;="&amp;K3)/($A$1-COUNTIF(K12:K300,"&lt;"&amp;K$2)-COUNTIF(K12:K300,"&gt;"&amp;K$3)))</f>
        <v>2852.6781836874952</v>
      </c>
      <c r="M6" s="2047">
        <f ca="1">IF(COUNT(M12:M300)=0,"-",SUMIFS(M12:M300, M12:M300, "&gt;="&amp;M2,M12:M300,"&lt;="&amp;M3)/($A$1-COUNTIF(M12:M300,"&lt;"&amp;M$2)-COUNTIF(M12:M300,"&gt;"&amp;M$3)))</f>
        <v>174.41648938767528</v>
      </c>
      <c r="O6" s="2047">
        <f ca="1">IF(COUNT(O12:O300)=0,"-",SUMIFS(O12:O300, O12:O300, "&gt;="&amp;O2,O12:O300,"&lt;="&amp;O3)/($A$1-COUNTIF(O12:O300,"&lt;"&amp;O$2)-COUNTIF(O12:O300,"&gt;"&amp;O$3)))</f>
        <v>113.01695082887251</v>
      </c>
      <c r="Q6" s="2047">
        <f ca="1">IF(COUNT(Q12:Q300)=0,"-",SUMIFS(Q12:Q300, Q12:Q300, "&gt;="&amp;Q2,Q12:Q300,"&lt;="&amp;Q3)/($A$1-COUNTIF(Q12:Q300,"&lt;"&amp;Q$2)-COUNTIF(Q12:Q300,"&gt;"&amp;Q$3)))</f>
        <v>381.224559671522</v>
      </c>
      <c r="S6" s="2047">
        <f ca="1">IF(COUNT(S12:S300)=0,"-",SUMIFS(S12:S300, S12:S300, "&gt;="&amp;S2,S12:S300,"&lt;="&amp;S3)/($A$1-COUNTIF(S12:S300,"&lt;"&amp;S$2)-COUNTIF(S12:S300,"&gt;"&amp;S$3)))</f>
        <v>616.00157692347921</v>
      </c>
      <c r="U6" s="2047">
        <f ca="1">IF(COUNT(U12:U300)=0,"-",SUMIFS(U12:U300, U12:U300, "&gt;="&amp;U2,U12:U300,"&lt;="&amp;U3)/($A$1-COUNTIF(U12:U300,"&lt;"&amp;U$2)-COUNTIF(U12:U300,"&gt;"&amp;U$3)))</f>
        <v>19.880695999470937</v>
      </c>
      <c r="W6" s="2047">
        <f ca="1">IF(COUNT(W12:W300)=0,"-",SUMIFS(W12:W300, W12:W300, "&gt;="&amp;W2,W12:W300,"&lt;="&amp;W3)/($A$1-COUNTIF(W12:W300,"&lt;"&amp;W$2)-COUNTIF(W12:W300,"&gt;"&amp;W$3)))</f>
        <v>420.28025813895442</v>
      </c>
      <c r="Y6" s="2047">
        <f ca="1">IF(COUNT(Y12:Y300)=0,"-",SUMIFS(Y12:Y300, Y12:Y300, "&gt;="&amp;Y2,Y12:Y300,"&lt;="&amp;Y3)/($A$1-COUNTIF(Y12:Y300,"&lt;"&amp;Y$2)-COUNTIF(Y12:Y300,"&gt;"&amp;Y$3)))</f>
        <v>24.914376391590473</v>
      </c>
      <c r="AA6" s="2047">
        <f ca="1">IF(COUNT(AA12:AA300)=0,"-",SUMIFS(AA12:AA300, AA12:AA300, "&gt;="&amp;AA2,AA12:AA300,"&lt;="&amp;AA3)/($A$1-COUNTIF(AA12:AA300,"&lt;"&amp;AA$2)-COUNTIF(AA12:AA300,"&gt;"&amp;AA$3)))</f>
        <v>41.491968154186296</v>
      </c>
      <c r="AC6" s="2047">
        <f ca="1">IF(COUNT(AC12:AC300)=0,"-",SUMIFS(AC12:AC300, AC12:AC300, "&gt;="&amp;AC2,AC12:AC300,"&lt;="&amp;AC3)/($A$1-COUNTIF(AC12:AC300,"&lt;"&amp;AC$2)-COUNTIF(AC12:AC300,"&gt;"&amp;AC$3)))</f>
        <v>18.102339975520316</v>
      </c>
      <c r="AE6" s="2047">
        <f ca="1">IF(COUNT(AE12:AE300)=0,"-",SUMIFS(AE12:AE300, AE12:AE300, "&gt;="&amp;AE2,AE12:AE300,"&lt;="&amp;AE3)/($A$1-COUNTIF(AE12:AE300,"&lt;"&amp;AE$2)-COUNTIF(AE12:AE300,"&gt;"&amp;AE$3)))</f>
        <v>48.881747221638534</v>
      </c>
      <c r="AG6" s="2047">
        <f ca="1">IF(COUNT(AG12:AG300)=0,"-",SUMIFS(AG12:AG300, AG12:AG300, "&gt;="&amp;AG2,AG12:AG300,"&lt;="&amp;AG3)/($A$1-COUNTIF(AG12:AG300,"&lt;"&amp;AG$2)-COUNTIF(AG12:AG300,"&gt;"&amp;AG$3)))</f>
        <v>35.796163441000118</v>
      </c>
      <c r="AI6" s="2047" t="str">
        <f>IF(COUNT(AI12:AI300)=0,"-",SUMIFS(AI12:AI300, AI12:AI300, "&gt;="&amp;AI2,AI12:AI300,"&lt;="&amp;AI3)/($A$1-COUNTIF(AI12:AI300,"&lt;"&amp;AI$2)-COUNTIF(AI12:AI300,"&gt;"&amp;AI$3)))</f>
        <v>-</v>
      </c>
      <c r="AK6" s="2047">
        <f ca="1">IF(COUNT(AK12:AK300)=0,"-",SUMIFS(AK12:AK300, AK12:AK300, "&gt;="&amp;AK2,AK12:AK300,"&lt;="&amp;AK3)/($A$1-COUNTIF(AK12:AK300,"&lt;"&amp;AK$2)-COUNTIF(AK12:AK300,"&gt;"&amp;AK$3)))</f>
        <v>341.67102026209449</v>
      </c>
      <c r="AM6" s="2047" t="str">
        <f>IF(COUNT(AM12:AM300)=0,"-",SUMIFS(AM12:AM300, AM12:AM300, "&gt;="&amp;AM2,AM12:AM300,"&lt;="&amp;AM3)/($A$1-COUNTIF(AM12:AM300,"&lt;"&amp;AM$2)-COUNTIF(AM12:AM300,"&gt;"&amp;AM$3)))</f>
        <v>-</v>
      </c>
      <c r="AO6" s="2047">
        <f ca="1">IF(COUNT(AO12:AO300)=0,"-",SUMIFS(AO12:AO300, AO12:AO300, "&gt;="&amp;AO2,AO12:AO300,"&lt;="&amp;AO3)/($A$1-COUNTIF(AO12:AO300,"&lt;"&amp;AO$2)-COUNTIF(AO12:AO300,"&gt;"&amp;AO$3)))</f>
        <v>68.888065000031034</v>
      </c>
      <c r="AQ6" s="2047">
        <f ca="1">IF(COUNT(AQ12:AQ300)=0,"-",SUMIFS(AQ12:AQ300, AQ12:AQ300, "&gt;="&amp;AQ2,AQ12:AQ300,"&lt;="&amp;AQ3)/($A$1-COUNTIF(AQ12:AQ300,"&lt;"&amp;AQ$2)-COUNTIF(AQ12:AQ300,"&gt;"&amp;AQ$3)))</f>
        <v>4948.0857758916818</v>
      </c>
    </row>
    <row r="9" spans="1:43">
      <c r="D9" s="2048" t="s">
        <v>141</v>
      </c>
      <c r="E9" s="2049"/>
      <c r="F9" s="2048" t="s">
        <v>245</v>
      </c>
      <c r="G9" s="2049"/>
      <c r="H9" s="2048" t="s">
        <v>246</v>
      </c>
      <c r="I9" s="2049"/>
      <c r="J9" s="2048" t="s">
        <v>247</v>
      </c>
      <c r="K9" s="2049"/>
      <c r="L9" s="2048" t="s">
        <v>248</v>
      </c>
      <c r="M9" s="2049"/>
      <c r="N9" s="2048" t="s">
        <v>249</v>
      </c>
      <c r="O9" s="2049"/>
      <c r="P9" s="2048" t="s">
        <v>250</v>
      </c>
      <c r="Q9" s="2049"/>
      <c r="R9" s="2048" t="s">
        <v>251</v>
      </c>
      <c r="S9" s="2049"/>
      <c r="T9" s="2048" t="s">
        <v>252</v>
      </c>
      <c r="U9" s="2049"/>
      <c r="V9" s="2048" t="s">
        <v>253</v>
      </c>
      <c r="W9" s="2049"/>
      <c r="X9" s="2048" t="s">
        <v>254</v>
      </c>
      <c r="Y9" s="2049"/>
      <c r="Z9" s="2048" t="s">
        <v>255</v>
      </c>
      <c r="AA9" s="2049"/>
      <c r="AB9" s="2048" t="s">
        <v>256</v>
      </c>
      <c r="AC9" s="2049"/>
      <c r="AD9" s="2048" t="s">
        <v>257</v>
      </c>
      <c r="AE9" s="2049"/>
      <c r="AF9" s="2048" t="s">
        <v>258</v>
      </c>
      <c r="AG9" s="2049"/>
      <c r="AH9" s="2048" t="s">
        <v>259</v>
      </c>
      <c r="AI9" s="2049"/>
      <c r="AJ9" s="2048" t="s">
        <v>260</v>
      </c>
      <c r="AK9" s="2049"/>
      <c r="AL9" s="2048" t="s">
        <v>261</v>
      </c>
      <c r="AM9" s="2049"/>
      <c r="AN9" s="2048" t="s">
        <v>262</v>
      </c>
      <c r="AO9" s="2049"/>
      <c r="AP9" s="2048" t="s">
        <v>263</v>
      </c>
      <c r="AQ9" s="2049"/>
    </row>
    <row r="10" spans="1:43" ht="75">
      <c r="A10" s="2050"/>
      <c r="B10" s="2051"/>
      <c r="D10" s="2052" t="s">
        <v>197</v>
      </c>
      <c r="E10" s="2053" t="str">
        <f>D10&amp;"
per FTE"</f>
        <v>Total Occupancy
per FTE</v>
      </c>
      <c r="F10" s="2052" t="s">
        <v>198</v>
      </c>
      <c r="G10" s="2053" t="str">
        <f>F10&amp;"
per FTE"</f>
        <v>Direct Care Consultant 201
per FTE</v>
      </c>
      <c r="H10" s="2052" t="s">
        <v>199</v>
      </c>
      <c r="I10" s="2053" t="str">
        <f>H10&amp;"
per FTE"</f>
        <v>Temporary Help 202
per FTE</v>
      </c>
      <c r="J10" s="2052" t="s">
        <v>200</v>
      </c>
      <c r="K10" s="2053" t="str">
        <f>J10&amp;"
per FTE"</f>
        <v>Clients and Caregivers Reimb./Stipends 203
per FTE</v>
      </c>
      <c r="L10" s="2052" t="s">
        <v>201</v>
      </c>
      <c r="M10" s="2053" t="str">
        <f>L10&amp;"
per FTE"</f>
        <v>Subcontracted Direct Care 206
per FTE</v>
      </c>
      <c r="N10" s="2052" t="s">
        <v>202</v>
      </c>
      <c r="O10" s="2053" t="str">
        <f>N10&amp;"
per FTE"</f>
        <v>Staff Training 204
per FTE</v>
      </c>
      <c r="P10" s="2052" t="s">
        <v>203</v>
      </c>
      <c r="Q10" s="2053" t="str">
        <f>P10&amp;"
per FTE"</f>
        <v>Staff Mileage / Travel 205
per FTE</v>
      </c>
      <c r="R10" s="2052" t="s">
        <v>204</v>
      </c>
      <c r="S10" s="2053" t="str">
        <f>R10&amp;"
per FTE"</f>
        <v>Meals 207
per FTE</v>
      </c>
      <c r="T10" s="2052" t="s">
        <v>205</v>
      </c>
      <c r="U10" s="2053" t="str">
        <f>T10&amp;"
per FTE"</f>
        <v>Client Transportation 208
per FTE</v>
      </c>
      <c r="V10" s="2052" t="s">
        <v>206</v>
      </c>
      <c r="W10" s="2053" t="str">
        <f>V10&amp;"
per FTE"</f>
        <v>Vehicle Expenses 208
per FTE</v>
      </c>
      <c r="X10" s="2052" t="s">
        <v>207</v>
      </c>
      <c r="Y10" s="2053" t="str">
        <f>X10&amp;"
per FTE"</f>
        <v>Vehicle Depreciation 208
per FTE</v>
      </c>
      <c r="Z10" s="2052" t="s">
        <v>208</v>
      </c>
      <c r="AA10" s="2053" t="str">
        <f>Z10&amp;"
per FTE"</f>
        <v>Incidental Medical /Medicine/Pharmacy 209
per FTE</v>
      </c>
      <c r="AB10" s="2052" t="s">
        <v>209</v>
      </c>
      <c r="AC10" s="2053" t="str">
        <f>AB10&amp;"
per FTE"</f>
        <v>Client Personal Allowances 211
per FTE</v>
      </c>
      <c r="AD10" s="2052" t="s">
        <v>210</v>
      </c>
      <c r="AE10" s="2053" t="str">
        <f>AD10&amp;"
per FTE"</f>
        <v>Provision Material Goods/Svs./Benefits 212
per FTE</v>
      </c>
      <c r="AF10" s="2052" t="s">
        <v>211</v>
      </c>
      <c r="AG10" s="2053" t="str">
        <f>AF10&amp;"
per FTE"</f>
        <v>Direct Client Wages 214
per FTE</v>
      </c>
      <c r="AH10" s="2052" t="s">
        <v>212</v>
      </c>
      <c r="AI10" s="2053" t="str">
        <f>AH10&amp;"
per FTE"</f>
        <v>Other Commercial Prod. &amp; Svs. 214
per FTE</v>
      </c>
      <c r="AJ10" s="2052" t="s">
        <v>213</v>
      </c>
      <c r="AK10" s="2053" t="str">
        <f>AJ10&amp;"
per FTE"</f>
        <v>Program Supplies &amp; Materials 215
per FTE</v>
      </c>
      <c r="AL10" s="2052" t="s">
        <v>214</v>
      </c>
      <c r="AM10" s="2053" t="str">
        <f>AL10&amp;"
per FTE"</f>
        <v>Non Charitable Expenses
per FTE</v>
      </c>
      <c r="AN10" s="2052" t="s">
        <v>127</v>
      </c>
      <c r="AO10" s="2053" t="str">
        <f>AN10&amp;"
per FTE"</f>
        <v>Other Expense
per FTE</v>
      </c>
      <c r="AP10" s="2052" t="s">
        <v>215</v>
      </c>
      <c r="AQ10" s="2053" t="str">
        <f>AP10&amp;"
per FTE"</f>
        <v>Total Other Program Expense
per FTE</v>
      </c>
    </row>
    <row r="11" spans="1:43">
      <c r="A11" s="2048" t="s">
        <v>1270</v>
      </c>
      <c r="B11" s="2054" t="s">
        <v>1271</v>
      </c>
      <c r="D11" s="2048" t="s">
        <v>1272</v>
      </c>
      <c r="E11" s="2049"/>
      <c r="F11" s="2048" t="s">
        <v>1272</v>
      </c>
      <c r="G11" s="2049"/>
      <c r="H11" s="2048" t="s">
        <v>1272</v>
      </c>
      <c r="I11" s="2049"/>
      <c r="J11" s="2048" t="s">
        <v>1272</v>
      </c>
      <c r="K11" s="2049"/>
      <c r="L11" s="2048" t="s">
        <v>1272</v>
      </c>
      <c r="M11" s="2049"/>
      <c r="N11" s="2048" t="s">
        <v>1272</v>
      </c>
      <c r="O11" s="2049"/>
      <c r="P11" s="2048" t="s">
        <v>1272</v>
      </c>
      <c r="Q11" s="2049"/>
      <c r="R11" s="2048" t="s">
        <v>1272</v>
      </c>
      <c r="S11" s="2049"/>
      <c r="T11" s="2048" t="s">
        <v>1272</v>
      </c>
      <c r="U11" s="2049"/>
      <c r="V11" s="2048" t="s">
        <v>1272</v>
      </c>
      <c r="W11" s="2049"/>
      <c r="X11" s="2048" t="s">
        <v>1272</v>
      </c>
      <c r="Y11" s="2049"/>
      <c r="Z11" s="2048" t="s">
        <v>1272</v>
      </c>
      <c r="AA11" s="2049"/>
      <c r="AB11" s="2048" t="s">
        <v>1272</v>
      </c>
      <c r="AC11" s="2049"/>
      <c r="AD11" s="2048" t="s">
        <v>1272</v>
      </c>
      <c r="AE11" s="2049"/>
      <c r="AF11" s="2048" t="s">
        <v>1272</v>
      </c>
      <c r="AG11" s="2049"/>
      <c r="AH11" s="2048" t="s">
        <v>1272</v>
      </c>
      <c r="AI11" s="2049"/>
      <c r="AJ11" s="2048" t="s">
        <v>1272</v>
      </c>
      <c r="AK11" s="2049"/>
      <c r="AL11" s="2048" t="s">
        <v>1272</v>
      </c>
      <c r="AM11" s="2049"/>
      <c r="AN11" s="2048" t="s">
        <v>1272</v>
      </c>
      <c r="AO11" s="2049"/>
      <c r="AP11" s="2048" t="s">
        <v>1272</v>
      </c>
      <c r="AQ11" s="2049"/>
    </row>
    <row r="12" spans="1:43">
      <c r="A12" s="2048" t="s">
        <v>623</v>
      </c>
      <c r="B12" s="2054">
        <v>72.75</v>
      </c>
      <c r="D12" s="2055">
        <v>479151</v>
      </c>
      <c r="E12" s="2056">
        <f>IF(OR($B12=0,D12=0),"",D12/$B12)</f>
        <v>6586.2680412371137</v>
      </c>
      <c r="F12" s="2057">
        <v>5008</v>
      </c>
      <c r="G12" s="2056">
        <f>IF(OR($B12=0,F12=0),"",F12/$B12)</f>
        <v>68.838487972508588</v>
      </c>
      <c r="H12" s="2055"/>
      <c r="I12" s="2056" t="str">
        <f>IF(OR($B12=0,H12=0),"",H12/$B12)</f>
        <v/>
      </c>
      <c r="J12" s="2055"/>
      <c r="K12" s="2056" t="str">
        <f>IF(OR($B12=0,J12=0),"",J12/$B12)</f>
        <v/>
      </c>
      <c r="L12" s="2055"/>
      <c r="M12" s="2056" t="str">
        <f>IF(OR($B12=0,L12=0),"",L12/$B12)</f>
        <v/>
      </c>
      <c r="N12" s="2055">
        <v>7717</v>
      </c>
      <c r="O12" s="2056">
        <f>IF(OR($B12=0,N12=0),"",N12/$B12)</f>
        <v>106.07560137457045</v>
      </c>
      <c r="P12" s="2055">
        <v>48765</v>
      </c>
      <c r="Q12" s="2056">
        <f>IF(OR($B12=0,P12=0),"",P12/$B12)</f>
        <v>670.30927835051546</v>
      </c>
      <c r="R12" s="2055">
        <v>176748</v>
      </c>
      <c r="S12" s="2056">
        <f>IF(OR($B12=0,R12=0),"",R12/$B12)</f>
        <v>2429.5257731958764</v>
      </c>
      <c r="T12" s="2055"/>
      <c r="U12" s="2056" t="str">
        <f>IF(OR($B12=0,T12=0),"",T12/$B12)</f>
        <v/>
      </c>
      <c r="V12" s="2055">
        <v>44787</v>
      </c>
      <c r="W12" s="2056">
        <f>IF(OR($B12=0,V12=0),"",V12/$B12)</f>
        <v>615.62886597938143</v>
      </c>
      <c r="X12" s="2055">
        <v>16902</v>
      </c>
      <c r="Y12" s="2056">
        <f>IF(OR($B12=0,X12=0),"",X12/$B12)</f>
        <v>232.32989690721649</v>
      </c>
      <c r="Z12" s="2055">
        <v>33585</v>
      </c>
      <c r="AA12" s="2056">
        <f>IF(OR($B12=0,Z12=0),"",Z12/$B12)</f>
        <v>461.64948453608247</v>
      </c>
      <c r="AB12" s="2055">
        <v>5671</v>
      </c>
      <c r="AC12" s="2056">
        <f>IF(OR($B12=0,AB12=0),"",AB12/$B12)</f>
        <v>77.951890034364254</v>
      </c>
      <c r="AD12" s="2055">
        <v>34</v>
      </c>
      <c r="AE12" s="2056">
        <f>IF(OR($B12=0,AD12=0),"",AD12/$B12)</f>
        <v>0.46735395189003437</v>
      </c>
      <c r="AF12" s="2055"/>
      <c r="AG12" s="2056" t="str">
        <f>IF(OR($B12=0,AF12=0),"",AF12/$B12)</f>
        <v/>
      </c>
      <c r="AH12" s="2055"/>
      <c r="AI12" s="2056" t="str">
        <f>IF(OR($B12=0,AH12=0),"",AH12/$B12)</f>
        <v/>
      </c>
      <c r="AJ12" s="2055">
        <v>50795</v>
      </c>
      <c r="AK12" s="2056">
        <f>IF(OR($B12=0,AJ12=0),"",AJ12/$B12)</f>
        <v>698.21305841924402</v>
      </c>
      <c r="AL12" s="2055"/>
      <c r="AM12" s="2056" t="str">
        <f>IF(OR($B12=0,AL12=0),"",AL12/$B12)</f>
        <v/>
      </c>
      <c r="AN12" s="2055">
        <v>42630</v>
      </c>
      <c r="AO12" s="2056">
        <f>IF(OR($B12=0,AN12=0),"",AN12/$B12)</f>
        <v>585.97938144329896</v>
      </c>
      <c r="AP12" s="2055">
        <v>432642</v>
      </c>
      <c r="AQ12" s="2056">
        <f>IF(OR($B12=0,AP12=0),"",AP12/$B12)</f>
        <v>5946.9690721649486</v>
      </c>
    </row>
    <row r="13" spans="1:43">
      <c r="A13" s="2058"/>
      <c r="D13" s="2059">
        <v>125447</v>
      </c>
      <c r="E13" s="2056" t="str">
        <f t="shared" ref="E13:G76" si="0">IF(OR($B13=0,D13=0),"",D13/$B13)</f>
        <v/>
      </c>
      <c r="F13" s="2059"/>
      <c r="G13" s="2056" t="str">
        <f t="shared" si="0"/>
        <v/>
      </c>
      <c r="H13" s="2059"/>
      <c r="I13" s="2056" t="str">
        <f t="shared" ref="I13:I76" si="1">IF(OR($B13=0,H13=0),"",H13/$B13)</f>
        <v/>
      </c>
      <c r="J13" s="2059"/>
      <c r="K13" s="2056" t="str">
        <f t="shared" ref="K13:K76" si="2">IF(OR($B13=0,J13=0),"",J13/$B13)</f>
        <v/>
      </c>
      <c r="L13" s="2059"/>
      <c r="M13" s="2056" t="str">
        <f t="shared" ref="M13:M76" si="3">IF(OR($B13=0,L13=0),"",L13/$B13)</f>
        <v/>
      </c>
      <c r="N13" s="2059"/>
      <c r="O13" s="2056" t="str">
        <f t="shared" ref="O13:O76" si="4">IF(OR($B13=0,N13=0),"",N13/$B13)</f>
        <v/>
      </c>
      <c r="P13" s="2059">
        <v>63</v>
      </c>
      <c r="Q13" s="2056" t="str">
        <f t="shared" ref="Q13:Q76" si="5">IF(OR($B13=0,P13=0),"",P13/$B13)</f>
        <v/>
      </c>
      <c r="R13" s="2059">
        <v>619</v>
      </c>
      <c r="S13" s="2056" t="str">
        <f t="shared" ref="S13:S76" si="6">IF(OR($B13=0,R13=0),"",R13/$B13)</f>
        <v/>
      </c>
      <c r="T13" s="2059"/>
      <c r="U13" s="2056" t="str">
        <f t="shared" ref="U13:U76" si="7">IF(OR($B13=0,T13=0),"",T13/$B13)</f>
        <v/>
      </c>
      <c r="V13" s="2059">
        <v>28</v>
      </c>
      <c r="W13" s="2056" t="str">
        <f t="shared" ref="W13:W76" si="8">IF(OR($B13=0,V13=0),"",V13/$B13)</f>
        <v/>
      </c>
      <c r="X13" s="2059"/>
      <c r="Y13" s="2056" t="str">
        <f t="shared" ref="Y13:Y76" si="9">IF(OR($B13=0,X13=0),"",X13/$B13)</f>
        <v/>
      </c>
      <c r="Z13" s="2059">
        <v>2330</v>
      </c>
      <c r="AA13" s="2056" t="str">
        <f t="shared" ref="AA13:AA76" si="10">IF(OR($B13=0,Z13=0),"",Z13/$B13)</f>
        <v/>
      </c>
      <c r="AB13" s="2059">
        <v>4505</v>
      </c>
      <c r="AC13" s="2056" t="str">
        <f t="shared" ref="AC13:AC76" si="11">IF(OR($B13=0,AB13=0),"",AB13/$B13)</f>
        <v/>
      </c>
      <c r="AD13" s="2059">
        <v>85</v>
      </c>
      <c r="AE13" s="2056" t="str">
        <f t="shared" ref="AE13:AE76" si="12">IF(OR($B13=0,AD13=0),"",AD13/$B13)</f>
        <v/>
      </c>
      <c r="AF13" s="2059"/>
      <c r="AG13" s="2056" t="str">
        <f t="shared" ref="AG13:AG76" si="13">IF(OR($B13=0,AF13=0),"",AF13/$B13)</f>
        <v/>
      </c>
      <c r="AH13" s="2059"/>
      <c r="AI13" s="2056" t="str">
        <f t="shared" ref="AI13:AI76" si="14">IF(OR($B13=0,AH13=0),"",AH13/$B13)</f>
        <v/>
      </c>
      <c r="AJ13" s="2059">
        <v>1319</v>
      </c>
      <c r="AK13" s="2056" t="str">
        <f t="shared" ref="AK13:AK76" si="15">IF(OR($B13=0,AJ13=0),"",AJ13/$B13)</f>
        <v/>
      </c>
      <c r="AL13" s="2059"/>
      <c r="AM13" s="2056" t="str">
        <f t="shared" ref="AM13:AM76" si="16">IF(OR($B13=0,AL13=0),"",AL13/$B13)</f>
        <v/>
      </c>
      <c r="AN13" s="2059"/>
      <c r="AO13" s="2056" t="str">
        <f t="shared" ref="AO13:AO76" si="17">IF(OR($B13=0,AN13=0),"",AN13/$B13)</f>
        <v/>
      </c>
      <c r="AP13" s="2059">
        <v>8949</v>
      </c>
      <c r="AQ13" s="2056" t="str">
        <f t="shared" ref="AQ13:AQ76" si="18">IF(OR($B13=0,AP13=0),"",AP13/$B13)</f>
        <v/>
      </c>
    </row>
    <row r="14" spans="1:43">
      <c r="A14" s="2058"/>
      <c r="B14">
        <v>215.90118417207299</v>
      </c>
      <c r="D14" s="2059">
        <v>1259016</v>
      </c>
      <c r="E14" s="2056">
        <f t="shared" si="0"/>
        <v>5831.4455514823194</v>
      </c>
      <c r="F14" s="2059">
        <v>18688</v>
      </c>
      <c r="G14" s="2056">
        <f t="shared" si="0"/>
        <v>86.558117185247511</v>
      </c>
      <c r="H14" s="2059"/>
      <c r="I14" s="2056" t="str">
        <f t="shared" si="1"/>
        <v/>
      </c>
      <c r="J14" s="2059"/>
      <c r="K14" s="2056" t="str">
        <f t="shared" si="2"/>
        <v/>
      </c>
      <c r="L14" s="2059"/>
      <c r="M14" s="2056" t="str">
        <f t="shared" si="3"/>
        <v/>
      </c>
      <c r="N14" s="2059">
        <v>31456</v>
      </c>
      <c r="O14" s="2056">
        <f t="shared" si="4"/>
        <v>145.69628286489436</v>
      </c>
      <c r="P14" s="2059">
        <v>124228</v>
      </c>
      <c r="Q14" s="2056">
        <f t="shared" si="5"/>
        <v>575.3928607496216</v>
      </c>
      <c r="R14" s="2059">
        <v>304378</v>
      </c>
      <c r="S14" s="2056">
        <f t="shared" si="6"/>
        <v>1409.8023647587365</v>
      </c>
      <c r="T14" s="2059"/>
      <c r="U14" s="2056" t="str">
        <f t="shared" si="7"/>
        <v/>
      </c>
      <c r="V14" s="2059">
        <v>119342</v>
      </c>
      <c r="W14" s="2056">
        <f t="shared" si="8"/>
        <v>552.76213726037076</v>
      </c>
      <c r="X14" s="2059">
        <v>71037</v>
      </c>
      <c r="Y14" s="2056">
        <f t="shared" si="9"/>
        <v>329.0255228215126</v>
      </c>
      <c r="Z14" s="2059">
        <v>105266</v>
      </c>
      <c r="AA14" s="2056">
        <f t="shared" si="10"/>
        <v>487.56564445752701</v>
      </c>
      <c r="AB14" s="2059">
        <v>19227</v>
      </c>
      <c r="AC14" s="2056">
        <f t="shared" si="11"/>
        <v>89.054629661855415</v>
      </c>
      <c r="AD14" s="2059">
        <v>2042</v>
      </c>
      <c r="AE14" s="2056">
        <f t="shared" si="12"/>
        <v>9.4580305700061764</v>
      </c>
      <c r="AF14" s="2059"/>
      <c r="AG14" s="2056" t="str">
        <f t="shared" si="13"/>
        <v/>
      </c>
      <c r="AH14" s="2059"/>
      <c r="AI14" s="2056" t="str">
        <f t="shared" si="14"/>
        <v/>
      </c>
      <c r="AJ14" s="2059">
        <v>141611</v>
      </c>
      <c r="AK14" s="2056">
        <f t="shared" si="15"/>
        <v>655.90654605736756</v>
      </c>
      <c r="AL14" s="2059"/>
      <c r="AM14" s="2056" t="str">
        <f t="shared" si="16"/>
        <v/>
      </c>
      <c r="AN14" s="2059">
        <v>145185</v>
      </c>
      <c r="AO14" s="2056">
        <f t="shared" si="17"/>
        <v>672.460415429161</v>
      </c>
      <c r="AP14" s="2059">
        <v>1082460</v>
      </c>
      <c r="AQ14" s="2056">
        <f t="shared" si="18"/>
        <v>5013.6825518163005</v>
      </c>
    </row>
    <row r="15" spans="1:43">
      <c r="A15" s="2058"/>
      <c r="D15" s="2059">
        <v>247052</v>
      </c>
      <c r="E15" s="2056" t="str">
        <f t="shared" si="0"/>
        <v/>
      </c>
      <c r="F15" s="2059">
        <v>250</v>
      </c>
      <c r="G15" s="2056" t="str">
        <f t="shared" si="0"/>
        <v/>
      </c>
      <c r="H15" s="2059"/>
      <c r="I15" s="2056" t="str">
        <f t="shared" si="1"/>
        <v/>
      </c>
      <c r="J15" s="2059"/>
      <c r="K15" s="2056" t="str">
        <f t="shared" si="2"/>
        <v/>
      </c>
      <c r="L15" s="2059"/>
      <c r="M15" s="2056" t="str">
        <f t="shared" si="3"/>
        <v/>
      </c>
      <c r="N15" s="2059">
        <v>103</v>
      </c>
      <c r="O15" s="2056" t="str">
        <f t="shared" si="4"/>
        <v/>
      </c>
      <c r="P15" s="2059"/>
      <c r="Q15" s="2056" t="str">
        <f t="shared" si="5"/>
        <v/>
      </c>
      <c r="R15" s="2059">
        <v>3517</v>
      </c>
      <c r="S15" s="2056" t="str">
        <f t="shared" si="6"/>
        <v/>
      </c>
      <c r="T15" s="2059"/>
      <c r="U15" s="2056" t="str">
        <f t="shared" si="7"/>
        <v/>
      </c>
      <c r="V15" s="2059">
        <v>487</v>
      </c>
      <c r="W15" s="2056" t="str">
        <f t="shared" si="8"/>
        <v/>
      </c>
      <c r="X15" s="2059"/>
      <c r="Y15" s="2056" t="str">
        <f t="shared" si="9"/>
        <v/>
      </c>
      <c r="Z15" s="2059">
        <v>7350</v>
      </c>
      <c r="AA15" s="2056" t="str">
        <f t="shared" si="10"/>
        <v/>
      </c>
      <c r="AB15" s="2059">
        <v>9443</v>
      </c>
      <c r="AC15" s="2056" t="str">
        <f t="shared" si="11"/>
        <v/>
      </c>
      <c r="AD15" s="2059">
        <v>3107</v>
      </c>
      <c r="AE15" s="2056" t="str">
        <f t="shared" si="12"/>
        <v/>
      </c>
      <c r="AF15" s="2059"/>
      <c r="AG15" s="2056" t="str">
        <f t="shared" si="13"/>
        <v/>
      </c>
      <c r="AH15" s="2059"/>
      <c r="AI15" s="2056" t="str">
        <f t="shared" si="14"/>
        <v/>
      </c>
      <c r="AJ15" s="2059">
        <v>14051</v>
      </c>
      <c r="AK15" s="2056" t="str">
        <f t="shared" si="15"/>
        <v/>
      </c>
      <c r="AL15" s="2059"/>
      <c r="AM15" s="2056" t="str">
        <f t="shared" si="16"/>
        <v/>
      </c>
      <c r="AN15" s="2059">
        <v>1172</v>
      </c>
      <c r="AO15" s="2056" t="str">
        <f t="shared" si="17"/>
        <v/>
      </c>
      <c r="AP15" s="2059">
        <v>39480</v>
      </c>
      <c r="AQ15" s="2056" t="str">
        <f t="shared" si="18"/>
        <v/>
      </c>
    </row>
    <row r="16" spans="1:43">
      <c r="A16" s="2058"/>
      <c r="B16">
        <v>12.41</v>
      </c>
      <c r="D16" s="2059">
        <v>59554</v>
      </c>
      <c r="E16" s="2056">
        <f t="shared" si="0"/>
        <v>4798.8718775181305</v>
      </c>
      <c r="F16" s="2059">
        <v>932</v>
      </c>
      <c r="G16" s="2056">
        <f t="shared" si="0"/>
        <v>75.100725221595482</v>
      </c>
      <c r="H16" s="2059"/>
      <c r="I16" s="2056" t="str">
        <f t="shared" si="1"/>
        <v/>
      </c>
      <c r="J16" s="2059"/>
      <c r="K16" s="2056" t="str">
        <f t="shared" si="2"/>
        <v/>
      </c>
      <c r="L16" s="2059"/>
      <c r="M16" s="2056" t="str">
        <f t="shared" si="3"/>
        <v/>
      </c>
      <c r="N16" s="2059">
        <v>65</v>
      </c>
      <c r="O16" s="2056">
        <f t="shared" si="4"/>
        <v>5.2377115229653501</v>
      </c>
      <c r="P16" s="2059">
        <v>2843</v>
      </c>
      <c r="Q16" s="2056">
        <f t="shared" si="5"/>
        <v>229.08944399677679</v>
      </c>
      <c r="R16" s="2059">
        <v>19488</v>
      </c>
      <c r="S16" s="2056">
        <f t="shared" si="6"/>
        <v>1570.3464947622886</v>
      </c>
      <c r="T16" s="2059"/>
      <c r="U16" s="2056" t="str">
        <f t="shared" si="7"/>
        <v/>
      </c>
      <c r="V16" s="2059">
        <v>10726</v>
      </c>
      <c r="W16" s="2056">
        <f t="shared" si="8"/>
        <v>864.30298146655923</v>
      </c>
      <c r="X16" s="2059">
        <v>7951</v>
      </c>
      <c r="Y16" s="2056">
        <f t="shared" si="9"/>
        <v>640.692989524577</v>
      </c>
      <c r="Z16" s="2059">
        <v>499</v>
      </c>
      <c r="AA16" s="2056">
        <f t="shared" si="10"/>
        <v>40.209508460918613</v>
      </c>
      <c r="AB16" s="2059">
        <v>1169</v>
      </c>
      <c r="AC16" s="2056">
        <f t="shared" si="11"/>
        <v>94.198227236099925</v>
      </c>
      <c r="AD16" s="2059"/>
      <c r="AE16" s="2056" t="str">
        <f t="shared" si="12"/>
        <v/>
      </c>
      <c r="AF16" s="2059"/>
      <c r="AG16" s="2056" t="str">
        <f t="shared" si="13"/>
        <v/>
      </c>
      <c r="AH16" s="2059"/>
      <c r="AI16" s="2056" t="str">
        <f t="shared" si="14"/>
        <v/>
      </c>
      <c r="AJ16" s="2059">
        <v>7875</v>
      </c>
      <c r="AK16" s="2056">
        <f t="shared" si="15"/>
        <v>634.5688960515713</v>
      </c>
      <c r="AL16" s="2059"/>
      <c r="AM16" s="2056" t="str">
        <f t="shared" si="16"/>
        <v/>
      </c>
      <c r="AN16" s="2059">
        <v>14773</v>
      </c>
      <c r="AO16" s="2056">
        <f t="shared" si="17"/>
        <v>1190.4109589041095</v>
      </c>
      <c r="AP16" s="2059">
        <v>66321</v>
      </c>
      <c r="AQ16" s="2056">
        <f t="shared" si="18"/>
        <v>5344.1579371474618</v>
      </c>
    </row>
    <row r="17" spans="1:43">
      <c r="A17" s="2048" t="s">
        <v>1273</v>
      </c>
      <c r="B17" s="2054">
        <v>24.061199999999999</v>
      </c>
      <c r="D17" s="2055">
        <v>147568</v>
      </c>
      <c r="E17" s="2056">
        <f t="shared" si="0"/>
        <v>6133.0274466776391</v>
      </c>
      <c r="F17" s="2055">
        <v>41440</v>
      </c>
      <c r="G17" s="2056">
        <f t="shared" si="0"/>
        <v>1722.2748657589814</v>
      </c>
      <c r="H17" s="2055"/>
      <c r="I17" s="2056" t="str">
        <f t="shared" si="1"/>
        <v/>
      </c>
      <c r="J17" s="2055"/>
      <c r="K17" s="2056" t="str">
        <f t="shared" si="2"/>
        <v/>
      </c>
      <c r="L17" s="2055"/>
      <c r="M17" s="2056" t="str">
        <f t="shared" si="3"/>
        <v/>
      </c>
      <c r="N17" s="2055">
        <v>1680</v>
      </c>
      <c r="O17" s="2056">
        <f t="shared" si="4"/>
        <v>69.821954017256004</v>
      </c>
      <c r="P17" s="2055">
        <v>6417</v>
      </c>
      <c r="Q17" s="2056">
        <f t="shared" si="5"/>
        <v>266.69492793376889</v>
      </c>
      <c r="R17" s="2055">
        <v>32420</v>
      </c>
      <c r="S17" s="2056">
        <f t="shared" si="6"/>
        <v>1347.3974697853807</v>
      </c>
      <c r="T17" s="2055"/>
      <c r="U17" s="2056" t="str">
        <f t="shared" si="7"/>
        <v/>
      </c>
      <c r="V17" s="2055">
        <v>15493</v>
      </c>
      <c r="W17" s="2056">
        <f t="shared" si="8"/>
        <v>643.89972237461143</v>
      </c>
      <c r="X17" s="2055">
        <v>25703</v>
      </c>
      <c r="Y17" s="2056">
        <f t="shared" si="9"/>
        <v>1068.2343357771017</v>
      </c>
      <c r="Z17" s="2055"/>
      <c r="AA17" s="2056" t="str">
        <f t="shared" si="10"/>
        <v/>
      </c>
      <c r="AB17" s="2055">
        <v>3169</v>
      </c>
      <c r="AC17" s="2056">
        <f t="shared" si="11"/>
        <v>131.70581683374064</v>
      </c>
      <c r="AD17" s="2055"/>
      <c r="AE17" s="2056" t="str">
        <f t="shared" si="12"/>
        <v/>
      </c>
      <c r="AF17" s="2055"/>
      <c r="AG17" s="2056" t="str">
        <f t="shared" si="13"/>
        <v/>
      </c>
      <c r="AH17" s="2055"/>
      <c r="AI17" s="2056" t="str">
        <f t="shared" si="14"/>
        <v/>
      </c>
      <c r="AJ17" s="2055">
        <v>29880</v>
      </c>
      <c r="AK17" s="2056">
        <f t="shared" si="15"/>
        <v>1241.8333250211961</v>
      </c>
      <c r="AL17" s="2055"/>
      <c r="AM17" s="2056" t="str">
        <f t="shared" si="16"/>
        <v/>
      </c>
      <c r="AN17" s="2055">
        <v>7380</v>
      </c>
      <c r="AO17" s="2056">
        <f t="shared" si="17"/>
        <v>306.71786943294597</v>
      </c>
      <c r="AP17" s="2055">
        <v>163582</v>
      </c>
      <c r="AQ17" s="2056">
        <f t="shared" si="18"/>
        <v>6798.5802869349827</v>
      </c>
    </row>
    <row r="18" spans="1:43">
      <c r="A18" s="2048" t="s">
        <v>679</v>
      </c>
      <c r="B18" s="2054">
        <v>3.3</v>
      </c>
      <c r="D18" s="2055">
        <v>15346</v>
      </c>
      <c r="E18" s="2056">
        <f t="shared" si="0"/>
        <v>4650.3030303030309</v>
      </c>
      <c r="F18" s="2055">
        <v>1024</v>
      </c>
      <c r="G18" s="2056">
        <f t="shared" si="0"/>
        <v>310.30303030303031</v>
      </c>
      <c r="H18" s="2055">
        <v>7166</v>
      </c>
      <c r="I18" s="2056">
        <f t="shared" si="1"/>
        <v>2171.5151515151515</v>
      </c>
      <c r="J18" s="2055"/>
      <c r="K18" s="2056" t="str">
        <f t="shared" si="2"/>
        <v/>
      </c>
      <c r="L18" s="2055"/>
      <c r="M18" s="2056" t="str">
        <f t="shared" si="3"/>
        <v/>
      </c>
      <c r="N18" s="2055">
        <v>85</v>
      </c>
      <c r="O18" s="2056">
        <f t="shared" si="4"/>
        <v>25.757575757575758</v>
      </c>
      <c r="P18" s="2055">
        <v>667</v>
      </c>
      <c r="Q18" s="2056">
        <f t="shared" si="5"/>
        <v>202.12121212121212</v>
      </c>
      <c r="R18" s="2055">
        <v>3259</v>
      </c>
      <c r="S18" s="2056">
        <f t="shared" si="6"/>
        <v>987.57575757575762</v>
      </c>
      <c r="T18" s="2055"/>
      <c r="U18" s="2056" t="str">
        <f t="shared" si="7"/>
        <v/>
      </c>
      <c r="V18" s="2055">
        <v>2085</v>
      </c>
      <c r="W18" s="2056">
        <f t="shared" si="8"/>
        <v>631.81818181818187</v>
      </c>
      <c r="X18" s="2055"/>
      <c r="Y18" s="2056" t="str">
        <f t="shared" si="9"/>
        <v/>
      </c>
      <c r="Z18" s="2055">
        <v>561</v>
      </c>
      <c r="AA18" s="2056">
        <f t="shared" si="10"/>
        <v>170</v>
      </c>
      <c r="AB18" s="2055">
        <v>21</v>
      </c>
      <c r="AC18" s="2056">
        <f t="shared" si="11"/>
        <v>6.3636363636363642</v>
      </c>
      <c r="AD18" s="2055"/>
      <c r="AE18" s="2056" t="str">
        <f t="shared" si="12"/>
        <v/>
      </c>
      <c r="AF18" s="2055"/>
      <c r="AG18" s="2056" t="str">
        <f t="shared" si="13"/>
        <v/>
      </c>
      <c r="AH18" s="2055"/>
      <c r="AI18" s="2056" t="str">
        <f t="shared" si="14"/>
        <v/>
      </c>
      <c r="AJ18" s="2055">
        <v>523</v>
      </c>
      <c r="AK18" s="2056">
        <f t="shared" si="15"/>
        <v>158.4848484848485</v>
      </c>
      <c r="AL18" s="2055"/>
      <c r="AM18" s="2056" t="str">
        <f t="shared" si="16"/>
        <v/>
      </c>
      <c r="AN18" s="2055">
        <v>8</v>
      </c>
      <c r="AO18" s="2056">
        <f t="shared" si="17"/>
        <v>2.4242424242424243</v>
      </c>
      <c r="AP18" s="2055">
        <v>15399</v>
      </c>
      <c r="AQ18" s="2056">
        <f t="shared" si="18"/>
        <v>4666.3636363636369</v>
      </c>
    </row>
    <row r="19" spans="1:43">
      <c r="A19" s="2058"/>
      <c r="B19">
        <v>143.69</v>
      </c>
      <c r="D19" s="2059"/>
      <c r="E19" s="2056" t="str">
        <f t="shared" si="0"/>
        <v/>
      </c>
      <c r="F19" s="2059">
        <v>34885</v>
      </c>
      <c r="G19" s="2056">
        <f t="shared" si="0"/>
        <v>242.77959496137518</v>
      </c>
      <c r="H19" s="2059">
        <v>263917</v>
      </c>
      <c r="I19" s="2056">
        <f t="shared" si="1"/>
        <v>1836.7109750156587</v>
      </c>
      <c r="J19" s="2059"/>
      <c r="K19" s="2056" t="str">
        <f t="shared" si="2"/>
        <v/>
      </c>
      <c r="L19" s="2059"/>
      <c r="M19" s="2056" t="str">
        <f t="shared" si="3"/>
        <v/>
      </c>
      <c r="N19" s="2059">
        <v>4404</v>
      </c>
      <c r="O19" s="2056">
        <f t="shared" si="4"/>
        <v>30.649314496485491</v>
      </c>
      <c r="P19" s="2059">
        <v>101165</v>
      </c>
      <c r="Q19" s="2056">
        <f t="shared" si="5"/>
        <v>704.05038624817314</v>
      </c>
      <c r="R19" s="2059"/>
      <c r="S19" s="2056" t="str">
        <f t="shared" si="6"/>
        <v/>
      </c>
      <c r="T19" s="2059"/>
      <c r="U19" s="2056" t="str">
        <f t="shared" si="7"/>
        <v/>
      </c>
      <c r="V19" s="2059">
        <v>133044</v>
      </c>
      <c r="W19" s="2056">
        <f t="shared" si="8"/>
        <v>925.90994502053036</v>
      </c>
      <c r="X19" s="2059"/>
      <c r="Y19" s="2056" t="str">
        <f t="shared" si="9"/>
        <v/>
      </c>
      <c r="Z19" s="2059">
        <v>33270</v>
      </c>
      <c r="AA19" s="2056">
        <f t="shared" si="10"/>
        <v>231.54012109402186</v>
      </c>
      <c r="AB19" s="2059">
        <v>882</v>
      </c>
      <c r="AC19" s="2056">
        <f t="shared" si="11"/>
        <v>6.138214211149001</v>
      </c>
      <c r="AD19" s="2059">
        <v>41053</v>
      </c>
      <c r="AE19" s="2056">
        <f t="shared" si="12"/>
        <v>285.70533788015865</v>
      </c>
      <c r="AF19" s="2059"/>
      <c r="AG19" s="2056" t="str">
        <f t="shared" si="13"/>
        <v/>
      </c>
      <c r="AH19" s="2059"/>
      <c r="AI19" s="2056" t="str">
        <f t="shared" si="14"/>
        <v/>
      </c>
      <c r="AJ19" s="2059">
        <v>32406</v>
      </c>
      <c r="AK19" s="2056">
        <f t="shared" si="15"/>
        <v>225.52717656065141</v>
      </c>
      <c r="AL19" s="2059"/>
      <c r="AM19" s="2056" t="str">
        <f t="shared" si="16"/>
        <v/>
      </c>
      <c r="AN19" s="2059">
        <v>521</v>
      </c>
      <c r="AO19" s="2056">
        <f t="shared" si="17"/>
        <v>3.6258612290347276</v>
      </c>
      <c r="AP19" s="2059">
        <v>645547</v>
      </c>
      <c r="AQ19" s="2056">
        <f t="shared" si="18"/>
        <v>4492.6369267172386</v>
      </c>
    </row>
    <row r="20" spans="1:43">
      <c r="A20" s="2058"/>
      <c r="D20" s="2059">
        <v>1021052</v>
      </c>
      <c r="E20" s="2056" t="str">
        <f t="shared" si="0"/>
        <v/>
      </c>
      <c r="F20" s="2059"/>
      <c r="G20" s="2056" t="str">
        <f t="shared" si="0"/>
        <v/>
      </c>
      <c r="H20" s="2059"/>
      <c r="I20" s="2056" t="str">
        <f t="shared" si="1"/>
        <v/>
      </c>
      <c r="J20" s="2059"/>
      <c r="K20" s="2056" t="str">
        <f t="shared" si="2"/>
        <v/>
      </c>
      <c r="L20" s="2059"/>
      <c r="M20" s="2056" t="str">
        <f t="shared" si="3"/>
        <v/>
      </c>
      <c r="N20" s="2059"/>
      <c r="O20" s="2056" t="str">
        <f t="shared" si="4"/>
        <v/>
      </c>
      <c r="P20" s="2059"/>
      <c r="Q20" s="2056" t="str">
        <f t="shared" si="5"/>
        <v/>
      </c>
      <c r="R20" s="2059">
        <v>171785</v>
      </c>
      <c r="S20" s="2056" t="str">
        <f t="shared" si="6"/>
        <v/>
      </c>
      <c r="T20" s="2059"/>
      <c r="U20" s="2056" t="str">
        <f t="shared" si="7"/>
        <v/>
      </c>
      <c r="V20" s="2059"/>
      <c r="W20" s="2056" t="str">
        <f t="shared" si="8"/>
        <v/>
      </c>
      <c r="X20" s="2059"/>
      <c r="Y20" s="2056" t="str">
        <f t="shared" si="9"/>
        <v/>
      </c>
      <c r="Z20" s="2059"/>
      <c r="AA20" s="2056" t="str">
        <f t="shared" si="10"/>
        <v/>
      </c>
      <c r="AB20" s="2059"/>
      <c r="AC20" s="2056" t="str">
        <f t="shared" si="11"/>
        <v/>
      </c>
      <c r="AD20" s="2059"/>
      <c r="AE20" s="2056" t="str">
        <f t="shared" si="12"/>
        <v/>
      </c>
      <c r="AF20" s="2059"/>
      <c r="AG20" s="2056" t="str">
        <f t="shared" si="13"/>
        <v/>
      </c>
      <c r="AH20" s="2059"/>
      <c r="AI20" s="2056" t="str">
        <f t="shared" si="14"/>
        <v/>
      </c>
      <c r="AJ20" s="2059"/>
      <c r="AK20" s="2056" t="str">
        <f t="shared" si="15"/>
        <v/>
      </c>
      <c r="AL20" s="2059"/>
      <c r="AM20" s="2056" t="str">
        <f t="shared" si="16"/>
        <v/>
      </c>
      <c r="AN20" s="2059"/>
      <c r="AO20" s="2056" t="str">
        <f t="shared" si="17"/>
        <v/>
      </c>
      <c r="AP20" s="2059">
        <v>171785</v>
      </c>
      <c r="AQ20" s="2056" t="str">
        <f t="shared" si="18"/>
        <v/>
      </c>
    </row>
    <row r="21" spans="1:43">
      <c r="A21" s="2058"/>
      <c r="D21" s="2059"/>
      <c r="E21" s="2056" t="str">
        <f t="shared" si="0"/>
        <v/>
      </c>
      <c r="F21" s="2059"/>
      <c r="G21" s="2056" t="str">
        <f t="shared" si="0"/>
        <v/>
      </c>
      <c r="H21" s="2059"/>
      <c r="I21" s="2056" t="str">
        <f t="shared" si="1"/>
        <v/>
      </c>
      <c r="J21" s="2059"/>
      <c r="K21" s="2056" t="str">
        <f t="shared" si="2"/>
        <v/>
      </c>
      <c r="L21" s="2059"/>
      <c r="M21" s="2056" t="str">
        <f t="shared" si="3"/>
        <v/>
      </c>
      <c r="N21" s="2059"/>
      <c r="O21" s="2056" t="str">
        <f t="shared" si="4"/>
        <v/>
      </c>
      <c r="P21" s="2059"/>
      <c r="Q21" s="2056" t="str">
        <f t="shared" si="5"/>
        <v/>
      </c>
      <c r="R21" s="2059"/>
      <c r="S21" s="2056" t="str">
        <f t="shared" si="6"/>
        <v/>
      </c>
      <c r="T21" s="2059"/>
      <c r="U21" s="2056" t="str">
        <f t="shared" si="7"/>
        <v/>
      </c>
      <c r="V21" s="2059"/>
      <c r="W21" s="2056" t="str">
        <f t="shared" si="8"/>
        <v/>
      </c>
      <c r="X21" s="2059"/>
      <c r="Y21" s="2056" t="str">
        <f t="shared" si="9"/>
        <v/>
      </c>
      <c r="Z21" s="2059"/>
      <c r="AA21" s="2056" t="str">
        <f t="shared" si="10"/>
        <v/>
      </c>
      <c r="AB21" s="2059"/>
      <c r="AC21" s="2056" t="str">
        <f t="shared" si="11"/>
        <v/>
      </c>
      <c r="AD21" s="2059">
        <v>190503</v>
      </c>
      <c r="AE21" s="2056" t="str">
        <f t="shared" si="12"/>
        <v/>
      </c>
      <c r="AF21" s="2059"/>
      <c r="AG21" s="2056" t="str">
        <f t="shared" si="13"/>
        <v/>
      </c>
      <c r="AH21" s="2059"/>
      <c r="AI21" s="2056" t="str">
        <f t="shared" si="14"/>
        <v/>
      </c>
      <c r="AJ21" s="2059"/>
      <c r="AK21" s="2056" t="str">
        <f t="shared" si="15"/>
        <v/>
      </c>
      <c r="AL21" s="2059"/>
      <c r="AM21" s="2056" t="str">
        <f t="shared" si="16"/>
        <v/>
      </c>
      <c r="AN21" s="2059"/>
      <c r="AO21" s="2056" t="str">
        <f t="shared" si="17"/>
        <v/>
      </c>
      <c r="AP21" s="2059">
        <v>190503</v>
      </c>
      <c r="AQ21" s="2056" t="str">
        <f t="shared" si="18"/>
        <v/>
      </c>
    </row>
    <row r="22" spans="1:43">
      <c r="A22" s="2058"/>
      <c r="B22">
        <v>2</v>
      </c>
      <c r="D22" s="2059"/>
      <c r="E22" s="2056" t="str">
        <f t="shared" si="0"/>
        <v/>
      </c>
      <c r="F22" s="2059"/>
      <c r="G22" s="2056" t="str">
        <f t="shared" si="0"/>
        <v/>
      </c>
      <c r="H22" s="2059"/>
      <c r="I22" s="2056" t="str">
        <f t="shared" si="1"/>
        <v/>
      </c>
      <c r="J22" s="2059"/>
      <c r="K22" s="2056" t="str">
        <f t="shared" si="2"/>
        <v/>
      </c>
      <c r="L22" s="2059"/>
      <c r="M22" s="2056" t="str">
        <f t="shared" si="3"/>
        <v/>
      </c>
      <c r="N22" s="2059"/>
      <c r="O22" s="2056" t="str">
        <f t="shared" si="4"/>
        <v/>
      </c>
      <c r="P22" s="2059"/>
      <c r="Q22" s="2056" t="str">
        <f t="shared" si="5"/>
        <v/>
      </c>
      <c r="R22" s="2059"/>
      <c r="S22" s="2056" t="str">
        <f t="shared" si="6"/>
        <v/>
      </c>
      <c r="T22" s="2059"/>
      <c r="U22" s="2056" t="str">
        <f t="shared" si="7"/>
        <v/>
      </c>
      <c r="V22" s="2059"/>
      <c r="W22" s="2056" t="str">
        <f t="shared" si="8"/>
        <v/>
      </c>
      <c r="X22" s="2059"/>
      <c r="Y22" s="2056" t="str">
        <f t="shared" si="9"/>
        <v/>
      </c>
      <c r="Z22" s="2059"/>
      <c r="AA22" s="2056" t="str">
        <f t="shared" si="10"/>
        <v/>
      </c>
      <c r="AB22" s="2059"/>
      <c r="AC22" s="2056" t="str">
        <f t="shared" si="11"/>
        <v/>
      </c>
      <c r="AD22" s="2059"/>
      <c r="AE22" s="2056" t="str">
        <f t="shared" si="12"/>
        <v/>
      </c>
      <c r="AF22" s="2059"/>
      <c r="AG22" s="2056" t="str">
        <f t="shared" si="13"/>
        <v/>
      </c>
      <c r="AH22" s="2059"/>
      <c r="AI22" s="2056" t="str">
        <f t="shared" si="14"/>
        <v/>
      </c>
      <c r="AJ22" s="2059"/>
      <c r="AK22" s="2056" t="str">
        <f t="shared" si="15"/>
        <v/>
      </c>
      <c r="AL22" s="2059"/>
      <c r="AM22" s="2056" t="str">
        <f t="shared" si="16"/>
        <v/>
      </c>
      <c r="AN22" s="2059"/>
      <c r="AO22" s="2056" t="str">
        <f t="shared" si="17"/>
        <v/>
      </c>
      <c r="AP22" s="2059"/>
      <c r="AQ22" s="2056" t="str">
        <f t="shared" si="18"/>
        <v/>
      </c>
    </row>
    <row r="23" spans="1:43">
      <c r="A23" s="2058"/>
      <c r="B23">
        <v>44.29</v>
      </c>
      <c r="D23" s="2059"/>
      <c r="E23" s="2056" t="str">
        <f t="shared" si="0"/>
        <v/>
      </c>
      <c r="F23" s="2059">
        <v>12640</v>
      </c>
      <c r="G23" s="2056">
        <f t="shared" si="0"/>
        <v>285.39173628358549</v>
      </c>
      <c r="H23" s="2059">
        <v>173850</v>
      </c>
      <c r="I23" s="2056">
        <f t="shared" si="1"/>
        <v>3925.2652969067512</v>
      </c>
      <c r="J23" s="2059"/>
      <c r="K23" s="2056" t="str">
        <f t="shared" si="2"/>
        <v/>
      </c>
      <c r="L23" s="2059"/>
      <c r="M23" s="2056" t="str">
        <f t="shared" si="3"/>
        <v/>
      </c>
      <c r="N23" s="2059">
        <v>802</v>
      </c>
      <c r="O23" s="2056">
        <f t="shared" si="4"/>
        <v>18.107925039512306</v>
      </c>
      <c r="P23" s="2059">
        <v>28973</v>
      </c>
      <c r="Q23" s="2056">
        <f t="shared" si="5"/>
        <v>654.16572589749376</v>
      </c>
      <c r="R23" s="2059"/>
      <c r="S23" s="2056" t="str">
        <f t="shared" si="6"/>
        <v/>
      </c>
      <c r="T23" s="2059">
        <v>51</v>
      </c>
      <c r="U23" s="2056">
        <f t="shared" si="7"/>
        <v>1.1515014675999098</v>
      </c>
      <c r="V23" s="2059">
        <v>57526</v>
      </c>
      <c r="W23" s="2056">
        <f t="shared" si="8"/>
        <v>1298.8484985324001</v>
      </c>
      <c r="X23" s="2059"/>
      <c r="Y23" s="2056" t="str">
        <f t="shared" si="9"/>
        <v/>
      </c>
      <c r="Z23" s="2059">
        <v>10617</v>
      </c>
      <c r="AA23" s="2056">
        <f t="shared" si="10"/>
        <v>239.71551140212239</v>
      </c>
      <c r="AB23" s="2059">
        <v>653</v>
      </c>
      <c r="AC23" s="2056">
        <f t="shared" si="11"/>
        <v>14.743734477308648</v>
      </c>
      <c r="AD23" s="2059">
        <v>15834</v>
      </c>
      <c r="AE23" s="2056">
        <f t="shared" si="12"/>
        <v>357.50733799954844</v>
      </c>
      <c r="AF23" s="2059"/>
      <c r="AG23" s="2056" t="str">
        <f t="shared" si="13"/>
        <v/>
      </c>
      <c r="AH23" s="2059"/>
      <c r="AI23" s="2056" t="str">
        <f t="shared" si="14"/>
        <v/>
      </c>
      <c r="AJ23" s="2059">
        <v>18532</v>
      </c>
      <c r="AK23" s="2056">
        <f t="shared" si="15"/>
        <v>418.42402348159857</v>
      </c>
      <c r="AL23" s="2059"/>
      <c r="AM23" s="2056" t="str">
        <f t="shared" si="16"/>
        <v/>
      </c>
      <c r="AN23" s="2059">
        <v>148</v>
      </c>
      <c r="AO23" s="2056">
        <f t="shared" si="17"/>
        <v>3.3416121020546399</v>
      </c>
      <c r="AP23" s="2059">
        <v>319626</v>
      </c>
      <c r="AQ23" s="2056">
        <f t="shared" si="18"/>
        <v>7216.662903589975</v>
      </c>
    </row>
    <row r="24" spans="1:43">
      <c r="A24" s="2058"/>
      <c r="D24" s="2059">
        <v>244252</v>
      </c>
      <c r="E24" s="2056" t="str">
        <f t="shared" si="0"/>
        <v/>
      </c>
      <c r="F24" s="2059"/>
      <c r="G24" s="2056" t="str">
        <f t="shared" si="0"/>
        <v/>
      </c>
      <c r="H24" s="2059"/>
      <c r="I24" s="2056" t="str">
        <f t="shared" si="1"/>
        <v/>
      </c>
      <c r="J24" s="2059"/>
      <c r="K24" s="2056" t="str">
        <f t="shared" si="2"/>
        <v/>
      </c>
      <c r="L24" s="2059"/>
      <c r="M24" s="2056" t="str">
        <f t="shared" si="3"/>
        <v/>
      </c>
      <c r="N24" s="2059"/>
      <c r="O24" s="2056" t="str">
        <f t="shared" si="4"/>
        <v/>
      </c>
      <c r="P24" s="2059"/>
      <c r="Q24" s="2056" t="str">
        <f t="shared" si="5"/>
        <v/>
      </c>
      <c r="R24" s="2059">
        <v>61209</v>
      </c>
      <c r="S24" s="2056" t="str">
        <f t="shared" si="6"/>
        <v/>
      </c>
      <c r="T24" s="2059"/>
      <c r="U24" s="2056" t="str">
        <f t="shared" si="7"/>
        <v/>
      </c>
      <c r="V24" s="2059"/>
      <c r="W24" s="2056" t="str">
        <f t="shared" si="8"/>
        <v/>
      </c>
      <c r="X24" s="2059"/>
      <c r="Y24" s="2056" t="str">
        <f t="shared" si="9"/>
        <v/>
      </c>
      <c r="Z24" s="2059"/>
      <c r="AA24" s="2056" t="str">
        <f t="shared" si="10"/>
        <v/>
      </c>
      <c r="AB24" s="2059"/>
      <c r="AC24" s="2056" t="str">
        <f t="shared" si="11"/>
        <v/>
      </c>
      <c r="AD24" s="2059"/>
      <c r="AE24" s="2056" t="str">
        <f t="shared" si="12"/>
        <v/>
      </c>
      <c r="AF24" s="2059"/>
      <c r="AG24" s="2056" t="str">
        <f t="shared" si="13"/>
        <v/>
      </c>
      <c r="AH24" s="2059"/>
      <c r="AI24" s="2056" t="str">
        <f t="shared" si="14"/>
        <v/>
      </c>
      <c r="AJ24" s="2059"/>
      <c r="AK24" s="2056" t="str">
        <f t="shared" si="15"/>
        <v/>
      </c>
      <c r="AL24" s="2059"/>
      <c r="AM24" s="2056" t="str">
        <f t="shared" si="16"/>
        <v/>
      </c>
      <c r="AN24" s="2059"/>
      <c r="AO24" s="2056" t="str">
        <f t="shared" si="17"/>
        <v/>
      </c>
      <c r="AP24" s="2059">
        <v>61209</v>
      </c>
      <c r="AQ24" s="2056" t="str">
        <f t="shared" si="18"/>
        <v/>
      </c>
    </row>
    <row r="25" spans="1:43">
      <c r="A25" s="2058"/>
      <c r="D25" s="2059"/>
      <c r="E25" s="2056" t="str">
        <f t="shared" si="0"/>
        <v/>
      </c>
      <c r="F25" s="2059"/>
      <c r="G25" s="2056" t="str">
        <f t="shared" si="0"/>
        <v/>
      </c>
      <c r="H25" s="2059"/>
      <c r="I25" s="2056" t="str">
        <f t="shared" si="1"/>
        <v/>
      </c>
      <c r="J25" s="2059"/>
      <c r="K25" s="2056" t="str">
        <f t="shared" si="2"/>
        <v/>
      </c>
      <c r="L25" s="2059"/>
      <c r="M25" s="2056" t="str">
        <f t="shared" si="3"/>
        <v/>
      </c>
      <c r="N25" s="2059"/>
      <c r="O25" s="2056" t="str">
        <f t="shared" si="4"/>
        <v/>
      </c>
      <c r="P25" s="2059"/>
      <c r="Q25" s="2056" t="str">
        <f t="shared" si="5"/>
        <v/>
      </c>
      <c r="R25" s="2059"/>
      <c r="S25" s="2056" t="str">
        <f t="shared" si="6"/>
        <v/>
      </c>
      <c r="T25" s="2059"/>
      <c r="U25" s="2056" t="str">
        <f t="shared" si="7"/>
        <v/>
      </c>
      <c r="V25" s="2059"/>
      <c r="W25" s="2056" t="str">
        <f t="shared" si="8"/>
        <v/>
      </c>
      <c r="X25" s="2059"/>
      <c r="Y25" s="2056" t="str">
        <f t="shared" si="9"/>
        <v/>
      </c>
      <c r="Z25" s="2059"/>
      <c r="AA25" s="2056" t="str">
        <f t="shared" si="10"/>
        <v/>
      </c>
      <c r="AB25" s="2059"/>
      <c r="AC25" s="2056" t="str">
        <f t="shared" si="11"/>
        <v/>
      </c>
      <c r="AD25" s="2059">
        <v>94811</v>
      </c>
      <c r="AE25" s="2056" t="str">
        <f t="shared" si="12"/>
        <v/>
      </c>
      <c r="AF25" s="2059"/>
      <c r="AG25" s="2056" t="str">
        <f t="shared" si="13"/>
        <v/>
      </c>
      <c r="AH25" s="2059"/>
      <c r="AI25" s="2056" t="str">
        <f t="shared" si="14"/>
        <v/>
      </c>
      <c r="AJ25" s="2059"/>
      <c r="AK25" s="2056" t="str">
        <f t="shared" si="15"/>
        <v/>
      </c>
      <c r="AL25" s="2059"/>
      <c r="AM25" s="2056" t="str">
        <f t="shared" si="16"/>
        <v/>
      </c>
      <c r="AN25" s="2059"/>
      <c r="AO25" s="2056" t="str">
        <f t="shared" si="17"/>
        <v/>
      </c>
      <c r="AP25" s="2059">
        <v>94811</v>
      </c>
      <c r="AQ25" s="2056" t="str">
        <f t="shared" si="18"/>
        <v/>
      </c>
    </row>
    <row r="26" spans="1:43">
      <c r="A26" s="2058"/>
      <c r="B26">
        <v>142.59</v>
      </c>
      <c r="D26" s="2059"/>
      <c r="E26" s="2056" t="str">
        <f t="shared" si="0"/>
        <v/>
      </c>
      <c r="F26" s="2059">
        <v>32252</v>
      </c>
      <c r="G26" s="2056">
        <f t="shared" si="0"/>
        <v>226.18696963321412</v>
      </c>
      <c r="H26" s="2059">
        <v>20400</v>
      </c>
      <c r="I26" s="2056">
        <f t="shared" si="1"/>
        <v>143.06753629286766</v>
      </c>
      <c r="J26" s="2059"/>
      <c r="K26" s="2056" t="str">
        <f t="shared" si="2"/>
        <v/>
      </c>
      <c r="L26" s="2059"/>
      <c r="M26" s="2056" t="str">
        <f t="shared" si="3"/>
        <v/>
      </c>
      <c r="N26" s="2059">
        <v>3472</v>
      </c>
      <c r="O26" s="2056">
        <f t="shared" si="4"/>
        <v>24.349533627884142</v>
      </c>
      <c r="P26" s="2059">
        <v>49934</v>
      </c>
      <c r="Q26" s="2056">
        <f t="shared" si="5"/>
        <v>350.1928606494144</v>
      </c>
      <c r="R26" s="2059"/>
      <c r="S26" s="2056" t="str">
        <f t="shared" si="6"/>
        <v/>
      </c>
      <c r="T26" s="2059"/>
      <c r="U26" s="2056" t="str">
        <f t="shared" si="7"/>
        <v/>
      </c>
      <c r="V26" s="2059">
        <v>190958</v>
      </c>
      <c r="W26" s="2056">
        <f t="shared" si="8"/>
        <v>1339.2103233045796</v>
      </c>
      <c r="X26" s="2059"/>
      <c r="Y26" s="2056" t="str">
        <f t="shared" si="9"/>
        <v/>
      </c>
      <c r="Z26" s="2059">
        <v>36531</v>
      </c>
      <c r="AA26" s="2056">
        <f t="shared" si="10"/>
        <v>256.19608668209554</v>
      </c>
      <c r="AB26" s="2059">
        <v>8054</v>
      </c>
      <c r="AC26" s="2056">
        <f t="shared" si="11"/>
        <v>56.483624377586082</v>
      </c>
      <c r="AD26" s="2059">
        <v>28717</v>
      </c>
      <c r="AE26" s="2056">
        <f t="shared" si="12"/>
        <v>201.39560979030787</v>
      </c>
      <c r="AF26" s="2059"/>
      <c r="AG26" s="2056" t="str">
        <f t="shared" si="13"/>
        <v/>
      </c>
      <c r="AH26" s="2059"/>
      <c r="AI26" s="2056" t="str">
        <f t="shared" si="14"/>
        <v/>
      </c>
      <c r="AJ26" s="2059">
        <v>42941</v>
      </c>
      <c r="AK26" s="2056">
        <f t="shared" si="15"/>
        <v>301.15015078196228</v>
      </c>
      <c r="AL26" s="2059"/>
      <c r="AM26" s="2056" t="str">
        <f t="shared" si="16"/>
        <v/>
      </c>
      <c r="AN26" s="2059">
        <v>103</v>
      </c>
      <c r="AO26" s="2056">
        <f t="shared" si="17"/>
        <v>0.7223507959884985</v>
      </c>
      <c r="AP26" s="2059">
        <v>413362</v>
      </c>
      <c r="AQ26" s="2056">
        <f t="shared" si="18"/>
        <v>2898.9550459359002</v>
      </c>
    </row>
    <row r="27" spans="1:43">
      <c r="A27" s="2058"/>
      <c r="D27" s="2059">
        <v>1245731</v>
      </c>
      <c r="E27" s="2056" t="str">
        <f t="shared" si="0"/>
        <v/>
      </c>
      <c r="F27" s="2059"/>
      <c r="G27" s="2056" t="str">
        <f t="shared" si="0"/>
        <v/>
      </c>
      <c r="H27" s="2059"/>
      <c r="I27" s="2056" t="str">
        <f t="shared" si="1"/>
        <v/>
      </c>
      <c r="J27" s="2059"/>
      <c r="K27" s="2056" t="str">
        <f t="shared" si="2"/>
        <v/>
      </c>
      <c r="L27" s="2059"/>
      <c r="M27" s="2056" t="str">
        <f t="shared" si="3"/>
        <v/>
      </c>
      <c r="N27" s="2059"/>
      <c r="O27" s="2056" t="str">
        <f t="shared" si="4"/>
        <v/>
      </c>
      <c r="P27" s="2059"/>
      <c r="Q27" s="2056" t="str">
        <f t="shared" si="5"/>
        <v/>
      </c>
      <c r="R27" s="2059">
        <v>167516</v>
      </c>
      <c r="S27" s="2056" t="str">
        <f t="shared" si="6"/>
        <v/>
      </c>
      <c r="T27" s="2059"/>
      <c r="U27" s="2056" t="str">
        <f t="shared" si="7"/>
        <v/>
      </c>
      <c r="V27" s="2059"/>
      <c r="W27" s="2056" t="str">
        <f t="shared" si="8"/>
        <v/>
      </c>
      <c r="X27" s="2059"/>
      <c r="Y27" s="2056" t="str">
        <f t="shared" si="9"/>
        <v/>
      </c>
      <c r="Z27" s="2059"/>
      <c r="AA27" s="2056" t="str">
        <f t="shared" si="10"/>
        <v/>
      </c>
      <c r="AB27" s="2059"/>
      <c r="AC27" s="2056" t="str">
        <f t="shared" si="11"/>
        <v/>
      </c>
      <c r="AD27" s="2059"/>
      <c r="AE27" s="2056" t="str">
        <f t="shared" si="12"/>
        <v/>
      </c>
      <c r="AF27" s="2059"/>
      <c r="AG27" s="2056" t="str">
        <f t="shared" si="13"/>
        <v/>
      </c>
      <c r="AH27" s="2059"/>
      <c r="AI27" s="2056" t="str">
        <f t="shared" si="14"/>
        <v/>
      </c>
      <c r="AJ27" s="2059"/>
      <c r="AK27" s="2056" t="str">
        <f t="shared" si="15"/>
        <v/>
      </c>
      <c r="AL27" s="2059"/>
      <c r="AM27" s="2056" t="str">
        <f t="shared" si="16"/>
        <v/>
      </c>
      <c r="AN27" s="2059"/>
      <c r="AO27" s="2056" t="str">
        <f t="shared" si="17"/>
        <v/>
      </c>
      <c r="AP27" s="2059">
        <v>167516</v>
      </c>
      <c r="AQ27" s="2056" t="str">
        <f t="shared" si="18"/>
        <v/>
      </c>
    </row>
    <row r="28" spans="1:43">
      <c r="A28" s="2058"/>
      <c r="D28" s="2059"/>
      <c r="E28" s="2056" t="str">
        <f t="shared" si="0"/>
        <v/>
      </c>
      <c r="F28" s="2059"/>
      <c r="G28" s="2056" t="str">
        <f t="shared" si="0"/>
        <v/>
      </c>
      <c r="H28" s="2059"/>
      <c r="I28" s="2056" t="str">
        <f t="shared" si="1"/>
        <v/>
      </c>
      <c r="J28" s="2059"/>
      <c r="K28" s="2056" t="str">
        <f t="shared" si="2"/>
        <v/>
      </c>
      <c r="L28" s="2059"/>
      <c r="M28" s="2056" t="str">
        <f t="shared" si="3"/>
        <v/>
      </c>
      <c r="N28" s="2059"/>
      <c r="O28" s="2056" t="str">
        <f t="shared" si="4"/>
        <v/>
      </c>
      <c r="P28" s="2059"/>
      <c r="Q28" s="2056" t="str">
        <f t="shared" si="5"/>
        <v/>
      </c>
      <c r="R28" s="2059"/>
      <c r="S28" s="2056" t="str">
        <f t="shared" si="6"/>
        <v/>
      </c>
      <c r="T28" s="2059"/>
      <c r="U28" s="2056" t="str">
        <f t="shared" si="7"/>
        <v/>
      </c>
      <c r="V28" s="2059"/>
      <c r="W28" s="2056" t="str">
        <f t="shared" si="8"/>
        <v/>
      </c>
      <c r="X28" s="2059"/>
      <c r="Y28" s="2056" t="str">
        <f t="shared" si="9"/>
        <v/>
      </c>
      <c r="Z28" s="2059"/>
      <c r="AA28" s="2056" t="str">
        <f t="shared" si="10"/>
        <v/>
      </c>
      <c r="AB28" s="2059"/>
      <c r="AC28" s="2056" t="str">
        <f t="shared" si="11"/>
        <v/>
      </c>
      <c r="AD28" s="2059">
        <v>209185</v>
      </c>
      <c r="AE28" s="2056" t="str">
        <f t="shared" si="12"/>
        <v/>
      </c>
      <c r="AF28" s="2059"/>
      <c r="AG28" s="2056" t="str">
        <f t="shared" si="13"/>
        <v/>
      </c>
      <c r="AH28" s="2059"/>
      <c r="AI28" s="2056" t="str">
        <f t="shared" si="14"/>
        <v/>
      </c>
      <c r="AJ28" s="2059"/>
      <c r="AK28" s="2056" t="str">
        <f t="shared" si="15"/>
        <v/>
      </c>
      <c r="AL28" s="2059"/>
      <c r="AM28" s="2056" t="str">
        <f t="shared" si="16"/>
        <v/>
      </c>
      <c r="AN28" s="2059"/>
      <c r="AO28" s="2056" t="str">
        <f t="shared" si="17"/>
        <v/>
      </c>
      <c r="AP28" s="2059">
        <v>209185</v>
      </c>
      <c r="AQ28" s="2056" t="str">
        <f t="shared" si="18"/>
        <v/>
      </c>
    </row>
    <row r="29" spans="1:43">
      <c r="A29" s="2048" t="s">
        <v>1274</v>
      </c>
      <c r="B29" s="2054">
        <v>0.09</v>
      </c>
      <c r="D29" s="2055">
        <v>5.77</v>
      </c>
      <c r="E29" s="2056">
        <f t="shared" si="0"/>
        <v>64.111111111111114</v>
      </c>
      <c r="F29" s="2055"/>
      <c r="G29" s="2056" t="str">
        <f t="shared" si="0"/>
        <v/>
      </c>
      <c r="H29" s="2055">
        <v>7.0000000000000007E-2</v>
      </c>
      <c r="I29" s="2056">
        <f t="shared" si="1"/>
        <v>0.7777777777777779</v>
      </c>
      <c r="J29" s="2055"/>
      <c r="K29" s="2056" t="str">
        <f t="shared" si="2"/>
        <v/>
      </c>
      <c r="L29" s="2055"/>
      <c r="M29" s="2056" t="str">
        <f t="shared" si="3"/>
        <v/>
      </c>
      <c r="N29" s="2055">
        <v>17.260000000000002</v>
      </c>
      <c r="O29" s="2056">
        <f t="shared" si="4"/>
        <v>191.7777777777778</v>
      </c>
      <c r="P29" s="2055">
        <v>0.37</v>
      </c>
      <c r="Q29" s="2056">
        <f t="shared" si="5"/>
        <v>4.1111111111111116</v>
      </c>
      <c r="R29" s="2055"/>
      <c r="S29" s="2056" t="str">
        <f t="shared" si="6"/>
        <v/>
      </c>
      <c r="T29" s="2055"/>
      <c r="U29" s="2056" t="str">
        <f t="shared" si="7"/>
        <v/>
      </c>
      <c r="V29" s="2055">
        <v>2.29</v>
      </c>
      <c r="W29" s="2056">
        <f t="shared" si="8"/>
        <v>25.444444444444446</v>
      </c>
      <c r="X29" s="2055"/>
      <c r="Y29" s="2056" t="str">
        <f t="shared" si="9"/>
        <v/>
      </c>
      <c r="Z29" s="2055">
        <v>-0.01</v>
      </c>
      <c r="AA29" s="2056">
        <f t="shared" si="10"/>
        <v>-0.11111111111111112</v>
      </c>
      <c r="AB29" s="2055"/>
      <c r="AC29" s="2056" t="str">
        <f t="shared" si="11"/>
        <v/>
      </c>
      <c r="AD29" s="2055"/>
      <c r="AE29" s="2056" t="str">
        <f t="shared" si="12"/>
        <v/>
      </c>
      <c r="AF29" s="2055"/>
      <c r="AG29" s="2056" t="str">
        <f t="shared" si="13"/>
        <v/>
      </c>
      <c r="AH29" s="2055"/>
      <c r="AI29" s="2056" t="str">
        <f t="shared" si="14"/>
        <v/>
      </c>
      <c r="AJ29" s="2055">
        <v>246.67</v>
      </c>
      <c r="AK29" s="2056">
        <f t="shared" si="15"/>
        <v>2740.7777777777778</v>
      </c>
      <c r="AL29" s="2055"/>
      <c r="AM29" s="2056" t="str">
        <f t="shared" si="16"/>
        <v/>
      </c>
      <c r="AN29" s="2055">
        <v>1.38</v>
      </c>
      <c r="AO29" s="2056">
        <f t="shared" si="17"/>
        <v>15.333333333333332</v>
      </c>
      <c r="AP29" s="2055">
        <v>268.02999999999997</v>
      </c>
      <c r="AQ29" s="2056">
        <f t="shared" si="18"/>
        <v>2978.1111111111109</v>
      </c>
    </row>
    <row r="30" spans="1:43">
      <c r="A30" s="2048" t="s">
        <v>1275</v>
      </c>
      <c r="B30" s="2054">
        <v>26.64</v>
      </c>
      <c r="D30" s="2055">
        <v>36440</v>
      </c>
      <c r="E30" s="2056">
        <f t="shared" si="0"/>
        <v>1367.8678678678677</v>
      </c>
      <c r="F30" s="2055">
        <v>608</v>
      </c>
      <c r="G30" s="2056">
        <f t="shared" si="0"/>
        <v>22.822822822822822</v>
      </c>
      <c r="H30" s="2055"/>
      <c r="I30" s="2056" t="str">
        <f t="shared" si="1"/>
        <v/>
      </c>
      <c r="J30" s="2055"/>
      <c r="K30" s="2056" t="str">
        <f t="shared" si="2"/>
        <v/>
      </c>
      <c r="L30" s="2055"/>
      <c r="M30" s="2056" t="str">
        <f t="shared" si="3"/>
        <v/>
      </c>
      <c r="N30" s="2055">
        <v>1585</v>
      </c>
      <c r="O30" s="2056">
        <f t="shared" si="4"/>
        <v>59.496996996996998</v>
      </c>
      <c r="P30" s="2055">
        <v>7615</v>
      </c>
      <c r="Q30" s="2056">
        <f t="shared" si="5"/>
        <v>285.84834834834834</v>
      </c>
      <c r="R30" s="2055">
        <v>71352</v>
      </c>
      <c r="S30" s="2056">
        <f t="shared" si="6"/>
        <v>2678.3783783783783</v>
      </c>
      <c r="T30" s="2055"/>
      <c r="U30" s="2056" t="str">
        <f t="shared" si="7"/>
        <v/>
      </c>
      <c r="V30" s="2055">
        <v>24365</v>
      </c>
      <c r="W30" s="2056">
        <f t="shared" si="8"/>
        <v>914.60210210210209</v>
      </c>
      <c r="X30" s="2055"/>
      <c r="Y30" s="2056" t="str">
        <f t="shared" si="9"/>
        <v/>
      </c>
      <c r="Z30" s="2055">
        <v>655</v>
      </c>
      <c r="AA30" s="2056">
        <f t="shared" si="10"/>
        <v>24.587087087087088</v>
      </c>
      <c r="AB30" s="2055">
        <v>1098</v>
      </c>
      <c r="AC30" s="2056">
        <f t="shared" si="11"/>
        <v>41.216216216216218</v>
      </c>
      <c r="AD30" s="2055"/>
      <c r="AE30" s="2056" t="str">
        <f t="shared" si="12"/>
        <v/>
      </c>
      <c r="AF30" s="2055"/>
      <c r="AG30" s="2056" t="str">
        <f t="shared" si="13"/>
        <v/>
      </c>
      <c r="AH30" s="2055"/>
      <c r="AI30" s="2056" t="str">
        <f t="shared" si="14"/>
        <v/>
      </c>
      <c r="AJ30" s="2055">
        <v>47762</v>
      </c>
      <c r="AK30" s="2056">
        <f t="shared" si="15"/>
        <v>1792.8678678678677</v>
      </c>
      <c r="AL30" s="2055"/>
      <c r="AM30" s="2056" t="str">
        <f t="shared" si="16"/>
        <v/>
      </c>
      <c r="AN30" s="2055">
        <v>180</v>
      </c>
      <c r="AO30" s="2056">
        <f t="shared" si="17"/>
        <v>6.756756756756757</v>
      </c>
      <c r="AP30" s="2055">
        <v>155220</v>
      </c>
      <c r="AQ30" s="2056">
        <f t="shared" si="18"/>
        <v>5826.5765765765764</v>
      </c>
    </row>
    <row r="31" spans="1:43">
      <c r="A31" s="2058"/>
      <c r="B31">
        <v>430.42</v>
      </c>
      <c r="D31" s="2059">
        <v>5134423</v>
      </c>
      <c r="E31" s="2056">
        <f t="shared" si="0"/>
        <v>11928.867153013336</v>
      </c>
      <c r="F31" s="2059">
        <v>24536</v>
      </c>
      <c r="G31" s="2056">
        <f t="shared" si="0"/>
        <v>57.00478602295432</v>
      </c>
      <c r="H31" s="2059"/>
      <c r="I31" s="2056" t="str">
        <f t="shared" si="1"/>
        <v/>
      </c>
      <c r="J31" s="2059"/>
      <c r="K31" s="2056" t="str">
        <f t="shared" si="2"/>
        <v/>
      </c>
      <c r="L31" s="2059"/>
      <c r="M31" s="2056" t="str">
        <f t="shared" si="3"/>
        <v/>
      </c>
      <c r="N31" s="2059">
        <v>8776</v>
      </c>
      <c r="O31" s="2056">
        <f t="shared" si="4"/>
        <v>20.389387110264391</v>
      </c>
      <c r="P31" s="2059">
        <v>136564</v>
      </c>
      <c r="Q31" s="2056">
        <f t="shared" si="5"/>
        <v>317.28079550206775</v>
      </c>
      <c r="R31" s="2059">
        <v>788599</v>
      </c>
      <c r="S31" s="2056">
        <f t="shared" si="6"/>
        <v>1832.1616095906322</v>
      </c>
      <c r="T31" s="2059"/>
      <c r="U31" s="2056" t="str">
        <f t="shared" si="7"/>
        <v/>
      </c>
      <c r="V31" s="2059">
        <v>285397</v>
      </c>
      <c r="W31" s="2056">
        <f t="shared" si="8"/>
        <v>663.06630732772635</v>
      </c>
      <c r="X31" s="2059"/>
      <c r="Y31" s="2056" t="str">
        <f t="shared" si="9"/>
        <v/>
      </c>
      <c r="Z31" s="2059">
        <v>276</v>
      </c>
      <c r="AA31" s="2056">
        <f t="shared" si="10"/>
        <v>0.64123414339482365</v>
      </c>
      <c r="AB31" s="2059">
        <v>4342</v>
      </c>
      <c r="AC31" s="2056">
        <f t="shared" si="11"/>
        <v>10.087821197899725</v>
      </c>
      <c r="AD31" s="2059">
        <v>52346</v>
      </c>
      <c r="AE31" s="2056">
        <f t="shared" si="12"/>
        <v>121.61609590632405</v>
      </c>
      <c r="AF31" s="2059"/>
      <c r="AG31" s="2056" t="str">
        <f t="shared" si="13"/>
        <v/>
      </c>
      <c r="AH31" s="2059"/>
      <c r="AI31" s="2056" t="str">
        <f t="shared" si="14"/>
        <v/>
      </c>
      <c r="AJ31" s="2059">
        <v>963229</v>
      </c>
      <c r="AK31" s="2056">
        <f t="shared" si="15"/>
        <v>2237.881604014683</v>
      </c>
      <c r="AL31" s="2059"/>
      <c r="AM31" s="2056" t="str">
        <f t="shared" si="16"/>
        <v/>
      </c>
      <c r="AN31" s="2059">
        <v>1201</v>
      </c>
      <c r="AO31" s="2056">
        <f t="shared" si="17"/>
        <v>2.7902978486129824</v>
      </c>
      <c r="AP31" s="2059">
        <v>2265266</v>
      </c>
      <c r="AQ31" s="2056">
        <f t="shared" si="18"/>
        <v>5262.9199386645596</v>
      </c>
    </row>
    <row r="32" spans="1:43">
      <c r="A32" s="2058"/>
      <c r="D32" s="2059"/>
      <c r="E32" s="2056" t="str">
        <f t="shared" si="0"/>
        <v/>
      </c>
      <c r="F32" s="2059"/>
      <c r="G32" s="2056" t="str">
        <f t="shared" si="0"/>
        <v/>
      </c>
      <c r="H32" s="2059"/>
      <c r="I32" s="2056" t="str">
        <f t="shared" si="1"/>
        <v/>
      </c>
      <c r="J32" s="2059"/>
      <c r="K32" s="2056" t="str">
        <f t="shared" si="2"/>
        <v/>
      </c>
      <c r="L32" s="2059"/>
      <c r="M32" s="2056" t="str">
        <f t="shared" si="3"/>
        <v/>
      </c>
      <c r="N32" s="2059"/>
      <c r="O32" s="2056" t="str">
        <f t="shared" si="4"/>
        <v/>
      </c>
      <c r="P32" s="2059"/>
      <c r="Q32" s="2056" t="str">
        <f t="shared" si="5"/>
        <v/>
      </c>
      <c r="R32" s="2059"/>
      <c r="S32" s="2056" t="str">
        <f t="shared" si="6"/>
        <v/>
      </c>
      <c r="T32" s="2059"/>
      <c r="U32" s="2056" t="str">
        <f t="shared" si="7"/>
        <v/>
      </c>
      <c r="V32" s="2059"/>
      <c r="W32" s="2056" t="str">
        <f t="shared" si="8"/>
        <v/>
      </c>
      <c r="X32" s="2059"/>
      <c r="Y32" s="2056" t="str">
        <f t="shared" si="9"/>
        <v/>
      </c>
      <c r="Z32" s="2059"/>
      <c r="AA32" s="2056" t="str">
        <f t="shared" si="10"/>
        <v/>
      </c>
      <c r="AB32" s="2059"/>
      <c r="AC32" s="2056" t="str">
        <f t="shared" si="11"/>
        <v/>
      </c>
      <c r="AD32" s="2059">
        <v>198069</v>
      </c>
      <c r="AE32" s="2056" t="str">
        <f t="shared" si="12"/>
        <v/>
      </c>
      <c r="AF32" s="2059"/>
      <c r="AG32" s="2056" t="str">
        <f t="shared" si="13"/>
        <v/>
      </c>
      <c r="AH32" s="2059"/>
      <c r="AI32" s="2056" t="str">
        <f t="shared" si="14"/>
        <v/>
      </c>
      <c r="AJ32" s="2059"/>
      <c r="AK32" s="2056" t="str">
        <f t="shared" si="15"/>
        <v/>
      </c>
      <c r="AL32" s="2059"/>
      <c r="AM32" s="2056" t="str">
        <f t="shared" si="16"/>
        <v/>
      </c>
      <c r="AN32" s="2059"/>
      <c r="AO32" s="2056" t="str">
        <f t="shared" si="17"/>
        <v/>
      </c>
      <c r="AP32" s="2059">
        <v>198069</v>
      </c>
      <c r="AQ32" s="2056" t="str">
        <f t="shared" si="18"/>
        <v/>
      </c>
    </row>
    <row r="33" spans="1:43">
      <c r="A33" s="2048" t="s">
        <v>1276</v>
      </c>
      <c r="B33" s="2054">
        <v>231.83</v>
      </c>
      <c r="D33" s="2055">
        <v>1370635</v>
      </c>
      <c r="E33" s="2056">
        <f t="shared" si="0"/>
        <v>5912.2417288530387</v>
      </c>
      <c r="F33" s="2055">
        <v>81343</v>
      </c>
      <c r="G33" s="2056">
        <f t="shared" si="0"/>
        <v>350.87348488116288</v>
      </c>
      <c r="H33" s="2055"/>
      <c r="I33" s="2056" t="str">
        <f t="shared" si="1"/>
        <v/>
      </c>
      <c r="J33" s="2055"/>
      <c r="K33" s="2056" t="str">
        <f t="shared" si="2"/>
        <v/>
      </c>
      <c r="L33" s="2055"/>
      <c r="M33" s="2056" t="str">
        <f t="shared" si="3"/>
        <v/>
      </c>
      <c r="N33" s="2055">
        <v>10272</v>
      </c>
      <c r="O33" s="2056">
        <f t="shared" si="4"/>
        <v>44.30832937928654</v>
      </c>
      <c r="P33" s="2055">
        <v>34339</v>
      </c>
      <c r="Q33" s="2056">
        <f t="shared" si="5"/>
        <v>148.12146831730146</v>
      </c>
      <c r="R33" s="2055">
        <v>836</v>
      </c>
      <c r="S33" s="2056">
        <f t="shared" si="6"/>
        <v>3.6060906698874171</v>
      </c>
      <c r="T33" s="2055"/>
      <c r="U33" s="2056" t="str">
        <f t="shared" si="7"/>
        <v/>
      </c>
      <c r="V33" s="2055"/>
      <c r="W33" s="2056" t="str">
        <f t="shared" si="8"/>
        <v/>
      </c>
      <c r="X33" s="2055"/>
      <c r="Y33" s="2056" t="str">
        <f t="shared" si="9"/>
        <v/>
      </c>
      <c r="Z33" s="2055">
        <v>292</v>
      </c>
      <c r="AA33" s="2056">
        <f t="shared" si="10"/>
        <v>1.2595436311090022</v>
      </c>
      <c r="AB33" s="2055">
        <v>524</v>
      </c>
      <c r="AC33" s="2056">
        <f t="shared" si="11"/>
        <v>2.2602769270586203</v>
      </c>
      <c r="AD33" s="2055">
        <v>3</v>
      </c>
      <c r="AE33" s="2056">
        <f t="shared" si="12"/>
        <v>1.29405167579692E-2</v>
      </c>
      <c r="AF33" s="2055"/>
      <c r="AG33" s="2056" t="str">
        <f t="shared" si="13"/>
        <v/>
      </c>
      <c r="AH33" s="2055"/>
      <c r="AI33" s="2056" t="str">
        <f t="shared" si="14"/>
        <v/>
      </c>
      <c r="AJ33" s="2055">
        <v>36315</v>
      </c>
      <c r="AK33" s="2056">
        <f t="shared" si="15"/>
        <v>156.64495535521718</v>
      </c>
      <c r="AL33" s="2055"/>
      <c r="AM33" s="2056" t="str">
        <f t="shared" si="16"/>
        <v/>
      </c>
      <c r="AN33" s="2055"/>
      <c r="AO33" s="2056" t="str">
        <f t="shared" si="17"/>
        <v/>
      </c>
      <c r="AP33" s="2055">
        <v>163924</v>
      </c>
      <c r="AQ33" s="2056">
        <f t="shared" si="18"/>
        <v>707.08708967778114</v>
      </c>
    </row>
    <row r="34" spans="1:43">
      <c r="A34" s="2058"/>
      <c r="B34">
        <v>89.39</v>
      </c>
      <c r="D34" s="2059">
        <v>224316</v>
      </c>
      <c r="E34" s="2056">
        <f t="shared" si="0"/>
        <v>2509.4082112093074</v>
      </c>
      <c r="F34" s="2059"/>
      <c r="G34" s="2056" t="str">
        <f t="shared" si="0"/>
        <v/>
      </c>
      <c r="H34" s="2059"/>
      <c r="I34" s="2056" t="str">
        <f t="shared" si="1"/>
        <v/>
      </c>
      <c r="J34" s="2059"/>
      <c r="K34" s="2056" t="str">
        <f t="shared" si="2"/>
        <v/>
      </c>
      <c r="L34" s="2059"/>
      <c r="M34" s="2056" t="str">
        <f t="shared" si="3"/>
        <v/>
      </c>
      <c r="N34" s="2059">
        <v>2867</v>
      </c>
      <c r="O34" s="2056">
        <f t="shared" si="4"/>
        <v>32.072938807472873</v>
      </c>
      <c r="P34" s="2059">
        <v>84868</v>
      </c>
      <c r="Q34" s="2056">
        <f t="shared" si="5"/>
        <v>949.41268598277213</v>
      </c>
      <c r="R34" s="2059">
        <v>74000</v>
      </c>
      <c r="S34" s="2056">
        <f t="shared" si="6"/>
        <v>827.83309094977062</v>
      </c>
      <c r="T34" s="2059"/>
      <c r="U34" s="2056" t="str">
        <f t="shared" si="7"/>
        <v/>
      </c>
      <c r="V34" s="2059">
        <v>15718</v>
      </c>
      <c r="W34" s="2056">
        <f t="shared" si="8"/>
        <v>175.83622329119589</v>
      </c>
      <c r="X34" s="2059"/>
      <c r="Y34" s="2056" t="str">
        <f t="shared" si="9"/>
        <v/>
      </c>
      <c r="Z34" s="2059">
        <v>6961</v>
      </c>
      <c r="AA34" s="2056">
        <f t="shared" si="10"/>
        <v>77.872245217585856</v>
      </c>
      <c r="AB34" s="2059"/>
      <c r="AC34" s="2056" t="str">
        <f t="shared" si="11"/>
        <v/>
      </c>
      <c r="AD34" s="2059">
        <v>11182</v>
      </c>
      <c r="AE34" s="2056">
        <f t="shared" si="12"/>
        <v>125.09229220270724</v>
      </c>
      <c r="AF34" s="2059"/>
      <c r="AG34" s="2056" t="str">
        <f t="shared" si="13"/>
        <v/>
      </c>
      <c r="AH34" s="2059"/>
      <c r="AI34" s="2056" t="str">
        <f t="shared" si="14"/>
        <v/>
      </c>
      <c r="AJ34" s="2059">
        <v>29548</v>
      </c>
      <c r="AK34" s="2056">
        <f t="shared" si="15"/>
        <v>330.55151582951112</v>
      </c>
      <c r="AL34" s="2059"/>
      <c r="AM34" s="2056" t="str">
        <f t="shared" si="16"/>
        <v/>
      </c>
      <c r="AN34" s="2059"/>
      <c r="AO34" s="2056" t="str">
        <f t="shared" si="17"/>
        <v/>
      </c>
      <c r="AP34" s="2059">
        <v>225144</v>
      </c>
      <c r="AQ34" s="2056">
        <f t="shared" si="18"/>
        <v>2518.670992281016</v>
      </c>
    </row>
    <row r="35" spans="1:43">
      <c r="A35" s="2058"/>
      <c r="D35" s="2059"/>
      <c r="E35" s="2056" t="str">
        <f t="shared" si="0"/>
        <v/>
      </c>
      <c r="F35" s="2059"/>
      <c r="G35" s="2056" t="str">
        <f t="shared" si="0"/>
        <v/>
      </c>
      <c r="H35" s="2059"/>
      <c r="I35" s="2056" t="str">
        <f t="shared" si="1"/>
        <v/>
      </c>
      <c r="J35" s="2059"/>
      <c r="K35" s="2056" t="str">
        <f t="shared" si="2"/>
        <v/>
      </c>
      <c r="L35" s="2059"/>
      <c r="M35" s="2056" t="str">
        <f t="shared" si="3"/>
        <v/>
      </c>
      <c r="N35" s="2059"/>
      <c r="O35" s="2056" t="str">
        <f t="shared" si="4"/>
        <v/>
      </c>
      <c r="P35" s="2059"/>
      <c r="Q35" s="2056" t="str">
        <f t="shared" si="5"/>
        <v/>
      </c>
      <c r="R35" s="2059"/>
      <c r="S35" s="2056" t="str">
        <f t="shared" si="6"/>
        <v/>
      </c>
      <c r="T35" s="2059"/>
      <c r="U35" s="2056" t="str">
        <f t="shared" si="7"/>
        <v/>
      </c>
      <c r="V35" s="2059"/>
      <c r="W35" s="2056" t="str">
        <f t="shared" si="8"/>
        <v/>
      </c>
      <c r="X35" s="2059"/>
      <c r="Y35" s="2056" t="str">
        <f t="shared" si="9"/>
        <v/>
      </c>
      <c r="Z35" s="2059"/>
      <c r="AA35" s="2056" t="str">
        <f t="shared" si="10"/>
        <v/>
      </c>
      <c r="AB35" s="2059"/>
      <c r="AC35" s="2056" t="str">
        <f t="shared" si="11"/>
        <v/>
      </c>
      <c r="AD35" s="2059">
        <v>39855</v>
      </c>
      <c r="AE35" s="2056" t="str">
        <f t="shared" si="12"/>
        <v/>
      </c>
      <c r="AF35" s="2059"/>
      <c r="AG35" s="2056" t="str">
        <f t="shared" si="13"/>
        <v/>
      </c>
      <c r="AH35" s="2059"/>
      <c r="AI35" s="2056" t="str">
        <f t="shared" si="14"/>
        <v/>
      </c>
      <c r="AJ35" s="2059"/>
      <c r="AK35" s="2056" t="str">
        <f t="shared" si="15"/>
        <v/>
      </c>
      <c r="AL35" s="2059"/>
      <c r="AM35" s="2056" t="str">
        <f t="shared" si="16"/>
        <v/>
      </c>
      <c r="AN35" s="2059"/>
      <c r="AO35" s="2056" t="str">
        <f t="shared" si="17"/>
        <v/>
      </c>
      <c r="AP35" s="2059">
        <v>39855</v>
      </c>
      <c r="AQ35" s="2056" t="str">
        <f t="shared" si="18"/>
        <v/>
      </c>
    </row>
    <row r="36" spans="1:43">
      <c r="A36" s="2058"/>
      <c r="D36" s="2059">
        <v>268382</v>
      </c>
      <c r="E36" s="2056" t="str">
        <f t="shared" si="0"/>
        <v/>
      </c>
      <c r="F36" s="2059"/>
      <c r="G36" s="2056" t="str">
        <f t="shared" si="0"/>
        <v/>
      </c>
      <c r="H36" s="2059"/>
      <c r="I36" s="2056" t="str">
        <f t="shared" si="1"/>
        <v/>
      </c>
      <c r="J36" s="2059"/>
      <c r="K36" s="2056" t="str">
        <f t="shared" si="2"/>
        <v/>
      </c>
      <c r="L36" s="2059"/>
      <c r="M36" s="2056" t="str">
        <f t="shared" si="3"/>
        <v/>
      </c>
      <c r="N36" s="2059"/>
      <c r="O36" s="2056" t="str">
        <f t="shared" si="4"/>
        <v/>
      </c>
      <c r="P36" s="2059"/>
      <c r="Q36" s="2056" t="str">
        <f t="shared" si="5"/>
        <v/>
      </c>
      <c r="R36" s="2059"/>
      <c r="S36" s="2056" t="str">
        <f t="shared" si="6"/>
        <v/>
      </c>
      <c r="T36" s="2059"/>
      <c r="U36" s="2056" t="str">
        <f t="shared" si="7"/>
        <v/>
      </c>
      <c r="V36" s="2059"/>
      <c r="W36" s="2056" t="str">
        <f t="shared" si="8"/>
        <v/>
      </c>
      <c r="X36" s="2059"/>
      <c r="Y36" s="2056" t="str">
        <f t="shared" si="9"/>
        <v/>
      </c>
      <c r="Z36" s="2059"/>
      <c r="AA36" s="2056" t="str">
        <f t="shared" si="10"/>
        <v/>
      </c>
      <c r="AB36" s="2059"/>
      <c r="AC36" s="2056" t="str">
        <f t="shared" si="11"/>
        <v/>
      </c>
      <c r="AD36" s="2059"/>
      <c r="AE36" s="2056" t="str">
        <f t="shared" si="12"/>
        <v/>
      </c>
      <c r="AF36" s="2059"/>
      <c r="AG36" s="2056" t="str">
        <f t="shared" si="13"/>
        <v/>
      </c>
      <c r="AH36" s="2059"/>
      <c r="AI36" s="2056" t="str">
        <f t="shared" si="14"/>
        <v/>
      </c>
      <c r="AJ36" s="2059"/>
      <c r="AK36" s="2056" t="str">
        <f t="shared" si="15"/>
        <v/>
      </c>
      <c r="AL36" s="2059"/>
      <c r="AM36" s="2056" t="str">
        <f t="shared" si="16"/>
        <v/>
      </c>
      <c r="AN36" s="2059"/>
      <c r="AO36" s="2056" t="str">
        <f t="shared" si="17"/>
        <v/>
      </c>
      <c r="AP36" s="2059"/>
      <c r="AQ36" s="2056" t="str">
        <f t="shared" si="18"/>
        <v/>
      </c>
    </row>
    <row r="37" spans="1:43">
      <c r="A37" s="2048" t="s">
        <v>1212</v>
      </c>
      <c r="B37" s="2054">
        <v>130.27000000000001</v>
      </c>
      <c r="D37" s="2055">
        <v>390036</v>
      </c>
      <c r="E37" s="2056">
        <f t="shared" si="0"/>
        <v>2994.0584938972902</v>
      </c>
      <c r="F37" s="2055"/>
      <c r="G37" s="2056" t="str">
        <f t="shared" si="0"/>
        <v/>
      </c>
      <c r="H37" s="2055"/>
      <c r="I37" s="2056" t="str">
        <f t="shared" si="1"/>
        <v/>
      </c>
      <c r="J37" s="2055"/>
      <c r="K37" s="2056" t="str">
        <f t="shared" si="2"/>
        <v/>
      </c>
      <c r="L37" s="2055">
        <v>5385412</v>
      </c>
      <c r="M37" s="2056">
        <f t="shared" si="3"/>
        <v>41340.385353496582</v>
      </c>
      <c r="N37" s="2055">
        <v>9755</v>
      </c>
      <c r="O37" s="2056">
        <f t="shared" si="4"/>
        <v>74.882935441774777</v>
      </c>
      <c r="P37" s="2055">
        <v>74500</v>
      </c>
      <c r="Q37" s="2056">
        <f t="shared" si="5"/>
        <v>571.88915329699853</v>
      </c>
      <c r="R37" s="2055">
        <v>92367</v>
      </c>
      <c r="S37" s="2056">
        <f t="shared" si="6"/>
        <v>709.0427573501189</v>
      </c>
      <c r="T37" s="2055"/>
      <c r="U37" s="2056" t="str">
        <f t="shared" si="7"/>
        <v/>
      </c>
      <c r="V37" s="2055">
        <v>345</v>
      </c>
      <c r="W37" s="2056">
        <f t="shared" si="8"/>
        <v>2.648345743455899</v>
      </c>
      <c r="X37" s="2055">
        <v>924</v>
      </c>
      <c r="Y37" s="2056">
        <f t="shared" si="9"/>
        <v>7.0929607737775386</v>
      </c>
      <c r="Z37" s="2055"/>
      <c r="AA37" s="2056" t="str">
        <f t="shared" si="10"/>
        <v/>
      </c>
      <c r="AB37" s="2055">
        <v>28003</v>
      </c>
      <c r="AC37" s="2056">
        <f t="shared" si="11"/>
        <v>214.96123435940737</v>
      </c>
      <c r="AD37" s="2055">
        <v>100851</v>
      </c>
      <c r="AE37" s="2056">
        <f t="shared" si="12"/>
        <v>774.16903354571264</v>
      </c>
      <c r="AF37" s="2055"/>
      <c r="AG37" s="2056" t="str">
        <f t="shared" si="13"/>
        <v/>
      </c>
      <c r="AH37" s="2055"/>
      <c r="AI37" s="2056" t="str">
        <f t="shared" si="14"/>
        <v/>
      </c>
      <c r="AJ37" s="2055">
        <v>76256</v>
      </c>
      <c r="AK37" s="2056">
        <f t="shared" si="15"/>
        <v>585.36884931296538</v>
      </c>
      <c r="AL37" s="2055"/>
      <c r="AM37" s="2056" t="str">
        <f t="shared" si="16"/>
        <v/>
      </c>
      <c r="AN37" s="2055">
        <v>225</v>
      </c>
      <c r="AO37" s="2056">
        <f t="shared" si="17"/>
        <v>1.7271820066016732</v>
      </c>
      <c r="AP37" s="2055">
        <v>5768638</v>
      </c>
      <c r="AQ37" s="2056">
        <f t="shared" si="18"/>
        <v>44282.167805327394</v>
      </c>
    </row>
    <row r="38" spans="1:43">
      <c r="A38" s="2058"/>
      <c r="B38">
        <v>133.72</v>
      </c>
      <c r="D38" s="2059">
        <v>535421</v>
      </c>
      <c r="E38" s="2056">
        <f t="shared" si="0"/>
        <v>4004.045767274903</v>
      </c>
      <c r="F38" s="2059">
        <v>3150</v>
      </c>
      <c r="G38" s="2056">
        <f t="shared" si="0"/>
        <v>23.556685611725996</v>
      </c>
      <c r="H38" s="2059"/>
      <c r="I38" s="2056" t="str">
        <f t="shared" si="1"/>
        <v/>
      </c>
      <c r="J38" s="2059"/>
      <c r="K38" s="2056" t="str">
        <f t="shared" si="2"/>
        <v/>
      </c>
      <c r="L38" s="2059"/>
      <c r="M38" s="2056" t="str">
        <f t="shared" si="3"/>
        <v/>
      </c>
      <c r="N38" s="2059">
        <v>4595</v>
      </c>
      <c r="O38" s="2056">
        <f t="shared" si="4"/>
        <v>34.362847741549508</v>
      </c>
      <c r="P38" s="2059">
        <v>125939</v>
      </c>
      <c r="Q38" s="2056">
        <f t="shared" si="5"/>
        <v>941.81124738259052</v>
      </c>
      <c r="R38" s="2059">
        <v>111320</v>
      </c>
      <c r="S38" s="2056">
        <f t="shared" si="6"/>
        <v>832.48579120550403</v>
      </c>
      <c r="T38" s="2059"/>
      <c r="U38" s="2056" t="str">
        <f t="shared" si="7"/>
        <v/>
      </c>
      <c r="V38" s="2059">
        <v>27043</v>
      </c>
      <c r="W38" s="2056">
        <f t="shared" si="8"/>
        <v>202.23601555489083</v>
      </c>
      <c r="X38" s="2059">
        <v>8500</v>
      </c>
      <c r="Y38" s="2056">
        <f t="shared" si="9"/>
        <v>63.565659587197132</v>
      </c>
      <c r="Z38" s="2059"/>
      <c r="AA38" s="2056" t="str">
        <f t="shared" si="10"/>
        <v/>
      </c>
      <c r="AB38" s="2059">
        <v>30183</v>
      </c>
      <c r="AC38" s="2056">
        <f t="shared" si="11"/>
        <v>225.71791803769071</v>
      </c>
      <c r="AD38" s="2059">
        <v>60384</v>
      </c>
      <c r="AE38" s="2056">
        <f t="shared" si="12"/>
        <v>451.57044570744841</v>
      </c>
      <c r="AF38" s="2059"/>
      <c r="AG38" s="2056" t="str">
        <f t="shared" si="13"/>
        <v/>
      </c>
      <c r="AH38" s="2059"/>
      <c r="AI38" s="2056" t="str">
        <f t="shared" si="14"/>
        <v/>
      </c>
      <c r="AJ38" s="2059">
        <v>121540</v>
      </c>
      <c r="AK38" s="2056">
        <f t="shared" si="15"/>
        <v>908.91414896799279</v>
      </c>
      <c r="AL38" s="2059"/>
      <c r="AM38" s="2056" t="str">
        <f t="shared" si="16"/>
        <v/>
      </c>
      <c r="AN38" s="2059"/>
      <c r="AO38" s="2056" t="str">
        <f t="shared" si="17"/>
        <v/>
      </c>
      <c r="AP38" s="2059">
        <v>492654</v>
      </c>
      <c r="AQ38" s="2056">
        <f t="shared" si="18"/>
        <v>3684.2207597965898</v>
      </c>
    </row>
    <row r="39" spans="1:43">
      <c r="A39" s="2048" t="s">
        <v>1277</v>
      </c>
      <c r="B39" s="2054">
        <v>0.54</v>
      </c>
      <c r="D39" s="2055">
        <v>1488</v>
      </c>
      <c r="E39" s="2056">
        <f t="shared" si="0"/>
        <v>2755.5555555555552</v>
      </c>
      <c r="F39" s="2055"/>
      <c r="G39" s="2056" t="str">
        <f t="shared" si="0"/>
        <v/>
      </c>
      <c r="H39" s="2055"/>
      <c r="I39" s="2056" t="str">
        <f t="shared" si="1"/>
        <v/>
      </c>
      <c r="J39" s="2055"/>
      <c r="K39" s="2056" t="str">
        <f t="shared" si="2"/>
        <v/>
      </c>
      <c r="L39" s="2055"/>
      <c r="M39" s="2056" t="str">
        <f t="shared" si="3"/>
        <v/>
      </c>
      <c r="N39" s="2055">
        <v>67</v>
      </c>
      <c r="O39" s="2056">
        <f t="shared" si="4"/>
        <v>124.07407407407406</v>
      </c>
      <c r="P39" s="2055">
        <v>1897</v>
      </c>
      <c r="Q39" s="2056">
        <f t="shared" si="5"/>
        <v>3512.9629629629626</v>
      </c>
      <c r="R39" s="2055">
        <v>134</v>
      </c>
      <c r="S39" s="2056">
        <f t="shared" si="6"/>
        <v>248.14814814814812</v>
      </c>
      <c r="T39" s="2055"/>
      <c r="U39" s="2056" t="str">
        <f t="shared" si="7"/>
        <v/>
      </c>
      <c r="V39" s="2055"/>
      <c r="W39" s="2056" t="str">
        <f t="shared" si="8"/>
        <v/>
      </c>
      <c r="X39" s="2055"/>
      <c r="Y39" s="2056" t="str">
        <f t="shared" si="9"/>
        <v/>
      </c>
      <c r="Z39" s="2055">
        <v>45</v>
      </c>
      <c r="AA39" s="2056">
        <f t="shared" si="10"/>
        <v>83.333333333333329</v>
      </c>
      <c r="AB39" s="2055">
        <v>16</v>
      </c>
      <c r="AC39" s="2056">
        <f t="shared" si="11"/>
        <v>29.629629629629626</v>
      </c>
      <c r="AD39" s="2055">
        <v>45</v>
      </c>
      <c r="AE39" s="2056">
        <f t="shared" si="12"/>
        <v>83.333333333333329</v>
      </c>
      <c r="AF39" s="2055"/>
      <c r="AG39" s="2056" t="str">
        <f t="shared" si="13"/>
        <v/>
      </c>
      <c r="AH39" s="2055"/>
      <c r="AI39" s="2056" t="str">
        <f t="shared" si="14"/>
        <v/>
      </c>
      <c r="AJ39" s="2055">
        <v>71</v>
      </c>
      <c r="AK39" s="2056">
        <f t="shared" si="15"/>
        <v>131.48148148148147</v>
      </c>
      <c r="AL39" s="2055"/>
      <c r="AM39" s="2056" t="str">
        <f t="shared" si="16"/>
        <v/>
      </c>
      <c r="AN39" s="2055"/>
      <c r="AO39" s="2056" t="str">
        <f t="shared" si="17"/>
        <v/>
      </c>
      <c r="AP39" s="2055">
        <v>2275</v>
      </c>
      <c r="AQ39" s="2056">
        <f t="shared" si="18"/>
        <v>4212.9629629629626</v>
      </c>
    </row>
    <row r="40" spans="1:43">
      <c r="A40" s="2048" t="s">
        <v>1278</v>
      </c>
      <c r="B40" s="2054">
        <v>142.44</v>
      </c>
      <c r="D40" s="2055">
        <v>141034</v>
      </c>
      <c r="E40" s="2056">
        <f t="shared" si="0"/>
        <v>990.12917719741642</v>
      </c>
      <c r="F40" s="2055"/>
      <c r="G40" s="2056" t="str">
        <f t="shared" si="0"/>
        <v/>
      </c>
      <c r="H40" s="2055"/>
      <c r="I40" s="2056" t="str">
        <f t="shared" si="1"/>
        <v/>
      </c>
      <c r="J40" s="2055"/>
      <c r="K40" s="2056" t="str">
        <f t="shared" si="2"/>
        <v/>
      </c>
      <c r="L40" s="2055"/>
      <c r="M40" s="2056" t="str">
        <f t="shared" si="3"/>
        <v/>
      </c>
      <c r="N40" s="2055">
        <v>10490</v>
      </c>
      <c r="O40" s="2056">
        <f t="shared" si="4"/>
        <v>73.645043527099133</v>
      </c>
      <c r="P40" s="2055">
        <v>87052</v>
      </c>
      <c r="Q40" s="2056">
        <f t="shared" si="5"/>
        <v>611.14855377702895</v>
      </c>
      <c r="R40" s="2055">
        <v>257987</v>
      </c>
      <c r="S40" s="2056">
        <f t="shared" si="6"/>
        <v>1811.197697276046</v>
      </c>
      <c r="T40" s="2055">
        <v>43</v>
      </c>
      <c r="U40" s="2056">
        <f t="shared" si="7"/>
        <v>0.30188149396237013</v>
      </c>
      <c r="V40" s="2055">
        <v>112123</v>
      </c>
      <c r="W40" s="2056">
        <f t="shared" si="8"/>
        <v>787.15950575680995</v>
      </c>
      <c r="X40" s="2055"/>
      <c r="Y40" s="2056" t="str">
        <f t="shared" si="9"/>
        <v/>
      </c>
      <c r="Z40" s="2055"/>
      <c r="AA40" s="2056" t="str">
        <f t="shared" si="10"/>
        <v/>
      </c>
      <c r="AB40" s="2055"/>
      <c r="AC40" s="2056" t="str">
        <f t="shared" si="11"/>
        <v/>
      </c>
      <c r="AD40" s="2055"/>
      <c r="AE40" s="2056" t="str">
        <f t="shared" si="12"/>
        <v/>
      </c>
      <c r="AF40" s="2055"/>
      <c r="AG40" s="2056" t="str">
        <f t="shared" si="13"/>
        <v/>
      </c>
      <c r="AH40" s="2055"/>
      <c r="AI40" s="2056" t="str">
        <f t="shared" si="14"/>
        <v/>
      </c>
      <c r="AJ40" s="2055">
        <v>92939</v>
      </c>
      <c r="AK40" s="2056">
        <f t="shared" si="15"/>
        <v>652.47823645043525</v>
      </c>
      <c r="AL40" s="2055"/>
      <c r="AM40" s="2056" t="str">
        <f t="shared" si="16"/>
        <v/>
      </c>
      <c r="AN40" s="2055"/>
      <c r="AO40" s="2056" t="str">
        <f t="shared" si="17"/>
        <v/>
      </c>
      <c r="AP40" s="2055">
        <v>560634</v>
      </c>
      <c r="AQ40" s="2056">
        <f t="shared" si="18"/>
        <v>3935.9309182813818</v>
      </c>
    </row>
    <row r="41" spans="1:43">
      <c r="A41" s="2058"/>
      <c r="D41" s="2059">
        <v>650250</v>
      </c>
      <c r="E41" s="2056" t="str">
        <f t="shared" si="0"/>
        <v/>
      </c>
      <c r="F41" s="2059"/>
      <c r="G41" s="2056" t="str">
        <f t="shared" si="0"/>
        <v/>
      </c>
      <c r="H41" s="2059"/>
      <c r="I41" s="2056" t="str">
        <f t="shared" si="1"/>
        <v/>
      </c>
      <c r="J41" s="2059"/>
      <c r="K41" s="2056" t="str">
        <f t="shared" si="2"/>
        <v/>
      </c>
      <c r="L41" s="2059"/>
      <c r="M41" s="2056" t="str">
        <f t="shared" si="3"/>
        <v/>
      </c>
      <c r="N41" s="2059">
        <v>324</v>
      </c>
      <c r="O41" s="2056" t="str">
        <f t="shared" si="4"/>
        <v/>
      </c>
      <c r="P41" s="2059"/>
      <c r="Q41" s="2056" t="str">
        <f t="shared" si="5"/>
        <v/>
      </c>
      <c r="R41" s="2059">
        <v>7816</v>
      </c>
      <c r="S41" s="2056" t="str">
        <f t="shared" si="6"/>
        <v/>
      </c>
      <c r="T41" s="2059">
        <v>1</v>
      </c>
      <c r="U41" s="2056" t="str">
        <f t="shared" si="7"/>
        <v/>
      </c>
      <c r="V41" s="2059">
        <v>3468</v>
      </c>
      <c r="W41" s="2056" t="str">
        <f t="shared" si="8"/>
        <v/>
      </c>
      <c r="X41" s="2059"/>
      <c r="Y41" s="2056" t="str">
        <f t="shared" si="9"/>
        <v/>
      </c>
      <c r="Z41" s="2059"/>
      <c r="AA41" s="2056" t="str">
        <f t="shared" si="10"/>
        <v/>
      </c>
      <c r="AB41" s="2059"/>
      <c r="AC41" s="2056" t="str">
        <f t="shared" si="11"/>
        <v/>
      </c>
      <c r="AD41" s="2059"/>
      <c r="AE41" s="2056" t="str">
        <f t="shared" si="12"/>
        <v/>
      </c>
      <c r="AF41" s="2059"/>
      <c r="AG41" s="2056" t="str">
        <f t="shared" si="13"/>
        <v/>
      </c>
      <c r="AH41" s="2059"/>
      <c r="AI41" s="2056" t="str">
        <f t="shared" si="14"/>
        <v/>
      </c>
      <c r="AJ41" s="2059">
        <v>2875</v>
      </c>
      <c r="AK41" s="2056" t="str">
        <f t="shared" si="15"/>
        <v/>
      </c>
      <c r="AL41" s="2059"/>
      <c r="AM41" s="2056" t="str">
        <f t="shared" si="16"/>
        <v/>
      </c>
      <c r="AN41" s="2059"/>
      <c r="AO41" s="2056" t="str">
        <f t="shared" si="17"/>
        <v/>
      </c>
      <c r="AP41" s="2059">
        <v>14484</v>
      </c>
      <c r="AQ41" s="2056" t="str">
        <f t="shared" si="18"/>
        <v/>
      </c>
    </row>
    <row r="42" spans="1:43">
      <c r="A42" s="2058"/>
      <c r="D42" s="2059">
        <v>38863</v>
      </c>
      <c r="E42" s="2056" t="str">
        <f t="shared" si="0"/>
        <v/>
      </c>
      <c r="F42" s="2059"/>
      <c r="G42" s="2056" t="str">
        <f t="shared" si="0"/>
        <v/>
      </c>
      <c r="H42" s="2059"/>
      <c r="I42" s="2056" t="str">
        <f t="shared" si="1"/>
        <v/>
      </c>
      <c r="J42" s="2059"/>
      <c r="K42" s="2056" t="str">
        <f t="shared" si="2"/>
        <v/>
      </c>
      <c r="L42" s="2059"/>
      <c r="M42" s="2056" t="str">
        <f t="shared" si="3"/>
        <v/>
      </c>
      <c r="N42" s="2059"/>
      <c r="O42" s="2056" t="str">
        <f t="shared" si="4"/>
        <v/>
      </c>
      <c r="P42" s="2059"/>
      <c r="Q42" s="2056" t="str">
        <f t="shared" si="5"/>
        <v/>
      </c>
      <c r="R42" s="2059"/>
      <c r="S42" s="2056" t="str">
        <f t="shared" si="6"/>
        <v/>
      </c>
      <c r="T42" s="2059"/>
      <c r="U42" s="2056" t="str">
        <f t="shared" si="7"/>
        <v/>
      </c>
      <c r="V42" s="2059"/>
      <c r="W42" s="2056" t="str">
        <f t="shared" si="8"/>
        <v/>
      </c>
      <c r="X42" s="2059"/>
      <c r="Y42" s="2056" t="str">
        <f t="shared" si="9"/>
        <v/>
      </c>
      <c r="Z42" s="2059"/>
      <c r="AA42" s="2056" t="str">
        <f t="shared" si="10"/>
        <v/>
      </c>
      <c r="AB42" s="2059"/>
      <c r="AC42" s="2056" t="str">
        <f t="shared" si="11"/>
        <v/>
      </c>
      <c r="AD42" s="2059">
        <v>128922</v>
      </c>
      <c r="AE42" s="2056" t="str">
        <f t="shared" si="12"/>
        <v/>
      </c>
      <c r="AF42" s="2059"/>
      <c r="AG42" s="2056" t="str">
        <f t="shared" si="13"/>
        <v/>
      </c>
      <c r="AH42" s="2059"/>
      <c r="AI42" s="2056" t="str">
        <f t="shared" si="14"/>
        <v/>
      </c>
      <c r="AJ42" s="2059"/>
      <c r="AK42" s="2056" t="str">
        <f t="shared" si="15"/>
        <v/>
      </c>
      <c r="AL42" s="2059"/>
      <c r="AM42" s="2056" t="str">
        <f t="shared" si="16"/>
        <v/>
      </c>
      <c r="AN42" s="2059"/>
      <c r="AO42" s="2056" t="str">
        <f t="shared" si="17"/>
        <v/>
      </c>
      <c r="AP42" s="2059">
        <v>128922</v>
      </c>
      <c r="AQ42" s="2056" t="str">
        <f t="shared" si="18"/>
        <v/>
      </c>
    </row>
    <row r="43" spans="1:43">
      <c r="A43" s="2058"/>
      <c r="B43">
        <v>62.28</v>
      </c>
      <c r="D43" s="2059">
        <v>63291</v>
      </c>
      <c r="E43" s="2056">
        <f t="shared" si="0"/>
        <v>1016.2331406551059</v>
      </c>
      <c r="F43" s="2059"/>
      <c r="G43" s="2056" t="str">
        <f t="shared" si="0"/>
        <v/>
      </c>
      <c r="H43" s="2059"/>
      <c r="I43" s="2056" t="str">
        <f t="shared" si="1"/>
        <v/>
      </c>
      <c r="J43" s="2059"/>
      <c r="K43" s="2056" t="str">
        <f t="shared" si="2"/>
        <v/>
      </c>
      <c r="L43" s="2059"/>
      <c r="M43" s="2056" t="str">
        <f t="shared" si="3"/>
        <v/>
      </c>
      <c r="N43" s="2059">
        <v>1589</v>
      </c>
      <c r="O43" s="2056">
        <f t="shared" si="4"/>
        <v>25.513808606294155</v>
      </c>
      <c r="P43" s="2059">
        <v>24729</v>
      </c>
      <c r="Q43" s="2056">
        <f t="shared" si="5"/>
        <v>397.06165703275531</v>
      </c>
      <c r="R43" s="2059">
        <v>68502</v>
      </c>
      <c r="S43" s="2056">
        <f t="shared" si="6"/>
        <v>1099.9036608863198</v>
      </c>
      <c r="T43" s="2059">
        <v>19352</v>
      </c>
      <c r="U43" s="2056">
        <f t="shared" si="7"/>
        <v>310.72575465639051</v>
      </c>
      <c r="V43" s="2059">
        <v>34228</v>
      </c>
      <c r="W43" s="2056">
        <f t="shared" si="8"/>
        <v>549.58253050738597</v>
      </c>
      <c r="X43" s="2059"/>
      <c r="Y43" s="2056" t="str">
        <f t="shared" si="9"/>
        <v/>
      </c>
      <c r="Z43" s="2059"/>
      <c r="AA43" s="2056" t="str">
        <f t="shared" si="10"/>
        <v/>
      </c>
      <c r="AB43" s="2059"/>
      <c r="AC43" s="2056" t="str">
        <f t="shared" si="11"/>
        <v/>
      </c>
      <c r="AD43" s="2059"/>
      <c r="AE43" s="2056" t="str">
        <f t="shared" si="12"/>
        <v/>
      </c>
      <c r="AF43" s="2059"/>
      <c r="AG43" s="2056" t="str">
        <f t="shared" si="13"/>
        <v/>
      </c>
      <c r="AH43" s="2059"/>
      <c r="AI43" s="2056" t="str">
        <f t="shared" si="14"/>
        <v/>
      </c>
      <c r="AJ43" s="2059">
        <v>26682</v>
      </c>
      <c r="AK43" s="2056">
        <f t="shared" si="15"/>
        <v>428.42003853564546</v>
      </c>
      <c r="AL43" s="2059"/>
      <c r="AM43" s="2056" t="str">
        <f t="shared" si="16"/>
        <v/>
      </c>
      <c r="AN43" s="2059"/>
      <c r="AO43" s="2056" t="str">
        <f t="shared" si="17"/>
        <v/>
      </c>
      <c r="AP43" s="2059">
        <v>175082</v>
      </c>
      <c r="AQ43" s="2056">
        <f t="shared" si="18"/>
        <v>2811.207450224791</v>
      </c>
    </row>
    <row r="44" spans="1:43">
      <c r="A44" s="2058"/>
      <c r="D44" s="2059">
        <v>248224</v>
      </c>
      <c r="E44" s="2056" t="str">
        <f t="shared" si="0"/>
        <v/>
      </c>
      <c r="F44" s="2059"/>
      <c r="G44" s="2056" t="str">
        <f t="shared" si="0"/>
        <v/>
      </c>
      <c r="H44" s="2059"/>
      <c r="I44" s="2056" t="str">
        <f t="shared" si="1"/>
        <v/>
      </c>
      <c r="J44" s="2059"/>
      <c r="K44" s="2056" t="str">
        <f t="shared" si="2"/>
        <v/>
      </c>
      <c r="L44" s="2059"/>
      <c r="M44" s="2056" t="str">
        <f t="shared" si="3"/>
        <v/>
      </c>
      <c r="N44" s="2059">
        <v>50</v>
      </c>
      <c r="O44" s="2056" t="str">
        <f t="shared" si="4"/>
        <v/>
      </c>
      <c r="P44" s="2059"/>
      <c r="Q44" s="2056" t="str">
        <f t="shared" si="5"/>
        <v/>
      </c>
      <c r="R44" s="2059">
        <v>2061</v>
      </c>
      <c r="S44" s="2056" t="str">
        <f t="shared" si="6"/>
        <v/>
      </c>
      <c r="T44" s="2059"/>
      <c r="U44" s="2056" t="str">
        <f t="shared" si="7"/>
        <v/>
      </c>
      <c r="V44" s="2059">
        <v>1058</v>
      </c>
      <c r="W44" s="2056" t="str">
        <f t="shared" si="8"/>
        <v/>
      </c>
      <c r="X44" s="2059"/>
      <c r="Y44" s="2056" t="str">
        <f t="shared" si="9"/>
        <v/>
      </c>
      <c r="Z44" s="2059"/>
      <c r="AA44" s="2056" t="str">
        <f t="shared" si="10"/>
        <v/>
      </c>
      <c r="AB44" s="2059"/>
      <c r="AC44" s="2056" t="str">
        <f t="shared" si="11"/>
        <v/>
      </c>
      <c r="AD44" s="2059"/>
      <c r="AE44" s="2056" t="str">
        <f t="shared" si="12"/>
        <v/>
      </c>
      <c r="AF44" s="2059"/>
      <c r="AG44" s="2056" t="str">
        <f t="shared" si="13"/>
        <v/>
      </c>
      <c r="AH44" s="2059"/>
      <c r="AI44" s="2056" t="str">
        <f t="shared" si="14"/>
        <v/>
      </c>
      <c r="AJ44" s="2059">
        <v>826</v>
      </c>
      <c r="AK44" s="2056" t="str">
        <f t="shared" si="15"/>
        <v/>
      </c>
      <c r="AL44" s="2059"/>
      <c r="AM44" s="2056" t="str">
        <f t="shared" si="16"/>
        <v/>
      </c>
      <c r="AN44" s="2059"/>
      <c r="AO44" s="2056" t="str">
        <f t="shared" si="17"/>
        <v/>
      </c>
      <c r="AP44" s="2059">
        <v>3995</v>
      </c>
      <c r="AQ44" s="2056" t="str">
        <f t="shared" si="18"/>
        <v/>
      </c>
    </row>
    <row r="45" spans="1:43">
      <c r="A45" s="2058"/>
      <c r="D45" s="2059"/>
      <c r="E45" s="2056" t="str">
        <f t="shared" si="0"/>
        <v/>
      </c>
      <c r="F45" s="2059"/>
      <c r="G45" s="2056" t="str">
        <f t="shared" si="0"/>
        <v/>
      </c>
      <c r="H45" s="2059"/>
      <c r="I45" s="2056" t="str">
        <f t="shared" si="1"/>
        <v/>
      </c>
      <c r="J45" s="2059"/>
      <c r="K45" s="2056" t="str">
        <f t="shared" si="2"/>
        <v/>
      </c>
      <c r="L45" s="2059"/>
      <c r="M45" s="2056" t="str">
        <f t="shared" si="3"/>
        <v/>
      </c>
      <c r="N45" s="2059"/>
      <c r="O45" s="2056" t="str">
        <f t="shared" si="4"/>
        <v/>
      </c>
      <c r="P45" s="2059"/>
      <c r="Q45" s="2056" t="str">
        <f t="shared" si="5"/>
        <v/>
      </c>
      <c r="R45" s="2059"/>
      <c r="S45" s="2056" t="str">
        <f t="shared" si="6"/>
        <v/>
      </c>
      <c r="T45" s="2059"/>
      <c r="U45" s="2056" t="str">
        <f t="shared" si="7"/>
        <v/>
      </c>
      <c r="V45" s="2059"/>
      <c r="W45" s="2056" t="str">
        <f t="shared" si="8"/>
        <v/>
      </c>
      <c r="X45" s="2059"/>
      <c r="Y45" s="2056" t="str">
        <f t="shared" si="9"/>
        <v/>
      </c>
      <c r="Z45" s="2059"/>
      <c r="AA45" s="2056" t="str">
        <f t="shared" si="10"/>
        <v/>
      </c>
      <c r="AB45" s="2059"/>
      <c r="AC45" s="2056" t="str">
        <f t="shared" si="11"/>
        <v/>
      </c>
      <c r="AD45" s="2059">
        <v>79435</v>
      </c>
      <c r="AE45" s="2056" t="str">
        <f t="shared" si="12"/>
        <v/>
      </c>
      <c r="AF45" s="2059"/>
      <c r="AG45" s="2056" t="str">
        <f t="shared" si="13"/>
        <v/>
      </c>
      <c r="AH45" s="2059"/>
      <c r="AI45" s="2056" t="str">
        <f t="shared" si="14"/>
        <v/>
      </c>
      <c r="AJ45" s="2059"/>
      <c r="AK45" s="2056" t="str">
        <f t="shared" si="15"/>
        <v/>
      </c>
      <c r="AL45" s="2059"/>
      <c r="AM45" s="2056" t="str">
        <f t="shared" si="16"/>
        <v/>
      </c>
      <c r="AN45" s="2059"/>
      <c r="AO45" s="2056" t="str">
        <f t="shared" si="17"/>
        <v/>
      </c>
      <c r="AP45" s="2059">
        <v>79435</v>
      </c>
      <c r="AQ45" s="2056" t="str">
        <f t="shared" si="18"/>
        <v/>
      </c>
    </row>
    <row r="46" spans="1:43">
      <c r="A46" s="2048" t="s">
        <v>1279</v>
      </c>
      <c r="B46" s="2054">
        <v>106.151</v>
      </c>
      <c r="D46" s="2055">
        <v>852487.88</v>
      </c>
      <c r="E46" s="2056">
        <f t="shared" si="0"/>
        <v>8030.8982487211615</v>
      </c>
      <c r="F46" s="2055">
        <v>188804</v>
      </c>
      <c r="G46" s="2056">
        <f t="shared" si="0"/>
        <v>1778.6360938662849</v>
      </c>
      <c r="H46" s="2055"/>
      <c r="I46" s="2056" t="str">
        <f t="shared" si="1"/>
        <v/>
      </c>
      <c r="J46" s="2055"/>
      <c r="K46" s="2056" t="str">
        <f t="shared" si="2"/>
        <v/>
      </c>
      <c r="L46" s="2055">
        <v>100</v>
      </c>
      <c r="M46" s="2056">
        <f t="shared" si="3"/>
        <v>0.94205424348333977</v>
      </c>
      <c r="N46" s="2055">
        <v>6530.61</v>
      </c>
      <c r="O46" s="2056">
        <f t="shared" si="4"/>
        <v>61.521888630347334</v>
      </c>
      <c r="P46" s="2055">
        <v>30792.97</v>
      </c>
      <c r="Q46" s="2056">
        <f t="shared" si="5"/>
        <v>290.08648057955179</v>
      </c>
      <c r="R46" s="2055">
        <v>182458.42</v>
      </c>
      <c r="S46" s="2056">
        <f t="shared" si="6"/>
        <v>1718.8572882026549</v>
      </c>
      <c r="T46" s="2055">
        <v>12834.18</v>
      </c>
      <c r="U46" s="2056">
        <f t="shared" si="7"/>
        <v>120.90493730629011</v>
      </c>
      <c r="V46" s="2055">
        <v>15034.05</v>
      </c>
      <c r="W46" s="2056">
        <f t="shared" si="8"/>
        <v>141.62890599240703</v>
      </c>
      <c r="X46" s="2055">
        <v>4299.84</v>
      </c>
      <c r="Y46" s="2056">
        <f t="shared" si="9"/>
        <v>40.506825182994042</v>
      </c>
      <c r="Z46" s="2055"/>
      <c r="AA46" s="2056" t="str">
        <f t="shared" si="10"/>
        <v/>
      </c>
      <c r="AB46" s="2055"/>
      <c r="AC46" s="2056" t="str">
        <f t="shared" si="11"/>
        <v/>
      </c>
      <c r="AD46" s="2055"/>
      <c r="AE46" s="2056" t="str">
        <f t="shared" si="12"/>
        <v/>
      </c>
      <c r="AF46" s="2055"/>
      <c r="AG46" s="2056" t="str">
        <f t="shared" si="13"/>
        <v/>
      </c>
      <c r="AH46" s="2055"/>
      <c r="AI46" s="2056" t="str">
        <f t="shared" si="14"/>
        <v/>
      </c>
      <c r="AJ46" s="2055">
        <v>58211</v>
      </c>
      <c r="AK46" s="2056">
        <f t="shared" si="15"/>
        <v>548.37919567408699</v>
      </c>
      <c r="AL46" s="2055"/>
      <c r="AM46" s="2056" t="str">
        <f t="shared" si="16"/>
        <v/>
      </c>
      <c r="AN46" s="2055">
        <v>66573</v>
      </c>
      <c r="AO46" s="2056">
        <f t="shared" si="17"/>
        <v>627.15377151416385</v>
      </c>
      <c r="AP46" s="2055">
        <v>565638.06999999995</v>
      </c>
      <c r="AQ46" s="2056">
        <f t="shared" si="18"/>
        <v>5328.6174411922639</v>
      </c>
    </row>
    <row r="47" spans="1:43">
      <c r="A47" s="2058"/>
      <c r="B47">
        <v>21.02</v>
      </c>
      <c r="D47" s="2059">
        <v>117278</v>
      </c>
      <c r="E47" s="2056">
        <f t="shared" si="0"/>
        <v>5579.3529971455755</v>
      </c>
      <c r="F47" s="2059">
        <v>110776</v>
      </c>
      <c r="G47" s="2056">
        <f t="shared" si="0"/>
        <v>5270.0285442435779</v>
      </c>
      <c r="H47" s="2059"/>
      <c r="I47" s="2056" t="str">
        <f t="shared" si="1"/>
        <v/>
      </c>
      <c r="J47" s="2059"/>
      <c r="K47" s="2056" t="str">
        <f t="shared" si="2"/>
        <v/>
      </c>
      <c r="L47" s="2059">
        <v>-80738</v>
      </c>
      <c r="M47" s="2056">
        <f t="shared" si="3"/>
        <v>-3841.0085632730734</v>
      </c>
      <c r="N47" s="2059">
        <v>135</v>
      </c>
      <c r="O47" s="2056">
        <f t="shared" si="4"/>
        <v>6.4224548049476686</v>
      </c>
      <c r="P47" s="2059">
        <v>532</v>
      </c>
      <c r="Q47" s="2056">
        <f t="shared" si="5"/>
        <v>25.309229305423408</v>
      </c>
      <c r="R47" s="2059">
        <v>484</v>
      </c>
      <c r="S47" s="2056">
        <f t="shared" si="6"/>
        <v>23.025689819219792</v>
      </c>
      <c r="T47" s="2059">
        <v>24</v>
      </c>
      <c r="U47" s="2056">
        <f t="shared" si="7"/>
        <v>1.1417697431018079</v>
      </c>
      <c r="V47" s="2059"/>
      <c r="W47" s="2056" t="str">
        <f t="shared" si="8"/>
        <v/>
      </c>
      <c r="X47" s="2059"/>
      <c r="Y47" s="2056" t="str">
        <f t="shared" si="9"/>
        <v/>
      </c>
      <c r="Z47" s="2059"/>
      <c r="AA47" s="2056" t="str">
        <f t="shared" si="10"/>
        <v/>
      </c>
      <c r="AB47" s="2059"/>
      <c r="AC47" s="2056" t="str">
        <f t="shared" si="11"/>
        <v/>
      </c>
      <c r="AD47" s="2059"/>
      <c r="AE47" s="2056" t="str">
        <f t="shared" si="12"/>
        <v/>
      </c>
      <c r="AF47" s="2059"/>
      <c r="AG47" s="2056" t="str">
        <f t="shared" si="13"/>
        <v/>
      </c>
      <c r="AH47" s="2059"/>
      <c r="AI47" s="2056" t="str">
        <f t="shared" si="14"/>
        <v/>
      </c>
      <c r="AJ47" s="2059">
        <v>4228</v>
      </c>
      <c r="AK47" s="2056">
        <f t="shared" si="15"/>
        <v>201.1417697431018</v>
      </c>
      <c r="AL47" s="2059"/>
      <c r="AM47" s="2056" t="str">
        <f t="shared" si="16"/>
        <v/>
      </c>
      <c r="AN47" s="2059">
        <v>54</v>
      </c>
      <c r="AO47" s="2056">
        <f t="shared" si="17"/>
        <v>2.5689819219790677</v>
      </c>
      <c r="AP47" s="2059">
        <v>35495</v>
      </c>
      <c r="AQ47" s="2056">
        <f t="shared" si="18"/>
        <v>1688.629876308278</v>
      </c>
    </row>
    <row r="48" spans="1:43">
      <c r="A48" s="2058"/>
      <c r="B48">
        <v>27.582999999999998</v>
      </c>
      <c r="D48" s="2059">
        <v>233674.67</v>
      </c>
      <c r="E48" s="2056">
        <f t="shared" si="0"/>
        <v>8471.6916216510181</v>
      </c>
      <c r="F48" s="2059">
        <v>111102</v>
      </c>
      <c r="G48" s="2056">
        <f t="shared" si="0"/>
        <v>4027.9157452053805</v>
      </c>
      <c r="H48" s="2059"/>
      <c r="I48" s="2056" t="str">
        <f t="shared" si="1"/>
        <v/>
      </c>
      <c r="J48" s="2059"/>
      <c r="K48" s="2056" t="str">
        <f t="shared" si="2"/>
        <v/>
      </c>
      <c r="L48" s="2059">
        <v>-66946.080000000002</v>
      </c>
      <c r="M48" s="2056">
        <f t="shared" si="3"/>
        <v>-2427.0775477649277</v>
      </c>
      <c r="N48" s="2059">
        <v>1087.93</v>
      </c>
      <c r="O48" s="2056">
        <f t="shared" si="4"/>
        <v>39.442047638037927</v>
      </c>
      <c r="P48" s="2059">
        <v>4272.5600000000004</v>
      </c>
      <c r="Q48" s="2056">
        <f t="shared" si="5"/>
        <v>154.89830692818043</v>
      </c>
      <c r="R48" s="2059">
        <v>295.17</v>
      </c>
      <c r="S48" s="2056">
        <f t="shared" si="6"/>
        <v>10.701156509444225</v>
      </c>
      <c r="T48" s="2059">
        <v>50</v>
      </c>
      <c r="U48" s="2056">
        <f t="shared" si="7"/>
        <v>1.8127107276220862</v>
      </c>
      <c r="V48" s="2059"/>
      <c r="W48" s="2056" t="str">
        <f t="shared" si="8"/>
        <v/>
      </c>
      <c r="X48" s="2059"/>
      <c r="Y48" s="2056" t="str">
        <f t="shared" si="9"/>
        <v/>
      </c>
      <c r="Z48" s="2059"/>
      <c r="AA48" s="2056" t="str">
        <f t="shared" si="10"/>
        <v/>
      </c>
      <c r="AB48" s="2059"/>
      <c r="AC48" s="2056" t="str">
        <f t="shared" si="11"/>
        <v/>
      </c>
      <c r="AD48" s="2059"/>
      <c r="AE48" s="2056" t="str">
        <f t="shared" si="12"/>
        <v/>
      </c>
      <c r="AF48" s="2059"/>
      <c r="AG48" s="2056" t="str">
        <f t="shared" si="13"/>
        <v/>
      </c>
      <c r="AH48" s="2059"/>
      <c r="AI48" s="2056" t="str">
        <f t="shared" si="14"/>
        <v/>
      </c>
      <c r="AJ48" s="2059">
        <v>1566</v>
      </c>
      <c r="AK48" s="2056">
        <f t="shared" si="15"/>
        <v>56.774099989123741</v>
      </c>
      <c r="AL48" s="2059"/>
      <c r="AM48" s="2056" t="str">
        <f t="shared" si="16"/>
        <v/>
      </c>
      <c r="AN48" s="2059"/>
      <c r="AO48" s="2056" t="str">
        <f t="shared" si="17"/>
        <v/>
      </c>
      <c r="AP48" s="2059">
        <v>51427.58</v>
      </c>
      <c r="AQ48" s="2056">
        <f t="shared" si="18"/>
        <v>1864.4665192328609</v>
      </c>
    </row>
    <row r="49" spans="1:43">
      <c r="A49" s="2048" t="s">
        <v>1280</v>
      </c>
      <c r="B49" s="2054">
        <v>9.8812999999999995</v>
      </c>
      <c r="D49" s="2055">
        <v>64070</v>
      </c>
      <c r="E49" s="2056">
        <f t="shared" si="0"/>
        <v>6483.964660520377</v>
      </c>
      <c r="F49" s="2055">
        <v>4946</v>
      </c>
      <c r="G49" s="2056">
        <f t="shared" si="0"/>
        <v>500.54142673534864</v>
      </c>
      <c r="H49" s="2055"/>
      <c r="I49" s="2056" t="str">
        <f t="shared" si="1"/>
        <v/>
      </c>
      <c r="J49" s="2055"/>
      <c r="K49" s="2056" t="str">
        <f t="shared" si="2"/>
        <v/>
      </c>
      <c r="L49" s="2055"/>
      <c r="M49" s="2056" t="str">
        <f t="shared" si="3"/>
        <v/>
      </c>
      <c r="N49" s="2055">
        <v>391</v>
      </c>
      <c r="O49" s="2056">
        <f t="shared" si="4"/>
        <v>39.569692246971556</v>
      </c>
      <c r="P49" s="2055">
        <v>6155</v>
      </c>
      <c r="Q49" s="2056">
        <f t="shared" si="5"/>
        <v>622.89374879823504</v>
      </c>
      <c r="R49" s="2055">
        <v>14296</v>
      </c>
      <c r="S49" s="2056">
        <f t="shared" si="6"/>
        <v>1446.7731978585814</v>
      </c>
      <c r="T49" s="2055">
        <v>179</v>
      </c>
      <c r="U49" s="2056">
        <f t="shared" si="7"/>
        <v>18.115025350915367</v>
      </c>
      <c r="V49" s="2055">
        <v>21840</v>
      </c>
      <c r="W49" s="2056">
        <f t="shared" si="8"/>
        <v>2210.2354953295621</v>
      </c>
      <c r="X49" s="2055"/>
      <c r="Y49" s="2056" t="str">
        <f t="shared" si="9"/>
        <v/>
      </c>
      <c r="Z49" s="2055">
        <v>382</v>
      </c>
      <c r="AA49" s="2056">
        <f t="shared" si="10"/>
        <v>38.658880916478601</v>
      </c>
      <c r="AB49" s="2055">
        <v>1185</v>
      </c>
      <c r="AC49" s="2056">
        <f t="shared" si="11"/>
        <v>119.9234918482386</v>
      </c>
      <c r="AD49" s="2055"/>
      <c r="AE49" s="2056" t="str">
        <f t="shared" si="12"/>
        <v/>
      </c>
      <c r="AF49" s="2055"/>
      <c r="AG49" s="2056" t="str">
        <f t="shared" si="13"/>
        <v/>
      </c>
      <c r="AH49" s="2055"/>
      <c r="AI49" s="2056" t="str">
        <f t="shared" si="14"/>
        <v/>
      </c>
      <c r="AJ49" s="2055">
        <v>11655</v>
      </c>
      <c r="AK49" s="2056">
        <f t="shared" si="15"/>
        <v>1179.5006729883721</v>
      </c>
      <c r="AL49" s="2055"/>
      <c r="AM49" s="2056" t="str">
        <f t="shared" si="16"/>
        <v/>
      </c>
      <c r="AN49" s="2055"/>
      <c r="AO49" s="2056" t="str">
        <f t="shared" si="17"/>
        <v/>
      </c>
      <c r="AP49" s="2055">
        <v>61029</v>
      </c>
      <c r="AQ49" s="2056">
        <f t="shared" si="18"/>
        <v>6176.2116320727037</v>
      </c>
    </row>
    <row r="50" spans="1:43">
      <c r="A50" s="2048" t="s">
        <v>1281</v>
      </c>
      <c r="B50" s="2054">
        <v>0</v>
      </c>
      <c r="D50" s="2055">
        <v>4635</v>
      </c>
      <c r="E50" s="2056" t="str">
        <f t="shared" si="0"/>
        <v/>
      </c>
      <c r="F50" s="2055"/>
      <c r="G50" s="2056" t="str">
        <f t="shared" si="0"/>
        <v/>
      </c>
      <c r="H50" s="2055"/>
      <c r="I50" s="2056" t="str">
        <f t="shared" si="1"/>
        <v/>
      </c>
      <c r="J50" s="2055"/>
      <c r="K50" s="2056" t="str">
        <f t="shared" si="2"/>
        <v/>
      </c>
      <c r="L50" s="2055">
        <v>75288</v>
      </c>
      <c r="M50" s="2056" t="str">
        <f t="shared" si="3"/>
        <v/>
      </c>
      <c r="N50" s="2055">
        <v>107</v>
      </c>
      <c r="O50" s="2056" t="str">
        <f t="shared" si="4"/>
        <v/>
      </c>
      <c r="P50" s="2055">
        <v>490</v>
      </c>
      <c r="Q50" s="2056" t="str">
        <f t="shared" si="5"/>
        <v/>
      </c>
      <c r="R50" s="2055"/>
      <c r="S50" s="2056" t="str">
        <f t="shared" si="6"/>
        <v/>
      </c>
      <c r="T50" s="2055"/>
      <c r="U50" s="2056" t="str">
        <f t="shared" si="7"/>
        <v/>
      </c>
      <c r="V50" s="2055"/>
      <c r="W50" s="2056" t="str">
        <f t="shared" si="8"/>
        <v/>
      </c>
      <c r="X50" s="2055"/>
      <c r="Y50" s="2056" t="str">
        <f t="shared" si="9"/>
        <v/>
      </c>
      <c r="Z50" s="2055"/>
      <c r="AA50" s="2056" t="str">
        <f t="shared" si="10"/>
        <v/>
      </c>
      <c r="AB50" s="2055"/>
      <c r="AC50" s="2056" t="str">
        <f t="shared" si="11"/>
        <v/>
      </c>
      <c r="AD50" s="2055"/>
      <c r="AE50" s="2056" t="str">
        <f t="shared" si="12"/>
        <v/>
      </c>
      <c r="AF50" s="2055"/>
      <c r="AG50" s="2056" t="str">
        <f t="shared" si="13"/>
        <v/>
      </c>
      <c r="AH50" s="2055"/>
      <c r="AI50" s="2056" t="str">
        <f t="shared" si="14"/>
        <v/>
      </c>
      <c r="AJ50" s="2055"/>
      <c r="AK50" s="2056" t="str">
        <f t="shared" si="15"/>
        <v/>
      </c>
      <c r="AL50" s="2055"/>
      <c r="AM50" s="2056" t="str">
        <f t="shared" si="16"/>
        <v/>
      </c>
      <c r="AN50" s="2055">
        <v>10343</v>
      </c>
      <c r="AO50" s="2056" t="str">
        <f t="shared" si="17"/>
        <v/>
      </c>
      <c r="AP50" s="2055">
        <v>86228</v>
      </c>
      <c r="AQ50" s="2056" t="str">
        <f t="shared" si="18"/>
        <v/>
      </c>
    </row>
    <row r="51" spans="1:43">
      <c r="A51" s="2048" t="s">
        <v>1282</v>
      </c>
      <c r="B51" s="2054">
        <v>3.39</v>
      </c>
      <c r="D51" s="2055">
        <v>51651</v>
      </c>
      <c r="E51" s="2056">
        <f t="shared" si="0"/>
        <v>15236.283185840708</v>
      </c>
      <c r="F51" s="2055">
        <v>60964</v>
      </c>
      <c r="G51" s="2056">
        <f t="shared" si="0"/>
        <v>17983.480825958701</v>
      </c>
      <c r="H51" s="2055"/>
      <c r="I51" s="2056" t="str">
        <f t="shared" si="1"/>
        <v/>
      </c>
      <c r="J51" s="2055"/>
      <c r="K51" s="2056" t="str">
        <f t="shared" si="2"/>
        <v/>
      </c>
      <c r="L51" s="2055"/>
      <c r="M51" s="2056" t="str">
        <f t="shared" si="3"/>
        <v/>
      </c>
      <c r="N51" s="2055">
        <v>1065</v>
      </c>
      <c r="O51" s="2056">
        <f t="shared" si="4"/>
        <v>314.15929203539821</v>
      </c>
      <c r="P51" s="2055">
        <v>257</v>
      </c>
      <c r="Q51" s="2056">
        <f t="shared" si="5"/>
        <v>75.811209439528014</v>
      </c>
      <c r="R51" s="2055">
        <v>875</v>
      </c>
      <c r="S51" s="2056">
        <f t="shared" si="6"/>
        <v>258.11209439528022</v>
      </c>
      <c r="T51" s="2055"/>
      <c r="U51" s="2056" t="str">
        <f t="shared" si="7"/>
        <v/>
      </c>
      <c r="V51" s="2055">
        <v>16503</v>
      </c>
      <c r="W51" s="2056">
        <f t="shared" si="8"/>
        <v>4868.141592920354</v>
      </c>
      <c r="X51" s="2055"/>
      <c r="Y51" s="2056" t="str">
        <f t="shared" si="9"/>
        <v/>
      </c>
      <c r="Z51" s="2055">
        <v>372</v>
      </c>
      <c r="AA51" s="2056">
        <f t="shared" si="10"/>
        <v>109.73451327433628</v>
      </c>
      <c r="AB51" s="2055"/>
      <c r="AC51" s="2056" t="str">
        <f t="shared" si="11"/>
        <v/>
      </c>
      <c r="AD51" s="2055"/>
      <c r="AE51" s="2056" t="str">
        <f t="shared" si="12"/>
        <v/>
      </c>
      <c r="AF51" s="2055"/>
      <c r="AG51" s="2056" t="str">
        <f t="shared" si="13"/>
        <v/>
      </c>
      <c r="AH51" s="2055"/>
      <c r="AI51" s="2056" t="str">
        <f t="shared" si="14"/>
        <v/>
      </c>
      <c r="AJ51" s="2055">
        <v>679</v>
      </c>
      <c r="AK51" s="2056">
        <f t="shared" si="15"/>
        <v>200.29498525073745</v>
      </c>
      <c r="AL51" s="2055"/>
      <c r="AM51" s="2056" t="str">
        <f t="shared" si="16"/>
        <v/>
      </c>
      <c r="AN51" s="2055">
        <v>1</v>
      </c>
      <c r="AO51" s="2056">
        <f t="shared" si="17"/>
        <v>0.29498525073746312</v>
      </c>
      <c r="AP51" s="2055">
        <v>80716</v>
      </c>
      <c r="AQ51" s="2056">
        <f t="shared" si="18"/>
        <v>23810.029498525073</v>
      </c>
    </row>
    <row r="52" spans="1:43">
      <c r="A52" s="2058"/>
      <c r="B52">
        <v>35.94</v>
      </c>
      <c r="D52" s="2059"/>
      <c r="E52" s="2056" t="str">
        <f t="shared" si="0"/>
        <v/>
      </c>
      <c r="F52" s="2059">
        <v>170740</v>
      </c>
      <c r="G52" s="2056">
        <f t="shared" si="0"/>
        <v>4750.6956037840846</v>
      </c>
      <c r="H52" s="2059"/>
      <c r="I52" s="2056" t="str">
        <f t="shared" si="1"/>
        <v/>
      </c>
      <c r="J52" s="2059"/>
      <c r="K52" s="2056" t="str">
        <f t="shared" si="2"/>
        <v/>
      </c>
      <c r="L52" s="2059"/>
      <c r="M52" s="2056" t="str">
        <f t="shared" si="3"/>
        <v/>
      </c>
      <c r="N52" s="2059"/>
      <c r="O52" s="2056" t="str">
        <f t="shared" si="4"/>
        <v/>
      </c>
      <c r="P52" s="2059">
        <v>5541</v>
      </c>
      <c r="Q52" s="2056">
        <f t="shared" si="5"/>
        <v>154.17362270450752</v>
      </c>
      <c r="R52" s="2059">
        <v>63174</v>
      </c>
      <c r="S52" s="2056">
        <f t="shared" si="6"/>
        <v>1757.7629382303842</v>
      </c>
      <c r="T52" s="2059">
        <v>11</v>
      </c>
      <c r="U52" s="2056">
        <f t="shared" si="7"/>
        <v>0.3060656649972176</v>
      </c>
      <c r="V52" s="2059">
        <v>56758</v>
      </c>
      <c r="W52" s="2056">
        <f t="shared" si="8"/>
        <v>1579.2431830829162</v>
      </c>
      <c r="X52" s="2059"/>
      <c r="Y52" s="2056" t="str">
        <f t="shared" si="9"/>
        <v/>
      </c>
      <c r="Z52" s="2059">
        <v>6617</v>
      </c>
      <c r="AA52" s="2056">
        <f t="shared" si="10"/>
        <v>184.11240957150807</v>
      </c>
      <c r="AB52" s="2059"/>
      <c r="AC52" s="2056" t="str">
        <f t="shared" si="11"/>
        <v/>
      </c>
      <c r="AD52" s="2059"/>
      <c r="AE52" s="2056" t="str">
        <f t="shared" si="12"/>
        <v/>
      </c>
      <c r="AF52" s="2059"/>
      <c r="AG52" s="2056" t="str">
        <f t="shared" si="13"/>
        <v/>
      </c>
      <c r="AH52" s="2059"/>
      <c r="AI52" s="2056" t="str">
        <f t="shared" si="14"/>
        <v/>
      </c>
      <c r="AJ52" s="2059">
        <v>6060</v>
      </c>
      <c r="AK52" s="2056">
        <f t="shared" si="15"/>
        <v>168.61435726210351</v>
      </c>
      <c r="AL52" s="2059"/>
      <c r="AM52" s="2056" t="str">
        <f t="shared" si="16"/>
        <v/>
      </c>
      <c r="AN52" s="2059">
        <v>257</v>
      </c>
      <c r="AO52" s="2056">
        <f t="shared" si="17"/>
        <v>7.1508069003895383</v>
      </c>
      <c r="AP52" s="2059">
        <v>309158</v>
      </c>
      <c r="AQ52" s="2056">
        <f t="shared" si="18"/>
        <v>8602.0589872008914</v>
      </c>
    </row>
    <row r="53" spans="1:43">
      <c r="A53" s="2058"/>
      <c r="B53">
        <v>477.46</v>
      </c>
      <c r="D53" s="2059"/>
      <c r="E53" s="2056" t="str">
        <f t="shared" si="0"/>
        <v/>
      </c>
      <c r="F53" s="2059">
        <v>628085</v>
      </c>
      <c r="G53" s="2056">
        <f t="shared" si="0"/>
        <v>1315.4714531060195</v>
      </c>
      <c r="H53" s="2059"/>
      <c r="I53" s="2056" t="str">
        <f t="shared" si="1"/>
        <v/>
      </c>
      <c r="J53" s="2059"/>
      <c r="K53" s="2056" t="str">
        <f t="shared" si="2"/>
        <v/>
      </c>
      <c r="L53" s="2059"/>
      <c r="M53" s="2056" t="str">
        <f t="shared" si="3"/>
        <v/>
      </c>
      <c r="N53" s="2059">
        <v>38030</v>
      </c>
      <c r="O53" s="2056">
        <f t="shared" si="4"/>
        <v>79.650651363465002</v>
      </c>
      <c r="P53" s="2059">
        <v>503550</v>
      </c>
      <c r="Q53" s="2056">
        <f t="shared" si="5"/>
        <v>1054.6433209064635</v>
      </c>
      <c r="R53" s="2059">
        <v>579664</v>
      </c>
      <c r="S53" s="2056">
        <f t="shared" si="6"/>
        <v>1214.0577221128472</v>
      </c>
      <c r="T53" s="2059">
        <v>3039</v>
      </c>
      <c r="U53" s="2056">
        <f t="shared" si="7"/>
        <v>6.3649310937041852</v>
      </c>
      <c r="V53" s="2059">
        <v>548035</v>
      </c>
      <c r="W53" s="2056">
        <f t="shared" si="8"/>
        <v>1147.8134293972271</v>
      </c>
      <c r="X53" s="2059"/>
      <c r="Y53" s="2056" t="str">
        <f t="shared" si="9"/>
        <v/>
      </c>
      <c r="Z53" s="2059">
        <v>37502</v>
      </c>
      <c r="AA53" s="2056">
        <f t="shared" si="10"/>
        <v>78.544799564361412</v>
      </c>
      <c r="AB53" s="2059"/>
      <c r="AC53" s="2056" t="str">
        <f t="shared" si="11"/>
        <v/>
      </c>
      <c r="AD53" s="2059"/>
      <c r="AE53" s="2056" t="str">
        <f t="shared" si="12"/>
        <v/>
      </c>
      <c r="AF53" s="2059"/>
      <c r="AG53" s="2056" t="str">
        <f t="shared" si="13"/>
        <v/>
      </c>
      <c r="AH53" s="2059"/>
      <c r="AI53" s="2056" t="str">
        <f t="shared" si="14"/>
        <v/>
      </c>
      <c r="AJ53" s="2059">
        <v>52337</v>
      </c>
      <c r="AK53" s="2056">
        <f t="shared" si="15"/>
        <v>109.61546516985716</v>
      </c>
      <c r="AL53" s="2059"/>
      <c r="AM53" s="2056" t="str">
        <f t="shared" si="16"/>
        <v/>
      </c>
      <c r="AN53" s="2059"/>
      <c r="AO53" s="2056" t="str">
        <f t="shared" si="17"/>
        <v/>
      </c>
      <c r="AP53" s="2059">
        <v>2390242</v>
      </c>
      <c r="AQ53" s="2056">
        <f t="shared" si="18"/>
        <v>5006.1617727139446</v>
      </c>
    </row>
    <row r="54" spans="1:43">
      <c r="A54" s="2058"/>
      <c r="D54" s="2059">
        <v>3848975</v>
      </c>
      <c r="E54" s="2056" t="str">
        <f t="shared" si="0"/>
        <v/>
      </c>
      <c r="F54" s="2059"/>
      <c r="G54" s="2056" t="str">
        <f t="shared" si="0"/>
        <v/>
      </c>
      <c r="H54" s="2059"/>
      <c r="I54" s="2056" t="str">
        <f t="shared" si="1"/>
        <v/>
      </c>
      <c r="J54" s="2059"/>
      <c r="K54" s="2056" t="str">
        <f t="shared" si="2"/>
        <v/>
      </c>
      <c r="L54" s="2059"/>
      <c r="M54" s="2056" t="str">
        <f t="shared" si="3"/>
        <v/>
      </c>
      <c r="N54" s="2059"/>
      <c r="O54" s="2056" t="str">
        <f t="shared" si="4"/>
        <v/>
      </c>
      <c r="P54" s="2059"/>
      <c r="Q54" s="2056" t="str">
        <f t="shared" si="5"/>
        <v/>
      </c>
      <c r="R54" s="2059"/>
      <c r="S54" s="2056" t="str">
        <f t="shared" si="6"/>
        <v/>
      </c>
      <c r="T54" s="2059"/>
      <c r="U54" s="2056" t="str">
        <f t="shared" si="7"/>
        <v/>
      </c>
      <c r="V54" s="2059"/>
      <c r="W54" s="2056" t="str">
        <f t="shared" si="8"/>
        <v/>
      </c>
      <c r="X54" s="2059"/>
      <c r="Y54" s="2056" t="str">
        <f t="shared" si="9"/>
        <v/>
      </c>
      <c r="Z54" s="2059"/>
      <c r="AA54" s="2056" t="str">
        <f t="shared" si="10"/>
        <v/>
      </c>
      <c r="AB54" s="2059"/>
      <c r="AC54" s="2056" t="str">
        <f t="shared" si="11"/>
        <v/>
      </c>
      <c r="AD54" s="2059"/>
      <c r="AE54" s="2056" t="str">
        <f t="shared" si="12"/>
        <v/>
      </c>
      <c r="AF54" s="2059"/>
      <c r="AG54" s="2056" t="str">
        <f t="shared" si="13"/>
        <v/>
      </c>
      <c r="AH54" s="2059"/>
      <c r="AI54" s="2056" t="str">
        <f t="shared" si="14"/>
        <v/>
      </c>
      <c r="AJ54" s="2059"/>
      <c r="AK54" s="2056" t="str">
        <f t="shared" si="15"/>
        <v/>
      </c>
      <c r="AL54" s="2059"/>
      <c r="AM54" s="2056" t="str">
        <f t="shared" si="16"/>
        <v/>
      </c>
      <c r="AN54" s="2059"/>
      <c r="AO54" s="2056" t="str">
        <f t="shared" si="17"/>
        <v/>
      </c>
      <c r="AP54" s="2059"/>
      <c r="AQ54" s="2056" t="str">
        <f t="shared" si="18"/>
        <v/>
      </c>
    </row>
    <row r="55" spans="1:43">
      <c r="A55" s="2058"/>
      <c r="D55" s="2059">
        <v>269272</v>
      </c>
      <c r="E55" s="2056" t="str">
        <f t="shared" si="0"/>
        <v/>
      </c>
      <c r="F55" s="2059"/>
      <c r="G55" s="2056" t="str">
        <f t="shared" si="0"/>
        <v/>
      </c>
      <c r="H55" s="2059"/>
      <c r="I55" s="2056" t="str">
        <f t="shared" si="1"/>
        <v/>
      </c>
      <c r="J55" s="2059"/>
      <c r="K55" s="2056" t="str">
        <f t="shared" si="2"/>
        <v/>
      </c>
      <c r="L55" s="2059"/>
      <c r="M55" s="2056" t="str">
        <f t="shared" si="3"/>
        <v/>
      </c>
      <c r="N55" s="2059"/>
      <c r="O55" s="2056" t="str">
        <f t="shared" si="4"/>
        <v/>
      </c>
      <c r="P55" s="2059"/>
      <c r="Q55" s="2056" t="str">
        <f t="shared" si="5"/>
        <v/>
      </c>
      <c r="R55" s="2059"/>
      <c r="S55" s="2056" t="str">
        <f t="shared" si="6"/>
        <v/>
      </c>
      <c r="T55" s="2059"/>
      <c r="U55" s="2056" t="str">
        <f t="shared" si="7"/>
        <v/>
      </c>
      <c r="V55" s="2059"/>
      <c r="W55" s="2056" t="str">
        <f t="shared" si="8"/>
        <v/>
      </c>
      <c r="X55" s="2059"/>
      <c r="Y55" s="2056" t="str">
        <f t="shared" si="9"/>
        <v/>
      </c>
      <c r="Z55" s="2059"/>
      <c r="AA55" s="2056" t="str">
        <f t="shared" si="10"/>
        <v/>
      </c>
      <c r="AB55" s="2059"/>
      <c r="AC55" s="2056" t="str">
        <f t="shared" si="11"/>
        <v/>
      </c>
      <c r="AD55" s="2059"/>
      <c r="AE55" s="2056" t="str">
        <f t="shared" si="12"/>
        <v/>
      </c>
      <c r="AF55" s="2059"/>
      <c r="AG55" s="2056" t="str">
        <f t="shared" si="13"/>
        <v/>
      </c>
      <c r="AH55" s="2059"/>
      <c r="AI55" s="2056" t="str">
        <f t="shared" si="14"/>
        <v/>
      </c>
      <c r="AJ55" s="2059"/>
      <c r="AK55" s="2056" t="str">
        <f t="shared" si="15"/>
        <v/>
      </c>
      <c r="AL55" s="2059"/>
      <c r="AM55" s="2056" t="str">
        <f t="shared" si="16"/>
        <v/>
      </c>
      <c r="AN55" s="2059"/>
      <c r="AO55" s="2056" t="str">
        <f t="shared" si="17"/>
        <v/>
      </c>
      <c r="AP55" s="2059"/>
      <c r="AQ55" s="2056" t="str">
        <f t="shared" si="18"/>
        <v/>
      </c>
    </row>
    <row r="56" spans="1:43">
      <c r="A56" s="2058"/>
      <c r="D56" s="2059">
        <v>311440</v>
      </c>
      <c r="E56" s="2056" t="str">
        <f t="shared" si="0"/>
        <v/>
      </c>
      <c r="F56" s="2059"/>
      <c r="G56" s="2056" t="str">
        <f t="shared" si="0"/>
        <v/>
      </c>
      <c r="H56" s="2059"/>
      <c r="I56" s="2056" t="str">
        <f t="shared" si="1"/>
        <v/>
      </c>
      <c r="J56" s="2059"/>
      <c r="K56" s="2056" t="str">
        <f t="shared" si="2"/>
        <v/>
      </c>
      <c r="L56" s="2059"/>
      <c r="M56" s="2056" t="str">
        <f t="shared" si="3"/>
        <v/>
      </c>
      <c r="N56" s="2059"/>
      <c r="O56" s="2056" t="str">
        <f t="shared" si="4"/>
        <v/>
      </c>
      <c r="P56" s="2059"/>
      <c r="Q56" s="2056" t="str">
        <f t="shared" si="5"/>
        <v/>
      </c>
      <c r="R56" s="2059"/>
      <c r="S56" s="2056" t="str">
        <f t="shared" si="6"/>
        <v/>
      </c>
      <c r="T56" s="2059"/>
      <c r="U56" s="2056" t="str">
        <f t="shared" si="7"/>
        <v/>
      </c>
      <c r="V56" s="2059"/>
      <c r="W56" s="2056" t="str">
        <f t="shared" si="8"/>
        <v/>
      </c>
      <c r="X56" s="2059"/>
      <c r="Y56" s="2056" t="str">
        <f t="shared" si="9"/>
        <v/>
      </c>
      <c r="Z56" s="2059"/>
      <c r="AA56" s="2056" t="str">
        <f t="shared" si="10"/>
        <v/>
      </c>
      <c r="AB56" s="2059"/>
      <c r="AC56" s="2056" t="str">
        <f t="shared" si="11"/>
        <v/>
      </c>
      <c r="AD56" s="2059"/>
      <c r="AE56" s="2056" t="str">
        <f t="shared" si="12"/>
        <v/>
      </c>
      <c r="AF56" s="2059"/>
      <c r="AG56" s="2056" t="str">
        <f t="shared" si="13"/>
        <v/>
      </c>
      <c r="AH56" s="2059"/>
      <c r="AI56" s="2056" t="str">
        <f t="shared" si="14"/>
        <v/>
      </c>
      <c r="AJ56" s="2059"/>
      <c r="AK56" s="2056" t="str">
        <f t="shared" si="15"/>
        <v/>
      </c>
      <c r="AL56" s="2059"/>
      <c r="AM56" s="2056" t="str">
        <f t="shared" si="16"/>
        <v/>
      </c>
      <c r="AN56" s="2059"/>
      <c r="AO56" s="2056" t="str">
        <f t="shared" si="17"/>
        <v/>
      </c>
      <c r="AP56" s="2059"/>
      <c r="AQ56" s="2056" t="str">
        <f t="shared" si="18"/>
        <v/>
      </c>
    </row>
    <row r="57" spans="1:43">
      <c r="A57" s="2058"/>
      <c r="D57" s="2059">
        <v>239370</v>
      </c>
      <c r="E57" s="2056" t="str">
        <f t="shared" si="0"/>
        <v/>
      </c>
      <c r="F57" s="2059"/>
      <c r="G57" s="2056" t="str">
        <f t="shared" si="0"/>
        <v/>
      </c>
      <c r="H57" s="2059"/>
      <c r="I57" s="2056" t="str">
        <f t="shared" si="1"/>
        <v/>
      </c>
      <c r="J57" s="2059"/>
      <c r="K57" s="2056" t="str">
        <f t="shared" si="2"/>
        <v/>
      </c>
      <c r="L57" s="2059"/>
      <c r="M57" s="2056" t="str">
        <f t="shared" si="3"/>
        <v/>
      </c>
      <c r="N57" s="2059"/>
      <c r="O57" s="2056" t="str">
        <f t="shared" si="4"/>
        <v/>
      </c>
      <c r="P57" s="2059"/>
      <c r="Q57" s="2056" t="str">
        <f t="shared" si="5"/>
        <v/>
      </c>
      <c r="R57" s="2059"/>
      <c r="S57" s="2056" t="str">
        <f t="shared" si="6"/>
        <v/>
      </c>
      <c r="T57" s="2059"/>
      <c r="U57" s="2056" t="str">
        <f t="shared" si="7"/>
        <v/>
      </c>
      <c r="V57" s="2059"/>
      <c r="W57" s="2056" t="str">
        <f t="shared" si="8"/>
        <v/>
      </c>
      <c r="X57" s="2059"/>
      <c r="Y57" s="2056" t="str">
        <f t="shared" si="9"/>
        <v/>
      </c>
      <c r="Z57" s="2059"/>
      <c r="AA57" s="2056" t="str">
        <f t="shared" si="10"/>
        <v/>
      </c>
      <c r="AB57" s="2059"/>
      <c r="AC57" s="2056" t="str">
        <f t="shared" si="11"/>
        <v/>
      </c>
      <c r="AD57" s="2059"/>
      <c r="AE57" s="2056" t="str">
        <f t="shared" si="12"/>
        <v/>
      </c>
      <c r="AF57" s="2059"/>
      <c r="AG57" s="2056" t="str">
        <f t="shared" si="13"/>
        <v/>
      </c>
      <c r="AH57" s="2059"/>
      <c r="AI57" s="2056" t="str">
        <f t="shared" si="14"/>
        <v/>
      </c>
      <c r="AJ57" s="2059"/>
      <c r="AK57" s="2056" t="str">
        <f t="shared" si="15"/>
        <v/>
      </c>
      <c r="AL57" s="2059"/>
      <c r="AM57" s="2056" t="str">
        <f t="shared" si="16"/>
        <v/>
      </c>
      <c r="AN57" s="2059"/>
      <c r="AO57" s="2056" t="str">
        <f t="shared" si="17"/>
        <v/>
      </c>
      <c r="AP57" s="2059"/>
      <c r="AQ57" s="2056" t="str">
        <f t="shared" si="18"/>
        <v/>
      </c>
    </row>
    <row r="58" spans="1:43">
      <c r="A58" s="2058"/>
      <c r="D58" s="2059">
        <v>352286</v>
      </c>
      <c r="E58" s="2056" t="str">
        <f t="shared" si="0"/>
        <v/>
      </c>
      <c r="F58" s="2059"/>
      <c r="G58" s="2056" t="str">
        <f t="shared" si="0"/>
        <v/>
      </c>
      <c r="H58" s="2059"/>
      <c r="I58" s="2056" t="str">
        <f t="shared" si="1"/>
        <v/>
      </c>
      <c r="J58" s="2059"/>
      <c r="K58" s="2056" t="str">
        <f t="shared" si="2"/>
        <v/>
      </c>
      <c r="L58" s="2059"/>
      <c r="M58" s="2056" t="str">
        <f t="shared" si="3"/>
        <v/>
      </c>
      <c r="N58" s="2059"/>
      <c r="O58" s="2056" t="str">
        <f t="shared" si="4"/>
        <v/>
      </c>
      <c r="P58" s="2059"/>
      <c r="Q58" s="2056" t="str">
        <f t="shared" si="5"/>
        <v/>
      </c>
      <c r="R58" s="2059"/>
      <c r="S58" s="2056" t="str">
        <f t="shared" si="6"/>
        <v/>
      </c>
      <c r="T58" s="2059"/>
      <c r="U58" s="2056" t="str">
        <f t="shared" si="7"/>
        <v/>
      </c>
      <c r="V58" s="2059"/>
      <c r="W58" s="2056" t="str">
        <f t="shared" si="8"/>
        <v/>
      </c>
      <c r="X58" s="2059"/>
      <c r="Y58" s="2056" t="str">
        <f t="shared" si="9"/>
        <v/>
      </c>
      <c r="Z58" s="2059"/>
      <c r="AA58" s="2056" t="str">
        <f t="shared" si="10"/>
        <v/>
      </c>
      <c r="AB58" s="2059"/>
      <c r="AC58" s="2056" t="str">
        <f t="shared" si="11"/>
        <v/>
      </c>
      <c r="AD58" s="2059"/>
      <c r="AE58" s="2056" t="str">
        <f t="shared" si="12"/>
        <v/>
      </c>
      <c r="AF58" s="2059"/>
      <c r="AG58" s="2056" t="str">
        <f t="shared" si="13"/>
        <v/>
      </c>
      <c r="AH58" s="2059"/>
      <c r="AI58" s="2056" t="str">
        <f t="shared" si="14"/>
        <v/>
      </c>
      <c r="AJ58" s="2059"/>
      <c r="AK58" s="2056" t="str">
        <f t="shared" si="15"/>
        <v/>
      </c>
      <c r="AL58" s="2059"/>
      <c r="AM58" s="2056" t="str">
        <f t="shared" si="16"/>
        <v/>
      </c>
      <c r="AN58" s="2059"/>
      <c r="AO58" s="2056" t="str">
        <f t="shared" si="17"/>
        <v/>
      </c>
      <c r="AP58" s="2059"/>
      <c r="AQ58" s="2056" t="str">
        <f t="shared" si="18"/>
        <v/>
      </c>
    </row>
    <row r="59" spans="1:43">
      <c r="A59" s="2048" t="s">
        <v>1283</v>
      </c>
      <c r="B59" s="2054">
        <v>90.79</v>
      </c>
      <c r="D59" s="2055">
        <v>225548</v>
      </c>
      <c r="E59" s="2056">
        <f t="shared" si="0"/>
        <v>2484.2824099570435</v>
      </c>
      <c r="F59" s="2055">
        <v>11682</v>
      </c>
      <c r="G59" s="2056">
        <f t="shared" si="0"/>
        <v>128.67055843154532</v>
      </c>
      <c r="H59" s="2055"/>
      <c r="I59" s="2056" t="str">
        <f t="shared" si="1"/>
        <v/>
      </c>
      <c r="J59" s="2055"/>
      <c r="K59" s="2056" t="str">
        <f t="shared" si="2"/>
        <v/>
      </c>
      <c r="L59" s="2055"/>
      <c r="M59" s="2056" t="str">
        <f t="shared" si="3"/>
        <v/>
      </c>
      <c r="N59" s="2055">
        <v>65818</v>
      </c>
      <c r="O59" s="2056">
        <f t="shared" si="4"/>
        <v>724.9476814627161</v>
      </c>
      <c r="P59" s="2055">
        <v>12264</v>
      </c>
      <c r="Q59" s="2056">
        <f t="shared" si="5"/>
        <v>135.08095605242866</v>
      </c>
      <c r="R59" s="2055">
        <v>7809</v>
      </c>
      <c r="S59" s="2056">
        <f t="shared" si="6"/>
        <v>86.011675294635964</v>
      </c>
      <c r="T59" s="2055"/>
      <c r="U59" s="2056" t="str">
        <f t="shared" si="7"/>
        <v/>
      </c>
      <c r="V59" s="2055">
        <v>165632</v>
      </c>
      <c r="W59" s="2056">
        <f t="shared" si="8"/>
        <v>1824.3418878731136</v>
      </c>
      <c r="X59" s="2055"/>
      <c r="Y59" s="2056" t="str">
        <f t="shared" si="9"/>
        <v/>
      </c>
      <c r="Z59" s="2055">
        <v>135966</v>
      </c>
      <c r="AA59" s="2056">
        <f t="shared" si="10"/>
        <v>1497.5878400704923</v>
      </c>
      <c r="AB59" s="2055"/>
      <c r="AC59" s="2056" t="str">
        <f t="shared" si="11"/>
        <v/>
      </c>
      <c r="AD59" s="2055"/>
      <c r="AE59" s="2056" t="str">
        <f t="shared" si="12"/>
        <v/>
      </c>
      <c r="AF59" s="2055"/>
      <c r="AG59" s="2056" t="str">
        <f t="shared" si="13"/>
        <v/>
      </c>
      <c r="AH59" s="2055"/>
      <c r="AI59" s="2056" t="str">
        <f t="shared" si="14"/>
        <v/>
      </c>
      <c r="AJ59" s="2055">
        <v>86164</v>
      </c>
      <c r="AK59" s="2056">
        <f t="shared" si="15"/>
        <v>949.04725189998896</v>
      </c>
      <c r="AL59" s="2055"/>
      <c r="AM59" s="2056" t="str">
        <f t="shared" si="16"/>
        <v/>
      </c>
      <c r="AN59" s="2055"/>
      <c r="AO59" s="2056" t="str">
        <f t="shared" si="17"/>
        <v/>
      </c>
      <c r="AP59" s="2055">
        <v>485335</v>
      </c>
      <c r="AQ59" s="2056">
        <f t="shared" si="18"/>
        <v>5345.687851084921</v>
      </c>
    </row>
    <row r="60" spans="1:43">
      <c r="A60" s="2058"/>
      <c r="D60" s="2059">
        <v>678036</v>
      </c>
      <c r="E60" s="2056" t="str">
        <f t="shared" si="0"/>
        <v/>
      </c>
      <c r="F60" s="2059"/>
      <c r="G60" s="2056" t="str">
        <f t="shared" si="0"/>
        <v/>
      </c>
      <c r="H60" s="2059"/>
      <c r="I60" s="2056" t="str">
        <f t="shared" si="1"/>
        <v/>
      </c>
      <c r="J60" s="2059"/>
      <c r="K60" s="2056" t="str">
        <f t="shared" si="2"/>
        <v/>
      </c>
      <c r="L60" s="2059"/>
      <c r="M60" s="2056" t="str">
        <f t="shared" si="3"/>
        <v/>
      </c>
      <c r="N60" s="2059"/>
      <c r="O60" s="2056" t="str">
        <f t="shared" si="4"/>
        <v/>
      </c>
      <c r="P60" s="2059"/>
      <c r="Q60" s="2056" t="str">
        <f t="shared" si="5"/>
        <v/>
      </c>
      <c r="R60" s="2059">
        <v>63395</v>
      </c>
      <c r="S60" s="2056" t="str">
        <f t="shared" si="6"/>
        <v/>
      </c>
      <c r="T60" s="2059"/>
      <c r="U60" s="2056" t="str">
        <f t="shared" si="7"/>
        <v/>
      </c>
      <c r="V60" s="2059"/>
      <c r="W60" s="2056" t="str">
        <f t="shared" si="8"/>
        <v/>
      </c>
      <c r="X60" s="2059"/>
      <c r="Y60" s="2056" t="str">
        <f t="shared" si="9"/>
        <v/>
      </c>
      <c r="Z60" s="2059"/>
      <c r="AA60" s="2056" t="str">
        <f t="shared" si="10"/>
        <v/>
      </c>
      <c r="AB60" s="2059"/>
      <c r="AC60" s="2056" t="str">
        <f t="shared" si="11"/>
        <v/>
      </c>
      <c r="AD60" s="2059"/>
      <c r="AE60" s="2056" t="str">
        <f t="shared" si="12"/>
        <v/>
      </c>
      <c r="AF60" s="2059"/>
      <c r="AG60" s="2056" t="str">
        <f t="shared" si="13"/>
        <v/>
      </c>
      <c r="AH60" s="2059"/>
      <c r="AI60" s="2056" t="str">
        <f t="shared" si="14"/>
        <v/>
      </c>
      <c r="AJ60" s="2059">
        <v>108317</v>
      </c>
      <c r="AK60" s="2056" t="str">
        <f t="shared" si="15"/>
        <v/>
      </c>
      <c r="AL60" s="2059"/>
      <c r="AM60" s="2056" t="str">
        <f t="shared" si="16"/>
        <v/>
      </c>
      <c r="AN60" s="2059"/>
      <c r="AO60" s="2056" t="str">
        <f t="shared" si="17"/>
        <v/>
      </c>
      <c r="AP60" s="2059">
        <v>171712</v>
      </c>
      <c r="AQ60" s="2056" t="str">
        <f t="shared" si="18"/>
        <v/>
      </c>
    </row>
    <row r="61" spans="1:43">
      <c r="A61" s="2048" t="s">
        <v>1284</v>
      </c>
      <c r="B61" s="2054">
        <v>0.08</v>
      </c>
      <c r="D61" s="2055">
        <v>3704.86</v>
      </c>
      <c r="E61" s="2056">
        <f t="shared" si="0"/>
        <v>46310.75</v>
      </c>
      <c r="F61" s="2055"/>
      <c r="G61" s="2056" t="str">
        <f t="shared" si="0"/>
        <v/>
      </c>
      <c r="H61" s="2055"/>
      <c r="I61" s="2056" t="str">
        <f t="shared" si="1"/>
        <v/>
      </c>
      <c r="J61" s="2055"/>
      <c r="K61" s="2056" t="str">
        <f t="shared" si="2"/>
        <v/>
      </c>
      <c r="L61" s="2055"/>
      <c r="M61" s="2056" t="str">
        <f t="shared" si="3"/>
        <v/>
      </c>
      <c r="N61" s="2055"/>
      <c r="O61" s="2056" t="str">
        <f t="shared" si="4"/>
        <v/>
      </c>
      <c r="P61" s="2055">
        <v>169.54</v>
      </c>
      <c r="Q61" s="2056">
        <f t="shared" si="5"/>
        <v>2119.25</v>
      </c>
      <c r="R61" s="2055"/>
      <c r="S61" s="2056" t="str">
        <f t="shared" si="6"/>
        <v/>
      </c>
      <c r="T61" s="2055"/>
      <c r="U61" s="2056" t="str">
        <f t="shared" si="7"/>
        <v/>
      </c>
      <c r="V61" s="2055"/>
      <c r="W61" s="2056" t="str">
        <f t="shared" si="8"/>
        <v/>
      </c>
      <c r="X61" s="2055"/>
      <c r="Y61" s="2056" t="str">
        <f t="shared" si="9"/>
        <v/>
      </c>
      <c r="Z61" s="2055"/>
      <c r="AA61" s="2056" t="str">
        <f t="shared" si="10"/>
        <v/>
      </c>
      <c r="AB61" s="2055"/>
      <c r="AC61" s="2056" t="str">
        <f t="shared" si="11"/>
        <v/>
      </c>
      <c r="AD61" s="2055"/>
      <c r="AE61" s="2056" t="str">
        <f t="shared" si="12"/>
        <v/>
      </c>
      <c r="AF61" s="2055"/>
      <c r="AG61" s="2056" t="str">
        <f t="shared" si="13"/>
        <v/>
      </c>
      <c r="AH61" s="2055"/>
      <c r="AI61" s="2056" t="str">
        <f t="shared" si="14"/>
        <v/>
      </c>
      <c r="AJ61" s="2055"/>
      <c r="AK61" s="2056" t="str">
        <f t="shared" si="15"/>
        <v/>
      </c>
      <c r="AL61" s="2055"/>
      <c r="AM61" s="2056" t="str">
        <f t="shared" si="16"/>
        <v/>
      </c>
      <c r="AN61" s="2055"/>
      <c r="AO61" s="2056" t="str">
        <f t="shared" si="17"/>
        <v/>
      </c>
      <c r="AP61" s="2055">
        <v>169.54</v>
      </c>
      <c r="AQ61" s="2056">
        <f t="shared" si="18"/>
        <v>2119.25</v>
      </c>
    </row>
    <row r="62" spans="1:43">
      <c r="A62" s="2058"/>
      <c r="D62" s="2059"/>
      <c r="E62" s="2056" t="str">
        <f t="shared" si="0"/>
        <v/>
      </c>
      <c r="F62" s="2059"/>
      <c r="G62" s="2056" t="str">
        <f t="shared" si="0"/>
        <v/>
      </c>
      <c r="H62" s="2059"/>
      <c r="I62" s="2056" t="str">
        <f t="shared" si="1"/>
        <v/>
      </c>
      <c r="J62" s="2059"/>
      <c r="K62" s="2056" t="str">
        <f t="shared" si="2"/>
        <v/>
      </c>
      <c r="L62" s="2059"/>
      <c r="M62" s="2056" t="str">
        <f t="shared" si="3"/>
        <v/>
      </c>
      <c r="N62" s="2059"/>
      <c r="O62" s="2056" t="str">
        <f t="shared" si="4"/>
        <v/>
      </c>
      <c r="P62" s="2059"/>
      <c r="Q62" s="2056" t="str">
        <f t="shared" si="5"/>
        <v/>
      </c>
      <c r="R62" s="2059"/>
      <c r="S62" s="2056" t="str">
        <f t="shared" si="6"/>
        <v/>
      </c>
      <c r="T62" s="2059"/>
      <c r="U62" s="2056" t="str">
        <f t="shared" si="7"/>
        <v/>
      </c>
      <c r="V62" s="2059"/>
      <c r="W62" s="2056" t="str">
        <f t="shared" si="8"/>
        <v/>
      </c>
      <c r="X62" s="2059"/>
      <c r="Y62" s="2056" t="str">
        <f t="shared" si="9"/>
        <v/>
      </c>
      <c r="Z62" s="2059"/>
      <c r="AA62" s="2056" t="str">
        <f t="shared" si="10"/>
        <v/>
      </c>
      <c r="AB62" s="2059"/>
      <c r="AC62" s="2056" t="str">
        <f t="shared" si="11"/>
        <v/>
      </c>
      <c r="AD62" s="2059"/>
      <c r="AE62" s="2056" t="str">
        <f t="shared" si="12"/>
        <v/>
      </c>
      <c r="AF62" s="2059"/>
      <c r="AG62" s="2056" t="str">
        <f t="shared" si="13"/>
        <v/>
      </c>
      <c r="AH62" s="2059"/>
      <c r="AI62" s="2056" t="str">
        <f t="shared" si="14"/>
        <v/>
      </c>
      <c r="AJ62" s="2059"/>
      <c r="AK62" s="2056" t="str">
        <f t="shared" si="15"/>
        <v/>
      </c>
      <c r="AL62" s="2059"/>
      <c r="AM62" s="2056" t="str">
        <f t="shared" si="16"/>
        <v/>
      </c>
      <c r="AN62" s="2059"/>
      <c r="AO62" s="2056" t="str">
        <f t="shared" si="17"/>
        <v/>
      </c>
      <c r="AP62" s="2059"/>
      <c r="AQ62" s="2056" t="str">
        <f t="shared" si="18"/>
        <v/>
      </c>
    </row>
    <row r="63" spans="1:43">
      <c r="A63" s="2048" t="s">
        <v>1285</v>
      </c>
      <c r="B63" s="2054">
        <v>2.5</v>
      </c>
      <c r="D63" s="2055">
        <v>1525</v>
      </c>
      <c r="E63" s="2056">
        <f t="shared" si="0"/>
        <v>610</v>
      </c>
      <c r="F63" s="2055">
        <v>46208</v>
      </c>
      <c r="G63" s="2056">
        <f t="shared" si="0"/>
        <v>18483.2</v>
      </c>
      <c r="H63" s="2055"/>
      <c r="I63" s="2056" t="str">
        <f t="shared" si="1"/>
        <v/>
      </c>
      <c r="J63" s="2055"/>
      <c r="K63" s="2056" t="str">
        <f t="shared" si="2"/>
        <v/>
      </c>
      <c r="L63" s="2055"/>
      <c r="M63" s="2056" t="str">
        <f t="shared" si="3"/>
        <v/>
      </c>
      <c r="N63" s="2055">
        <v>972</v>
      </c>
      <c r="O63" s="2056">
        <f t="shared" si="4"/>
        <v>388.8</v>
      </c>
      <c r="P63" s="2055">
        <v>1440</v>
      </c>
      <c r="Q63" s="2056">
        <f t="shared" si="5"/>
        <v>576</v>
      </c>
      <c r="R63" s="2055">
        <v>9694</v>
      </c>
      <c r="S63" s="2056">
        <f t="shared" si="6"/>
        <v>3877.6</v>
      </c>
      <c r="T63" s="2055">
        <v>6077</v>
      </c>
      <c r="U63" s="2056">
        <f t="shared" si="7"/>
        <v>2430.8000000000002</v>
      </c>
      <c r="V63" s="2055"/>
      <c r="W63" s="2056" t="str">
        <f t="shared" si="8"/>
        <v/>
      </c>
      <c r="X63" s="2055"/>
      <c r="Y63" s="2056" t="str">
        <f t="shared" si="9"/>
        <v/>
      </c>
      <c r="Z63" s="2055"/>
      <c r="AA63" s="2056" t="str">
        <f t="shared" si="10"/>
        <v/>
      </c>
      <c r="AB63" s="2055"/>
      <c r="AC63" s="2056" t="str">
        <f t="shared" si="11"/>
        <v/>
      </c>
      <c r="AD63" s="2055"/>
      <c r="AE63" s="2056" t="str">
        <f t="shared" si="12"/>
        <v/>
      </c>
      <c r="AF63" s="2055"/>
      <c r="AG63" s="2056" t="str">
        <f t="shared" si="13"/>
        <v/>
      </c>
      <c r="AH63" s="2055"/>
      <c r="AI63" s="2056" t="str">
        <f t="shared" si="14"/>
        <v/>
      </c>
      <c r="AJ63" s="2055">
        <v>5196</v>
      </c>
      <c r="AK63" s="2056">
        <f t="shared" si="15"/>
        <v>2078.4</v>
      </c>
      <c r="AL63" s="2055"/>
      <c r="AM63" s="2056" t="str">
        <f t="shared" si="16"/>
        <v/>
      </c>
      <c r="AN63" s="2055"/>
      <c r="AO63" s="2056" t="str">
        <f t="shared" si="17"/>
        <v/>
      </c>
      <c r="AP63" s="2055">
        <v>69587</v>
      </c>
      <c r="AQ63" s="2056">
        <f t="shared" si="18"/>
        <v>27834.799999999999</v>
      </c>
    </row>
    <row r="64" spans="1:43">
      <c r="A64" s="2048" t="s">
        <v>1286</v>
      </c>
      <c r="B64" s="2054">
        <v>2.4299999999999999E-2</v>
      </c>
      <c r="D64" s="2055">
        <v>97</v>
      </c>
      <c r="E64" s="2056">
        <f t="shared" si="0"/>
        <v>3991.7695473251033</v>
      </c>
      <c r="F64" s="2055">
        <v>23</v>
      </c>
      <c r="G64" s="2056">
        <f t="shared" si="0"/>
        <v>946.50205761316874</v>
      </c>
      <c r="H64" s="2055"/>
      <c r="I64" s="2056" t="str">
        <f t="shared" si="1"/>
        <v/>
      </c>
      <c r="J64" s="2055"/>
      <c r="K64" s="2056" t="str">
        <f t="shared" si="2"/>
        <v/>
      </c>
      <c r="L64" s="2055"/>
      <c r="M64" s="2056" t="str">
        <f t="shared" si="3"/>
        <v/>
      </c>
      <c r="N64" s="2055">
        <v>5</v>
      </c>
      <c r="O64" s="2056">
        <f t="shared" si="4"/>
        <v>205.76131687242798</v>
      </c>
      <c r="P64" s="2055">
        <v>4</v>
      </c>
      <c r="Q64" s="2056">
        <f t="shared" si="5"/>
        <v>164.6090534979424</v>
      </c>
      <c r="R64" s="2055">
        <v>2</v>
      </c>
      <c r="S64" s="2056">
        <f t="shared" si="6"/>
        <v>82.304526748971199</v>
      </c>
      <c r="T64" s="2055"/>
      <c r="U64" s="2056" t="str">
        <f t="shared" si="7"/>
        <v/>
      </c>
      <c r="V64" s="2055">
        <v>101</v>
      </c>
      <c r="W64" s="2056">
        <f t="shared" si="8"/>
        <v>4156.3786008230454</v>
      </c>
      <c r="X64" s="2055"/>
      <c r="Y64" s="2056" t="str">
        <f t="shared" si="9"/>
        <v/>
      </c>
      <c r="Z64" s="2055"/>
      <c r="AA64" s="2056" t="str">
        <f t="shared" si="10"/>
        <v/>
      </c>
      <c r="AB64" s="2055"/>
      <c r="AC64" s="2056" t="str">
        <f t="shared" si="11"/>
        <v/>
      </c>
      <c r="AD64" s="2055">
        <v>4</v>
      </c>
      <c r="AE64" s="2056">
        <f t="shared" si="12"/>
        <v>164.6090534979424</v>
      </c>
      <c r="AF64" s="2055"/>
      <c r="AG64" s="2056" t="str">
        <f t="shared" si="13"/>
        <v/>
      </c>
      <c r="AH64" s="2055"/>
      <c r="AI64" s="2056" t="str">
        <f t="shared" si="14"/>
        <v/>
      </c>
      <c r="AJ64" s="2055">
        <v>4</v>
      </c>
      <c r="AK64" s="2056">
        <f t="shared" si="15"/>
        <v>164.6090534979424</v>
      </c>
      <c r="AL64" s="2055"/>
      <c r="AM64" s="2056" t="str">
        <f t="shared" si="16"/>
        <v/>
      </c>
      <c r="AN64" s="2055">
        <v>4</v>
      </c>
      <c r="AO64" s="2056">
        <f t="shared" si="17"/>
        <v>164.6090534979424</v>
      </c>
      <c r="AP64" s="2055">
        <v>147</v>
      </c>
      <c r="AQ64" s="2056">
        <f t="shared" si="18"/>
        <v>6049.3827160493829</v>
      </c>
    </row>
    <row r="65" spans="1:43">
      <c r="A65" s="2048" t="s">
        <v>1287</v>
      </c>
      <c r="B65" s="2054">
        <v>6.6000000000000003E-2</v>
      </c>
      <c r="D65" s="2055">
        <v>312</v>
      </c>
      <c r="E65" s="2056">
        <f t="shared" si="0"/>
        <v>4727.272727272727</v>
      </c>
      <c r="F65" s="2055"/>
      <c r="G65" s="2056" t="str">
        <f t="shared" si="0"/>
        <v/>
      </c>
      <c r="H65" s="2055"/>
      <c r="I65" s="2056" t="str">
        <f t="shared" si="1"/>
        <v/>
      </c>
      <c r="J65" s="2055">
        <v>18364</v>
      </c>
      <c r="K65" s="2056">
        <f t="shared" si="2"/>
        <v>278242.42424242425</v>
      </c>
      <c r="L65" s="2055"/>
      <c r="M65" s="2056" t="str">
        <f t="shared" si="3"/>
        <v/>
      </c>
      <c r="N65" s="2055">
        <v>22</v>
      </c>
      <c r="O65" s="2056">
        <f t="shared" si="4"/>
        <v>333.33333333333331</v>
      </c>
      <c r="P65" s="2055"/>
      <c r="Q65" s="2056" t="str">
        <f t="shared" si="5"/>
        <v/>
      </c>
      <c r="R65" s="2055">
        <v>12</v>
      </c>
      <c r="S65" s="2056">
        <f t="shared" si="6"/>
        <v>181.81818181818181</v>
      </c>
      <c r="T65" s="2055"/>
      <c r="U65" s="2056" t="str">
        <f t="shared" si="7"/>
        <v/>
      </c>
      <c r="V65" s="2055"/>
      <c r="W65" s="2056" t="str">
        <f t="shared" si="8"/>
        <v/>
      </c>
      <c r="X65" s="2055"/>
      <c r="Y65" s="2056" t="str">
        <f t="shared" si="9"/>
        <v/>
      </c>
      <c r="Z65" s="2055"/>
      <c r="AA65" s="2056" t="str">
        <f t="shared" si="10"/>
        <v/>
      </c>
      <c r="AB65" s="2055"/>
      <c r="AC65" s="2056" t="str">
        <f t="shared" si="11"/>
        <v/>
      </c>
      <c r="AD65" s="2055"/>
      <c r="AE65" s="2056" t="str">
        <f t="shared" si="12"/>
        <v/>
      </c>
      <c r="AF65" s="2055"/>
      <c r="AG65" s="2056" t="str">
        <f t="shared" si="13"/>
        <v/>
      </c>
      <c r="AH65" s="2055"/>
      <c r="AI65" s="2056" t="str">
        <f t="shared" si="14"/>
        <v/>
      </c>
      <c r="AJ65" s="2055">
        <v>7</v>
      </c>
      <c r="AK65" s="2056">
        <f t="shared" si="15"/>
        <v>106.06060606060606</v>
      </c>
      <c r="AL65" s="2055"/>
      <c r="AM65" s="2056" t="str">
        <f t="shared" si="16"/>
        <v/>
      </c>
      <c r="AN65" s="2055"/>
      <c r="AO65" s="2056" t="str">
        <f t="shared" si="17"/>
        <v/>
      </c>
      <c r="AP65" s="2055">
        <v>18405</v>
      </c>
      <c r="AQ65" s="2056">
        <f t="shared" si="18"/>
        <v>278863.63636363635</v>
      </c>
    </row>
    <row r="66" spans="1:43">
      <c r="A66" s="2048" t="s">
        <v>1288</v>
      </c>
      <c r="B66" s="2054">
        <v>159</v>
      </c>
      <c r="D66" s="2055"/>
      <c r="E66" s="2056" t="str">
        <f t="shared" si="0"/>
        <v/>
      </c>
      <c r="F66" s="2055">
        <v>265603</v>
      </c>
      <c r="G66" s="2056">
        <f t="shared" si="0"/>
        <v>1670.4591194968552</v>
      </c>
      <c r="H66" s="2055"/>
      <c r="I66" s="2056" t="str">
        <f t="shared" si="1"/>
        <v/>
      </c>
      <c r="J66" s="2055">
        <v>6622</v>
      </c>
      <c r="K66" s="2056">
        <f t="shared" si="2"/>
        <v>41.647798742138363</v>
      </c>
      <c r="L66" s="2055">
        <v>2077580</v>
      </c>
      <c r="M66" s="2056">
        <f t="shared" si="3"/>
        <v>13066.540880503144</v>
      </c>
      <c r="N66" s="2055">
        <v>13195</v>
      </c>
      <c r="O66" s="2056">
        <f t="shared" si="4"/>
        <v>82.987421383647799</v>
      </c>
      <c r="P66" s="2055">
        <v>25701</v>
      </c>
      <c r="Q66" s="2056">
        <f t="shared" si="5"/>
        <v>161.64150943396226</v>
      </c>
      <c r="R66" s="2055">
        <v>337752</v>
      </c>
      <c r="S66" s="2056">
        <f t="shared" si="6"/>
        <v>2124.2264150943397</v>
      </c>
      <c r="T66" s="2055">
        <v>4157</v>
      </c>
      <c r="U66" s="2056">
        <f t="shared" si="7"/>
        <v>26.144654088050313</v>
      </c>
      <c r="V66" s="2055">
        <v>186216</v>
      </c>
      <c r="W66" s="2056">
        <f t="shared" si="8"/>
        <v>1171.1698113207547</v>
      </c>
      <c r="X66" s="2055">
        <v>21385</v>
      </c>
      <c r="Y66" s="2056">
        <f t="shared" si="9"/>
        <v>134.49685534591194</v>
      </c>
      <c r="Z66" s="2055"/>
      <c r="AA66" s="2056" t="str">
        <f t="shared" si="10"/>
        <v/>
      </c>
      <c r="AB66" s="2055">
        <v>3527</v>
      </c>
      <c r="AC66" s="2056">
        <f t="shared" si="11"/>
        <v>22.182389937106919</v>
      </c>
      <c r="AD66" s="2055"/>
      <c r="AE66" s="2056" t="str">
        <f t="shared" si="12"/>
        <v/>
      </c>
      <c r="AF66" s="2055"/>
      <c r="AG66" s="2056" t="str">
        <f t="shared" si="13"/>
        <v/>
      </c>
      <c r="AH66" s="2055"/>
      <c r="AI66" s="2056" t="str">
        <f t="shared" si="14"/>
        <v/>
      </c>
      <c r="AJ66" s="2055">
        <v>136919</v>
      </c>
      <c r="AK66" s="2056">
        <f t="shared" si="15"/>
        <v>861.12578616352198</v>
      </c>
      <c r="AL66" s="2055"/>
      <c r="AM66" s="2056" t="str">
        <f t="shared" si="16"/>
        <v/>
      </c>
      <c r="AN66" s="2055">
        <v>4382</v>
      </c>
      <c r="AO66" s="2056">
        <f t="shared" si="17"/>
        <v>27.559748427672957</v>
      </c>
      <c r="AP66" s="2055">
        <v>3083039</v>
      </c>
      <c r="AQ66" s="2056">
        <f t="shared" si="18"/>
        <v>19390.182389937108</v>
      </c>
    </row>
    <row r="67" spans="1:43">
      <c r="A67" s="2058"/>
      <c r="B67">
        <v>69.94</v>
      </c>
      <c r="D67" s="2059">
        <v>665436</v>
      </c>
      <c r="E67" s="2056">
        <f t="shared" si="0"/>
        <v>9514.3837575064335</v>
      </c>
      <c r="F67" s="2059">
        <v>146378</v>
      </c>
      <c r="G67" s="2056">
        <f t="shared" si="0"/>
        <v>2092.9082070346012</v>
      </c>
      <c r="H67" s="2059"/>
      <c r="I67" s="2056" t="str">
        <f t="shared" si="1"/>
        <v/>
      </c>
      <c r="J67" s="2059"/>
      <c r="K67" s="2056" t="str">
        <f t="shared" si="2"/>
        <v/>
      </c>
      <c r="L67" s="2059"/>
      <c r="M67" s="2056" t="str">
        <f t="shared" si="3"/>
        <v/>
      </c>
      <c r="N67" s="2059">
        <v>4892</v>
      </c>
      <c r="O67" s="2056">
        <f t="shared" si="4"/>
        <v>69.945667715184442</v>
      </c>
      <c r="P67" s="2059">
        <v>108925</v>
      </c>
      <c r="Q67" s="2056">
        <f t="shared" si="5"/>
        <v>1557.4063482985416</v>
      </c>
      <c r="R67" s="2059">
        <v>914</v>
      </c>
      <c r="S67" s="2056">
        <f t="shared" si="6"/>
        <v>13.068344295110094</v>
      </c>
      <c r="T67" s="2059">
        <v>286</v>
      </c>
      <c r="U67" s="2056">
        <f t="shared" si="7"/>
        <v>4.0892193308550189</v>
      </c>
      <c r="V67" s="2059">
        <v>23113</v>
      </c>
      <c r="W67" s="2056">
        <f t="shared" si="8"/>
        <v>330.46897340577641</v>
      </c>
      <c r="X67" s="2059"/>
      <c r="Y67" s="2056" t="str">
        <f t="shared" si="9"/>
        <v/>
      </c>
      <c r="Z67" s="2059"/>
      <c r="AA67" s="2056" t="str">
        <f t="shared" si="10"/>
        <v/>
      </c>
      <c r="AB67" s="2059">
        <v>1518</v>
      </c>
      <c r="AC67" s="2056">
        <f t="shared" si="11"/>
        <v>21.704317986845869</v>
      </c>
      <c r="AD67" s="2059"/>
      <c r="AE67" s="2056" t="str">
        <f t="shared" si="12"/>
        <v/>
      </c>
      <c r="AF67" s="2059"/>
      <c r="AG67" s="2056" t="str">
        <f t="shared" si="13"/>
        <v/>
      </c>
      <c r="AH67" s="2059"/>
      <c r="AI67" s="2056" t="str">
        <f t="shared" si="14"/>
        <v/>
      </c>
      <c r="AJ67" s="2059">
        <v>22555</v>
      </c>
      <c r="AK67" s="2056">
        <f t="shared" si="15"/>
        <v>322.49070631970261</v>
      </c>
      <c r="AL67" s="2059"/>
      <c r="AM67" s="2056" t="str">
        <f t="shared" si="16"/>
        <v/>
      </c>
      <c r="AN67" s="2059"/>
      <c r="AO67" s="2056" t="str">
        <f t="shared" si="17"/>
        <v/>
      </c>
      <c r="AP67" s="2059">
        <v>308581</v>
      </c>
      <c r="AQ67" s="2056">
        <f t="shared" si="18"/>
        <v>4412.0817843866171</v>
      </c>
    </row>
    <row r="68" spans="1:43">
      <c r="A68" s="2058"/>
      <c r="D68" s="2059">
        <v>873003</v>
      </c>
      <c r="E68" s="2056" t="str">
        <f t="shared" si="0"/>
        <v/>
      </c>
      <c r="F68" s="2059"/>
      <c r="G68" s="2056" t="str">
        <f t="shared" si="0"/>
        <v/>
      </c>
      <c r="H68" s="2059"/>
      <c r="I68" s="2056" t="str">
        <f t="shared" si="1"/>
        <v/>
      </c>
      <c r="J68" s="2059"/>
      <c r="K68" s="2056" t="str">
        <f t="shared" si="2"/>
        <v/>
      </c>
      <c r="L68" s="2059"/>
      <c r="M68" s="2056" t="str">
        <f t="shared" si="3"/>
        <v/>
      </c>
      <c r="N68" s="2059"/>
      <c r="O68" s="2056" t="str">
        <f t="shared" si="4"/>
        <v/>
      </c>
      <c r="P68" s="2059"/>
      <c r="Q68" s="2056" t="str">
        <f t="shared" si="5"/>
        <v/>
      </c>
      <c r="R68" s="2059">
        <v>170</v>
      </c>
      <c r="S68" s="2056" t="str">
        <f t="shared" si="6"/>
        <v/>
      </c>
      <c r="T68" s="2059"/>
      <c r="U68" s="2056" t="str">
        <f t="shared" si="7"/>
        <v/>
      </c>
      <c r="V68" s="2059"/>
      <c r="W68" s="2056" t="str">
        <f t="shared" si="8"/>
        <v/>
      </c>
      <c r="X68" s="2059"/>
      <c r="Y68" s="2056" t="str">
        <f t="shared" si="9"/>
        <v/>
      </c>
      <c r="Z68" s="2059"/>
      <c r="AA68" s="2056" t="str">
        <f t="shared" si="10"/>
        <v/>
      </c>
      <c r="AB68" s="2059"/>
      <c r="AC68" s="2056" t="str">
        <f t="shared" si="11"/>
        <v/>
      </c>
      <c r="AD68" s="2059"/>
      <c r="AE68" s="2056" t="str">
        <f t="shared" si="12"/>
        <v/>
      </c>
      <c r="AF68" s="2059"/>
      <c r="AG68" s="2056" t="str">
        <f t="shared" si="13"/>
        <v/>
      </c>
      <c r="AH68" s="2059"/>
      <c r="AI68" s="2056" t="str">
        <f t="shared" si="14"/>
        <v/>
      </c>
      <c r="AJ68" s="2059">
        <v>27280</v>
      </c>
      <c r="AK68" s="2056" t="str">
        <f t="shared" si="15"/>
        <v/>
      </c>
      <c r="AL68" s="2059"/>
      <c r="AM68" s="2056" t="str">
        <f t="shared" si="16"/>
        <v/>
      </c>
      <c r="AN68" s="2059"/>
      <c r="AO68" s="2056" t="str">
        <f t="shared" si="17"/>
        <v/>
      </c>
      <c r="AP68" s="2059">
        <v>27450</v>
      </c>
      <c r="AQ68" s="2056" t="str">
        <f t="shared" si="18"/>
        <v/>
      </c>
    </row>
    <row r="69" spans="1:43">
      <c r="A69" s="2058"/>
      <c r="D69" s="2059"/>
      <c r="E69" s="2056" t="str">
        <f t="shared" si="0"/>
        <v/>
      </c>
      <c r="F69" s="2059"/>
      <c r="G69" s="2056" t="str">
        <f t="shared" si="0"/>
        <v/>
      </c>
      <c r="H69" s="2059"/>
      <c r="I69" s="2056" t="str">
        <f t="shared" si="1"/>
        <v/>
      </c>
      <c r="J69" s="2059"/>
      <c r="K69" s="2056" t="str">
        <f t="shared" si="2"/>
        <v/>
      </c>
      <c r="L69" s="2059"/>
      <c r="M69" s="2056" t="str">
        <f t="shared" si="3"/>
        <v/>
      </c>
      <c r="N69" s="2059"/>
      <c r="O69" s="2056" t="str">
        <f t="shared" si="4"/>
        <v/>
      </c>
      <c r="P69" s="2059"/>
      <c r="Q69" s="2056" t="str">
        <f t="shared" si="5"/>
        <v/>
      </c>
      <c r="R69" s="2059"/>
      <c r="S69" s="2056" t="str">
        <f t="shared" si="6"/>
        <v/>
      </c>
      <c r="T69" s="2059"/>
      <c r="U69" s="2056" t="str">
        <f t="shared" si="7"/>
        <v/>
      </c>
      <c r="V69" s="2059"/>
      <c r="W69" s="2056" t="str">
        <f t="shared" si="8"/>
        <v/>
      </c>
      <c r="X69" s="2059"/>
      <c r="Y69" s="2056" t="str">
        <f t="shared" si="9"/>
        <v/>
      </c>
      <c r="Z69" s="2059"/>
      <c r="AA69" s="2056" t="str">
        <f t="shared" si="10"/>
        <v/>
      </c>
      <c r="AB69" s="2059">
        <v>221447</v>
      </c>
      <c r="AC69" s="2056" t="str">
        <f t="shared" si="11"/>
        <v/>
      </c>
      <c r="AD69" s="2059"/>
      <c r="AE69" s="2056" t="str">
        <f t="shared" si="12"/>
        <v/>
      </c>
      <c r="AF69" s="2059"/>
      <c r="AG69" s="2056" t="str">
        <f t="shared" si="13"/>
        <v/>
      </c>
      <c r="AH69" s="2059"/>
      <c r="AI69" s="2056" t="str">
        <f t="shared" si="14"/>
        <v/>
      </c>
      <c r="AJ69" s="2059"/>
      <c r="AK69" s="2056" t="str">
        <f t="shared" si="15"/>
        <v/>
      </c>
      <c r="AL69" s="2059"/>
      <c r="AM69" s="2056" t="str">
        <f t="shared" si="16"/>
        <v/>
      </c>
      <c r="AN69" s="2059"/>
      <c r="AO69" s="2056" t="str">
        <f t="shared" si="17"/>
        <v/>
      </c>
      <c r="AP69" s="2059">
        <v>221447</v>
      </c>
      <c r="AQ69" s="2056" t="str">
        <f t="shared" si="18"/>
        <v/>
      </c>
    </row>
    <row r="70" spans="1:43">
      <c r="A70" s="2048" t="s">
        <v>1289</v>
      </c>
      <c r="B70" s="2054">
        <v>2.4700000000000002</v>
      </c>
      <c r="D70" s="2055">
        <v>92912</v>
      </c>
      <c r="E70" s="2056">
        <f t="shared" si="0"/>
        <v>37616.194331983803</v>
      </c>
      <c r="F70" s="2055"/>
      <c r="G70" s="2056" t="str">
        <f t="shared" si="0"/>
        <v/>
      </c>
      <c r="H70" s="2055"/>
      <c r="I70" s="2056" t="str">
        <f t="shared" si="1"/>
        <v/>
      </c>
      <c r="J70" s="2055"/>
      <c r="K70" s="2056" t="str">
        <f t="shared" si="2"/>
        <v/>
      </c>
      <c r="L70" s="2055"/>
      <c r="M70" s="2056" t="str">
        <f t="shared" si="3"/>
        <v/>
      </c>
      <c r="N70" s="2055"/>
      <c r="O70" s="2056" t="str">
        <f t="shared" si="4"/>
        <v/>
      </c>
      <c r="P70" s="2055"/>
      <c r="Q70" s="2056" t="str">
        <f t="shared" si="5"/>
        <v/>
      </c>
      <c r="R70" s="2055">
        <v>55696</v>
      </c>
      <c r="S70" s="2056">
        <f t="shared" si="6"/>
        <v>22548.987854251009</v>
      </c>
      <c r="T70" s="2055"/>
      <c r="U70" s="2056" t="str">
        <f t="shared" si="7"/>
        <v/>
      </c>
      <c r="V70" s="2055">
        <v>4422</v>
      </c>
      <c r="W70" s="2056">
        <f t="shared" si="8"/>
        <v>1790.2834008097166</v>
      </c>
      <c r="X70" s="2055"/>
      <c r="Y70" s="2056" t="str">
        <f t="shared" si="9"/>
        <v/>
      </c>
      <c r="Z70" s="2055"/>
      <c r="AA70" s="2056" t="str">
        <f t="shared" si="10"/>
        <v/>
      </c>
      <c r="AB70" s="2055"/>
      <c r="AC70" s="2056" t="str">
        <f t="shared" si="11"/>
        <v/>
      </c>
      <c r="AD70" s="2055"/>
      <c r="AE70" s="2056" t="str">
        <f t="shared" si="12"/>
        <v/>
      </c>
      <c r="AF70" s="2055"/>
      <c r="AG70" s="2056" t="str">
        <f t="shared" si="13"/>
        <v/>
      </c>
      <c r="AH70" s="2055"/>
      <c r="AI70" s="2056" t="str">
        <f t="shared" si="14"/>
        <v/>
      </c>
      <c r="AJ70" s="2055">
        <v>9821</v>
      </c>
      <c r="AK70" s="2056">
        <f t="shared" si="15"/>
        <v>3976.1133603238864</v>
      </c>
      <c r="AL70" s="2055"/>
      <c r="AM70" s="2056" t="str">
        <f t="shared" si="16"/>
        <v/>
      </c>
      <c r="AN70" s="2055"/>
      <c r="AO70" s="2056" t="str">
        <f t="shared" si="17"/>
        <v/>
      </c>
      <c r="AP70" s="2055">
        <v>69939</v>
      </c>
      <c r="AQ70" s="2056">
        <f t="shared" si="18"/>
        <v>28315.384615384613</v>
      </c>
    </row>
    <row r="71" spans="1:43">
      <c r="A71" s="2048" t="s">
        <v>1290</v>
      </c>
      <c r="B71" s="2054">
        <v>183.87</v>
      </c>
      <c r="D71" s="2055">
        <v>1642909</v>
      </c>
      <c r="E71" s="2056">
        <f t="shared" si="0"/>
        <v>8935.1661499972797</v>
      </c>
      <c r="F71" s="2055"/>
      <c r="G71" s="2056" t="str">
        <f t="shared" si="0"/>
        <v/>
      </c>
      <c r="H71" s="2055"/>
      <c r="I71" s="2056" t="str">
        <f t="shared" si="1"/>
        <v/>
      </c>
      <c r="J71" s="2055"/>
      <c r="K71" s="2056" t="str">
        <f t="shared" si="2"/>
        <v/>
      </c>
      <c r="L71" s="2055"/>
      <c r="M71" s="2056" t="str">
        <f t="shared" si="3"/>
        <v/>
      </c>
      <c r="N71" s="2055">
        <v>8648</v>
      </c>
      <c r="O71" s="2056">
        <f t="shared" si="4"/>
        <v>47.03322999945614</v>
      </c>
      <c r="P71" s="2055">
        <v>169886</v>
      </c>
      <c r="Q71" s="2056">
        <f t="shared" si="5"/>
        <v>923.94626638385819</v>
      </c>
      <c r="R71" s="2055">
        <v>297437</v>
      </c>
      <c r="S71" s="2056">
        <f t="shared" si="6"/>
        <v>1617.6483385000272</v>
      </c>
      <c r="T71" s="2055"/>
      <c r="U71" s="2056" t="str">
        <f t="shared" si="7"/>
        <v/>
      </c>
      <c r="V71" s="2055">
        <v>238705</v>
      </c>
      <c r="W71" s="2056">
        <f t="shared" si="8"/>
        <v>1298.2270082123239</v>
      </c>
      <c r="X71" s="2055">
        <v>23540</v>
      </c>
      <c r="Y71" s="2056">
        <f t="shared" si="9"/>
        <v>128.02523522053625</v>
      </c>
      <c r="Z71" s="2055">
        <v>12559</v>
      </c>
      <c r="AA71" s="2056">
        <f t="shared" si="10"/>
        <v>68.303692826453471</v>
      </c>
      <c r="AB71" s="2055">
        <v>1239</v>
      </c>
      <c r="AC71" s="2056">
        <f t="shared" si="11"/>
        <v>6.7384565181922005</v>
      </c>
      <c r="AD71" s="2055"/>
      <c r="AE71" s="2056" t="str">
        <f t="shared" si="12"/>
        <v/>
      </c>
      <c r="AF71" s="2055"/>
      <c r="AG71" s="2056" t="str">
        <f t="shared" si="13"/>
        <v/>
      </c>
      <c r="AH71" s="2055"/>
      <c r="AI71" s="2056" t="str">
        <f t="shared" si="14"/>
        <v/>
      </c>
      <c r="AJ71" s="2055">
        <v>8134</v>
      </c>
      <c r="AK71" s="2056">
        <f t="shared" si="15"/>
        <v>44.237776690052755</v>
      </c>
      <c r="AL71" s="2055"/>
      <c r="AM71" s="2056" t="str">
        <f t="shared" si="16"/>
        <v/>
      </c>
      <c r="AN71" s="2055">
        <v>22423</v>
      </c>
      <c r="AO71" s="2056">
        <f t="shared" si="17"/>
        <v>121.95029096644367</v>
      </c>
      <c r="AP71" s="2055">
        <v>782571</v>
      </c>
      <c r="AQ71" s="2056">
        <f t="shared" si="18"/>
        <v>4256.110295317344</v>
      </c>
    </row>
    <row r="72" spans="1:43">
      <c r="A72" s="2058"/>
      <c r="B72">
        <v>23.45</v>
      </c>
      <c r="D72" s="2059">
        <v>115818</v>
      </c>
      <c r="E72" s="2056">
        <f t="shared" si="0"/>
        <v>4938.9339019189765</v>
      </c>
      <c r="F72" s="2059"/>
      <c r="G72" s="2056" t="str">
        <f t="shared" si="0"/>
        <v/>
      </c>
      <c r="H72" s="2059"/>
      <c r="I72" s="2056" t="str">
        <f t="shared" si="1"/>
        <v/>
      </c>
      <c r="J72" s="2059"/>
      <c r="K72" s="2056" t="str">
        <f t="shared" si="2"/>
        <v/>
      </c>
      <c r="L72" s="2059"/>
      <c r="M72" s="2056" t="str">
        <f t="shared" si="3"/>
        <v/>
      </c>
      <c r="N72" s="2059">
        <v>15377</v>
      </c>
      <c r="O72" s="2056">
        <f t="shared" si="4"/>
        <v>655.73560767590618</v>
      </c>
      <c r="P72" s="2059">
        <v>62779</v>
      </c>
      <c r="Q72" s="2056">
        <f t="shared" si="5"/>
        <v>2677.1428571428573</v>
      </c>
      <c r="R72" s="2059">
        <v>9199</v>
      </c>
      <c r="S72" s="2056">
        <f t="shared" si="6"/>
        <v>392.28144989339023</v>
      </c>
      <c r="T72" s="2059"/>
      <c r="U72" s="2056" t="str">
        <f t="shared" si="7"/>
        <v/>
      </c>
      <c r="V72" s="2059">
        <v>19623</v>
      </c>
      <c r="W72" s="2056">
        <f t="shared" si="8"/>
        <v>836.80170575692966</v>
      </c>
      <c r="X72" s="2059">
        <v>4029</v>
      </c>
      <c r="Y72" s="2056">
        <f t="shared" si="9"/>
        <v>171.81236673773986</v>
      </c>
      <c r="Z72" s="2059">
        <v>1227</v>
      </c>
      <c r="AA72" s="2056">
        <f t="shared" si="10"/>
        <v>52.324093816631134</v>
      </c>
      <c r="AB72" s="2059">
        <v>400</v>
      </c>
      <c r="AC72" s="2056">
        <f t="shared" si="11"/>
        <v>17.057569296375267</v>
      </c>
      <c r="AD72" s="2059"/>
      <c r="AE72" s="2056" t="str">
        <f t="shared" si="12"/>
        <v/>
      </c>
      <c r="AF72" s="2059"/>
      <c r="AG72" s="2056" t="str">
        <f t="shared" si="13"/>
        <v/>
      </c>
      <c r="AH72" s="2059"/>
      <c r="AI72" s="2056" t="str">
        <f t="shared" si="14"/>
        <v/>
      </c>
      <c r="AJ72" s="2059">
        <v>16337</v>
      </c>
      <c r="AK72" s="2056">
        <f t="shared" si="15"/>
        <v>696.6737739872068</v>
      </c>
      <c r="AL72" s="2059"/>
      <c r="AM72" s="2056" t="str">
        <f t="shared" si="16"/>
        <v/>
      </c>
      <c r="AN72" s="2059">
        <v>2878</v>
      </c>
      <c r="AO72" s="2056">
        <f t="shared" si="17"/>
        <v>122.72921108742004</v>
      </c>
      <c r="AP72" s="2059">
        <v>131849</v>
      </c>
      <c r="AQ72" s="2056">
        <f t="shared" si="18"/>
        <v>5622.5586353944564</v>
      </c>
    </row>
    <row r="73" spans="1:43">
      <c r="A73" s="2048" t="s">
        <v>1291</v>
      </c>
      <c r="B73" s="2054">
        <v>160.072577884617</v>
      </c>
      <c r="D73" s="2055">
        <v>2186022</v>
      </c>
      <c r="E73" s="2056">
        <f t="shared" si="0"/>
        <v>13656.442776699212</v>
      </c>
      <c r="F73" s="2055">
        <v>2043.4</v>
      </c>
      <c r="G73" s="2056">
        <f t="shared" si="0"/>
        <v>12.765459437236759</v>
      </c>
      <c r="H73" s="2055"/>
      <c r="I73" s="2056" t="str">
        <f t="shared" si="1"/>
        <v/>
      </c>
      <c r="J73" s="2055"/>
      <c r="K73" s="2056" t="str">
        <f t="shared" si="2"/>
        <v/>
      </c>
      <c r="L73" s="2055"/>
      <c r="M73" s="2056" t="str">
        <f t="shared" si="3"/>
        <v/>
      </c>
      <c r="N73" s="2055">
        <v>2381.08</v>
      </c>
      <c r="O73" s="2056">
        <f t="shared" si="4"/>
        <v>14.875002523644758</v>
      </c>
      <c r="P73" s="2055">
        <v>123943.31</v>
      </c>
      <c r="Q73" s="2056">
        <f t="shared" si="5"/>
        <v>774.29445841336053</v>
      </c>
      <c r="R73" s="2055">
        <v>126648.12</v>
      </c>
      <c r="S73" s="2056">
        <f t="shared" si="6"/>
        <v>791.19185605475832</v>
      </c>
      <c r="T73" s="2055">
        <v>10</v>
      </c>
      <c r="U73" s="2056">
        <f t="shared" si="7"/>
        <v>6.2471662118218446E-2</v>
      </c>
      <c r="V73" s="2055">
        <v>167517.65</v>
      </c>
      <c r="W73" s="2056">
        <f t="shared" si="8"/>
        <v>1046.5106029637975</v>
      </c>
      <c r="X73" s="2055"/>
      <c r="Y73" s="2056" t="str">
        <f t="shared" si="9"/>
        <v/>
      </c>
      <c r="Z73" s="2055"/>
      <c r="AA73" s="2056" t="str">
        <f t="shared" si="10"/>
        <v/>
      </c>
      <c r="AB73" s="2055">
        <v>75012.259999999995</v>
      </c>
      <c r="AC73" s="2056">
        <f t="shared" si="11"/>
        <v>468.61405614439525</v>
      </c>
      <c r="AD73" s="2055">
        <v>1759.43</v>
      </c>
      <c r="AE73" s="2056">
        <f t="shared" si="12"/>
        <v>10.991451648065709</v>
      </c>
      <c r="AF73" s="2055"/>
      <c r="AG73" s="2056" t="str">
        <f t="shared" si="13"/>
        <v/>
      </c>
      <c r="AH73" s="2055"/>
      <c r="AI73" s="2056" t="str">
        <f t="shared" si="14"/>
        <v/>
      </c>
      <c r="AJ73" s="2055">
        <v>29102.97</v>
      </c>
      <c r="AK73" s="2056">
        <f t="shared" si="15"/>
        <v>181.81109084766479</v>
      </c>
      <c r="AL73" s="2055"/>
      <c r="AM73" s="2056" t="str">
        <f t="shared" si="16"/>
        <v/>
      </c>
      <c r="AN73" s="2055"/>
      <c r="AO73" s="2056" t="str">
        <f t="shared" si="17"/>
        <v/>
      </c>
      <c r="AP73" s="2055">
        <v>528418.22</v>
      </c>
      <c r="AQ73" s="2056">
        <f t="shared" si="18"/>
        <v>3301.1164496950419</v>
      </c>
    </row>
    <row r="74" spans="1:43">
      <c r="A74" s="2048" t="s">
        <v>1292</v>
      </c>
      <c r="B74" s="2054">
        <v>72.86</v>
      </c>
      <c r="D74" s="2055">
        <v>982927</v>
      </c>
      <c r="E74" s="2056">
        <f t="shared" si="0"/>
        <v>13490.625857809498</v>
      </c>
      <c r="F74" s="2055"/>
      <c r="G74" s="2056" t="str">
        <f t="shared" si="0"/>
        <v/>
      </c>
      <c r="H74" s="2055"/>
      <c r="I74" s="2056" t="str">
        <f t="shared" si="1"/>
        <v/>
      </c>
      <c r="J74" s="2055"/>
      <c r="K74" s="2056" t="str">
        <f t="shared" si="2"/>
        <v/>
      </c>
      <c r="L74" s="2055"/>
      <c r="M74" s="2056" t="str">
        <f t="shared" si="3"/>
        <v/>
      </c>
      <c r="N74" s="2055">
        <v>5394</v>
      </c>
      <c r="O74" s="2056">
        <f t="shared" si="4"/>
        <v>74.032390886631902</v>
      </c>
      <c r="P74" s="2055">
        <v>28447</v>
      </c>
      <c r="Q74" s="2056">
        <f t="shared" si="5"/>
        <v>390.43370848202034</v>
      </c>
      <c r="R74" s="2055">
        <v>94761</v>
      </c>
      <c r="S74" s="2056">
        <f t="shared" si="6"/>
        <v>1300.5901729343948</v>
      </c>
      <c r="T74" s="2055"/>
      <c r="U74" s="2056" t="str">
        <f t="shared" si="7"/>
        <v/>
      </c>
      <c r="V74" s="2055">
        <v>59391</v>
      </c>
      <c r="W74" s="2056">
        <f t="shared" si="8"/>
        <v>815.138622014823</v>
      </c>
      <c r="X74" s="2055">
        <v>24934</v>
      </c>
      <c r="Y74" s="2056">
        <f t="shared" si="9"/>
        <v>342.2179522371672</v>
      </c>
      <c r="Z74" s="2055"/>
      <c r="AA74" s="2056" t="str">
        <f t="shared" si="10"/>
        <v/>
      </c>
      <c r="AB74" s="2055"/>
      <c r="AC74" s="2056" t="str">
        <f t="shared" si="11"/>
        <v/>
      </c>
      <c r="AD74" s="2055"/>
      <c r="AE74" s="2056" t="str">
        <f t="shared" si="12"/>
        <v/>
      </c>
      <c r="AF74" s="2055"/>
      <c r="AG74" s="2056" t="str">
        <f t="shared" si="13"/>
        <v/>
      </c>
      <c r="AH74" s="2055"/>
      <c r="AI74" s="2056" t="str">
        <f t="shared" si="14"/>
        <v/>
      </c>
      <c r="AJ74" s="2055">
        <v>85224</v>
      </c>
      <c r="AK74" s="2056">
        <f t="shared" si="15"/>
        <v>1169.6953060664289</v>
      </c>
      <c r="AL74" s="2055"/>
      <c r="AM74" s="2056" t="str">
        <f t="shared" si="16"/>
        <v/>
      </c>
      <c r="AN74" s="2055"/>
      <c r="AO74" s="2056" t="str">
        <f t="shared" si="17"/>
        <v/>
      </c>
      <c r="AP74" s="2055">
        <v>298151</v>
      </c>
      <c r="AQ74" s="2056">
        <f t="shared" si="18"/>
        <v>4092.1081526214657</v>
      </c>
    </row>
    <row r="75" spans="1:43">
      <c r="A75" s="2058"/>
      <c r="B75">
        <v>79.67</v>
      </c>
      <c r="D75" s="2059">
        <v>565214</v>
      </c>
      <c r="E75" s="2056">
        <f t="shared" si="0"/>
        <v>7094.4395631981924</v>
      </c>
      <c r="F75" s="2059"/>
      <c r="G75" s="2056" t="str">
        <f t="shared" si="0"/>
        <v/>
      </c>
      <c r="H75" s="2059"/>
      <c r="I75" s="2056" t="str">
        <f t="shared" si="1"/>
        <v/>
      </c>
      <c r="J75" s="2059"/>
      <c r="K75" s="2056" t="str">
        <f t="shared" si="2"/>
        <v/>
      </c>
      <c r="L75" s="2059"/>
      <c r="M75" s="2056" t="str">
        <f t="shared" si="3"/>
        <v/>
      </c>
      <c r="N75" s="2059">
        <v>2490</v>
      </c>
      <c r="O75" s="2056">
        <f t="shared" si="4"/>
        <v>31.253922430023849</v>
      </c>
      <c r="P75" s="2059">
        <v>39266</v>
      </c>
      <c r="Q75" s="2056">
        <f t="shared" si="5"/>
        <v>492.85803941257689</v>
      </c>
      <c r="R75" s="2059">
        <v>67867</v>
      </c>
      <c r="S75" s="2056">
        <f t="shared" si="6"/>
        <v>851.85138697125637</v>
      </c>
      <c r="T75" s="2059"/>
      <c r="U75" s="2056" t="str">
        <f t="shared" si="7"/>
        <v/>
      </c>
      <c r="V75" s="2059">
        <v>37727</v>
      </c>
      <c r="W75" s="2056">
        <f t="shared" si="8"/>
        <v>473.54085603112838</v>
      </c>
      <c r="X75" s="2059">
        <v>22591</v>
      </c>
      <c r="Y75" s="2056">
        <f t="shared" si="9"/>
        <v>283.55717334002759</v>
      </c>
      <c r="Z75" s="2059"/>
      <c r="AA75" s="2056" t="str">
        <f t="shared" si="10"/>
        <v/>
      </c>
      <c r="AB75" s="2059"/>
      <c r="AC75" s="2056" t="str">
        <f t="shared" si="11"/>
        <v/>
      </c>
      <c r="AD75" s="2059"/>
      <c r="AE75" s="2056" t="str">
        <f t="shared" si="12"/>
        <v/>
      </c>
      <c r="AF75" s="2059"/>
      <c r="AG75" s="2056" t="str">
        <f t="shared" si="13"/>
        <v/>
      </c>
      <c r="AH75" s="2059"/>
      <c r="AI75" s="2056" t="str">
        <f t="shared" si="14"/>
        <v/>
      </c>
      <c r="AJ75" s="2059">
        <v>36280</v>
      </c>
      <c r="AK75" s="2056">
        <f t="shared" si="15"/>
        <v>455.37843604870091</v>
      </c>
      <c r="AL75" s="2059"/>
      <c r="AM75" s="2056" t="str">
        <f t="shared" si="16"/>
        <v/>
      </c>
      <c r="AN75" s="2059"/>
      <c r="AO75" s="2056" t="str">
        <f t="shared" si="17"/>
        <v/>
      </c>
      <c r="AP75" s="2059">
        <v>206221</v>
      </c>
      <c r="AQ75" s="2056">
        <f t="shared" si="18"/>
        <v>2588.4398142337141</v>
      </c>
    </row>
    <row r="76" spans="1:43">
      <c r="A76" s="2058"/>
      <c r="B76">
        <v>1.36</v>
      </c>
      <c r="D76" s="2059"/>
      <c r="E76" s="2056" t="str">
        <f t="shared" si="0"/>
        <v/>
      </c>
      <c r="F76" s="2059"/>
      <c r="G76" s="2056" t="str">
        <f t="shared" si="0"/>
        <v/>
      </c>
      <c r="H76" s="2059"/>
      <c r="I76" s="2056" t="str">
        <f t="shared" si="1"/>
        <v/>
      </c>
      <c r="J76" s="2059"/>
      <c r="K76" s="2056" t="str">
        <f t="shared" si="2"/>
        <v/>
      </c>
      <c r="L76" s="2059"/>
      <c r="M76" s="2056" t="str">
        <f t="shared" si="3"/>
        <v/>
      </c>
      <c r="N76" s="2059"/>
      <c r="O76" s="2056" t="str">
        <f t="shared" si="4"/>
        <v/>
      </c>
      <c r="P76" s="2059">
        <v>423</v>
      </c>
      <c r="Q76" s="2056">
        <f t="shared" si="5"/>
        <v>311.02941176470586</v>
      </c>
      <c r="R76" s="2059"/>
      <c r="S76" s="2056" t="str">
        <f t="shared" si="6"/>
        <v/>
      </c>
      <c r="T76" s="2059"/>
      <c r="U76" s="2056" t="str">
        <f t="shared" si="7"/>
        <v/>
      </c>
      <c r="V76" s="2059">
        <v>1967</v>
      </c>
      <c r="W76" s="2056">
        <f t="shared" si="8"/>
        <v>1446.3235294117646</v>
      </c>
      <c r="X76" s="2059"/>
      <c r="Y76" s="2056" t="str">
        <f t="shared" si="9"/>
        <v/>
      </c>
      <c r="Z76" s="2059"/>
      <c r="AA76" s="2056" t="str">
        <f t="shared" si="10"/>
        <v/>
      </c>
      <c r="AB76" s="2059"/>
      <c r="AC76" s="2056" t="str">
        <f t="shared" si="11"/>
        <v/>
      </c>
      <c r="AD76" s="2059"/>
      <c r="AE76" s="2056" t="str">
        <f t="shared" si="12"/>
        <v/>
      </c>
      <c r="AF76" s="2059"/>
      <c r="AG76" s="2056" t="str">
        <f t="shared" si="13"/>
        <v/>
      </c>
      <c r="AH76" s="2059"/>
      <c r="AI76" s="2056" t="str">
        <f t="shared" si="14"/>
        <v/>
      </c>
      <c r="AJ76" s="2059">
        <v>1016</v>
      </c>
      <c r="AK76" s="2056">
        <f t="shared" si="15"/>
        <v>747.05882352941171</v>
      </c>
      <c r="AL76" s="2059"/>
      <c r="AM76" s="2056" t="str">
        <f t="shared" si="16"/>
        <v/>
      </c>
      <c r="AN76" s="2059"/>
      <c r="AO76" s="2056" t="str">
        <f t="shared" si="17"/>
        <v/>
      </c>
      <c r="AP76" s="2059">
        <v>3406</v>
      </c>
      <c r="AQ76" s="2056">
        <f t="shared" si="18"/>
        <v>2504.411764705882</v>
      </c>
    </row>
    <row r="77" spans="1:43">
      <c r="A77" s="2058"/>
      <c r="D77" s="2059"/>
      <c r="E77" s="2056" t="str">
        <f t="shared" ref="E77:G140" si="19">IF(OR($B77=0,D77=0),"",D77/$B77)</f>
        <v/>
      </c>
      <c r="F77" s="2059"/>
      <c r="G77" s="2056" t="str">
        <f t="shared" si="19"/>
        <v/>
      </c>
      <c r="H77" s="2059"/>
      <c r="I77" s="2056" t="str">
        <f t="shared" ref="I77:I140" si="20">IF(OR($B77=0,H77=0),"",H77/$B77)</f>
        <v/>
      </c>
      <c r="J77" s="2059"/>
      <c r="K77" s="2056" t="str">
        <f t="shared" ref="K77:K140" si="21">IF(OR($B77=0,J77=0),"",J77/$B77)</f>
        <v/>
      </c>
      <c r="L77" s="2059"/>
      <c r="M77" s="2056" t="str">
        <f t="shared" ref="M77:M140" si="22">IF(OR($B77=0,L77=0),"",L77/$B77)</f>
        <v/>
      </c>
      <c r="N77" s="2059"/>
      <c r="O77" s="2056" t="str">
        <f t="shared" ref="O77:O140" si="23">IF(OR($B77=0,N77=0),"",N77/$B77)</f>
        <v/>
      </c>
      <c r="P77" s="2059"/>
      <c r="Q77" s="2056" t="str">
        <f t="shared" ref="Q77:Q116" si="24">IF(OR($B77=0,P77=0),"",P77/$B77)</f>
        <v/>
      </c>
      <c r="R77" s="2059"/>
      <c r="S77" s="2056" t="str">
        <f t="shared" ref="S77:S140" si="25">IF(OR($B77=0,R77=0),"",R77/$B77)</f>
        <v/>
      </c>
      <c r="T77" s="2059"/>
      <c r="U77" s="2056" t="str">
        <f t="shared" ref="U77:U140" si="26">IF(OR($B77=0,T77=0),"",T77/$B77)</f>
        <v/>
      </c>
      <c r="V77" s="2059"/>
      <c r="W77" s="2056" t="str">
        <f t="shared" ref="W77:W125" si="27">IF(OR($B77=0,V77=0),"",V77/$B77)</f>
        <v/>
      </c>
      <c r="X77" s="2059"/>
      <c r="Y77" s="2056" t="str">
        <f t="shared" ref="Y77:Y140" si="28">IF(OR($B77=0,X77=0),"",X77/$B77)</f>
        <v/>
      </c>
      <c r="Z77" s="2059"/>
      <c r="AA77" s="2056" t="str">
        <f t="shared" ref="AA77:AA140" si="29">IF(OR($B77=0,Z77=0),"",Z77/$B77)</f>
        <v/>
      </c>
      <c r="AB77" s="2059"/>
      <c r="AC77" s="2056" t="str">
        <f t="shared" ref="AC77:AC140" si="30">IF(OR($B77=0,AB77=0),"",AB77/$B77)</f>
        <v/>
      </c>
      <c r="AD77" s="2059">
        <v>49648</v>
      </c>
      <c r="AE77" s="2056" t="str">
        <f t="shared" ref="AE77:AE140" si="31">IF(OR($B77=0,AD77=0),"",AD77/$B77)</f>
        <v/>
      </c>
      <c r="AF77" s="2059"/>
      <c r="AG77" s="2056" t="str">
        <f t="shared" ref="AG77:AG140" si="32">IF(OR($B77=0,AF77=0),"",AF77/$B77)</f>
        <v/>
      </c>
      <c r="AH77" s="2059"/>
      <c r="AI77" s="2056" t="str">
        <f t="shared" ref="AI77:AI140" si="33">IF(OR($B77=0,AH77=0),"",AH77/$B77)</f>
        <v/>
      </c>
      <c r="AJ77" s="2059"/>
      <c r="AK77" s="2056" t="str">
        <f t="shared" ref="AK77:AK140" si="34">IF(OR($B77=0,AJ77=0),"",AJ77/$B77)</f>
        <v/>
      </c>
      <c r="AL77" s="2059"/>
      <c r="AM77" s="2056" t="str">
        <f t="shared" ref="AM77:AM140" si="35">IF(OR($B77=0,AL77=0),"",AL77/$B77)</f>
        <v/>
      </c>
      <c r="AN77" s="2059"/>
      <c r="AO77" s="2056" t="str">
        <f t="shared" ref="AO77:AO140" si="36">IF(OR($B77=0,AN77=0),"",AN77/$B77)</f>
        <v/>
      </c>
      <c r="AP77" s="2059">
        <v>49648</v>
      </c>
      <c r="AQ77" s="2056" t="str">
        <f t="shared" ref="AQ77:AQ140" si="37">IF(OR($B77=0,AP77=0),"",AP77/$B77)</f>
        <v/>
      </c>
    </row>
    <row r="78" spans="1:43">
      <c r="A78" s="2058"/>
      <c r="D78" s="2059"/>
      <c r="E78" s="2056" t="str">
        <f t="shared" si="19"/>
        <v/>
      </c>
      <c r="F78" s="2059"/>
      <c r="G78" s="2056" t="str">
        <f t="shared" si="19"/>
        <v/>
      </c>
      <c r="H78" s="2059"/>
      <c r="I78" s="2056" t="str">
        <f t="shared" si="20"/>
        <v/>
      </c>
      <c r="J78" s="2059"/>
      <c r="K78" s="2056" t="str">
        <f t="shared" si="21"/>
        <v/>
      </c>
      <c r="L78" s="2059"/>
      <c r="M78" s="2056" t="str">
        <f t="shared" si="22"/>
        <v/>
      </c>
      <c r="N78" s="2059"/>
      <c r="O78" s="2056" t="str">
        <f t="shared" si="23"/>
        <v/>
      </c>
      <c r="P78" s="2059"/>
      <c r="Q78" s="2056" t="str">
        <f t="shared" si="24"/>
        <v/>
      </c>
      <c r="R78" s="2059"/>
      <c r="S78" s="2056" t="str">
        <f t="shared" si="25"/>
        <v/>
      </c>
      <c r="T78" s="2059"/>
      <c r="U78" s="2056" t="str">
        <f t="shared" si="26"/>
        <v/>
      </c>
      <c r="V78" s="2059"/>
      <c r="W78" s="2056" t="str">
        <f t="shared" si="27"/>
        <v/>
      </c>
      <c r="X78" s="2059"/>
      <c r="Y78" s="2056" t="str">
        <f t="shared" si="28"/>
        <v/>
      </c>
      <c r="Z78" s="2059"/>
      <c r="AA78" s="2056" t="str">
        <f t="shared" si="29"/>
        <v/>
      </c>
      <c r="AB78" s="2059"/>
      <c r="AC78" s="2056" t="str">
        <f t="shared" si="30"/>
        <v/>
      </c>
      <c r="AD78" s="2059">
        <v>41532</v>
      </c>
      <c r="AE78" s="2056" t="str">
        <f t="shared" si="31"/>
        <v/>
      </c>
      <c r="AF78" s="2059"/>
      <c r="AG78" s="2056" t="str">
        <f t="shared" si="32"/>
        <v/>
      </c>
      <c r="AH78" s="2059"/>
      <c r="AI78" s="2056" t="str">
        <f t="shared" si="33"/>
        <v/>
      </c>
      <c r="AJ78" s="2059"/>
      <c r="AK78" s="2056" t="str">
        <f t="shared" si="34"/>
        <v/>
      </c>
      <c r="AL78" s="2059"/>
      <c r="AM78" s="2056" t="str">
        <f t="shared" si="35"/>
        <v/>
      </c>
      <c r="AN78" s="2059"/>
      <c r="AO78" s="2056" t="str">
        <f t="shared" si="36"/>
        <v/>
      </c>
      <c r="AP78" s="2059">
        <v>41532</v>
      </c>
      <c r="AQ78" s="2056" t="str">
        <f t="shared" si="37"/>
        <v/>
      </c>
    </row>
    <row r="79" spans="1:43">
      <c r="A79" s="2048" t="s">
        <v>1293</v>
      </c>
      <c r="B79" s="2054">
        <v>98.84</v>
      </c>
      <c r="D79" s="2055"/>
      <c r="E79" s="2056" t="str">
        <f t="shared" si="19"/>
        <v/>
      </c>
      <c r="F79" s="2055">
        <v>170901</v>
      </c>
      <c r="G79" s="2056">
        <f t="shared" si="19"/>
        <v>1729.0671792796438</v>
      </c>
      <c r="H79" s="2055"/>
      <c r="I79" s="2056" t="str">
        <f t="shared" si="20"/>
        <v/>
      </c>
      <c r="J79" s="2055"/>
      <c r="K79" s="2056" t="str">
        <f t="shared" si="21"/>
        <v/>
      </c>
      <c r="L79" s="2055"/>
      <c r="M79" s="2056" t="str">
        <f t="shared" si="22"/>
        <v/>
      </c>
      <c r="N79" s="2055">
        <v>2746</v>
      </c>
      <c r="O79" s="2056">
        <f t="shared" si="23"/>
        <v>27.782274382840953</v>
      </c>
      <c r="P79" s="2055">
        <v>36093</v>
      </c>
      <c r="Q79" s="2056">
        <f t="shared" si="24"/>
        <v>365.16592472683124</v>
      </c>
      <c r="R79" s="2055">
        <v>194759</v>
      </c>
      <c r="S79" s="2056">
        <f t="shared" si="25"/>
        <v>1970.4471873735329</v>
      </c>
      <c r="T79" s="2055">
        <v>3099</v>
      </c>
      <c r="U79" s="2056">
        <f t="shared" si="26"/>
        <v>31.353702954269526</v>
      </c>
      <c r="V79" s="2055">
        <v>193702</v>
      </c>
      <c r="W79" s="2056">
        <f t="shared" si="27"/>
        <v>1959.7531363820315</v>
      </c>
      <c r="X79" s="2055"/>
      <c r="Y79" s="2056" t="str">
        <f t="shared" si="28"/>
        <v/>
      </c>
      <c r="Z79" s="2055">
        <v>23984</v>
      </c>
      <c r="AA79" s="2056">
        <f t="shared" si="29"/>
        <v>242.65479562929988</v>
      </c>
      <c r="AB79" s="2055"/>
      <c r="AC79" s="2056" t="str">
        <f t="shared" si="30"/>
        <v/>
      </c>
      <c r="AD79" s="2055">
        <v>251777</v>
      </c>
      <c r="AE79" s="2056">
        <f t="shared" si="31"/>
        <v>2547.3188992310806</v>
      </c>
      <c r="AF79" s="2055"/>
      <c r="AG79" s="2056" t="str">
        <f t="shared" si="32"/>
        <v/>
      </c>
      <c r="AH79" s="2055"/>
      <c r="AI79" s="2056" t="str">
        <f t="shared" si="33"/>
        <v/>
      </c>
      <c r="AJ79" s="2055">
        <v>16690</v>
      </c>
      <c r="AK79" s="2056">
        <f t="shared" si="34"/>
        <v>168.85876163496559</v>
      </c>
      <c r="AL79" s="2055"/>
      <c r="AM79" s="2056" t="str">
        <f t="shared" si="35"/>
        <v/>
      </c>
      <c r="AN79" s="2055"/>
      <c r="AO79" s="2056" t="str">
        <f t="shared" si="36"/>
        <v/>
      </c>
      <c r="AP79" s="2055">
        <v>893751</v>
      </c>
      <c r="AQ79" s="2056">
        <f t="shared" si="37"/>
        <v>9042.4018615944951</v>
      </c>
    </row>
    <row r="80" spans="1:43">
      <c r="A80" s="2058"/>
      <c r="D80" s="2059">
        <v>623869</v>
      </c>
      <c r="E80" s="2056" t="str">
        <f t="shared" si="19"/>
        <v/>
      </c>
      <c r="F80" s="2059"/>
      <c r="G80" s="2056" t="str">
        <f t="shared" si="19"/>
        <v/>
      </c>
      <c r="H80" s="2059"/>
      <c r="I80" s="2056" t="str">
        <f t="shared" si="20"/>
        <v/>
      </c>
      <c r="J80" s="2059"/>
      <c r="K80" s="2056" t="str">
        <f t="shared" si="21"/>
        <v/>
      </c>
      <c r="L80" s="2059"/>
      <c r="M80" s="2056" t="str">
        <f t="shared" si="22"/>
        <v/>
      </c>
      <c r="N80" s="2059"/>
      <c r="O80" s="2056" t="str">
        <f t="shared" si="23"/>
        <v/>
      </c>
      <c r="P80" s="2059"/>
      <c r="Q80" s="2056" t="str">
        <f t="shared" si="24"/>
        <v/>
      </c>
      <c r="R80" s="2059"/>
      <c r="S80" s="2056" t="str">
        <f t="shared" si="25"/>
        <v/>
      </c>
      <c r="T80" s="2059"/>
      <c r="U80" s="2056" t="str">
        <f t="shared" si="26"/>
        <v/>
      </c>
      <c r="V80" s="2059"/>
      <c r="W80" s="2056" t="str">
        <f t="shared" si="27"/>
        <v/>
      </c>
      <c r="X80" s="2059"/>
      <c r="Y80" s="2056" t="str">
        <f t="shared" si="28"/>
        <v/>
      </c>
      <c r="Z80" s="2059"/>
      <c r="AA80" s="2056" t="str">
        <f t="shared" si="29"/>
        <v/>
      </c>
      <c r="AB80" s="2059"/>
      <c r="AC80" s="2056" t="str">
        <f t="shared" si="30"/>
        <v/>
      </c>
      <c r="AD80" s="2059"/>
      <c r="AE80" s="2056" t="str">
        <f t="shared" si="31"/>
        <v/>
      </c>
      <c r="AF80" s="2059"/>
      <c r="AG80" s="2056" t="str">
        <f t="shared" si="32"/>
        <v/>
      </c>
      <c r="AH80" s="2059"/>
      <c r="AI80" s="2056" t="str">
        <f t="shared" si="33"/>
        <v/>
      </c>
      <c r="AJ80" s="2059"/>
      <c r="AK80" s="2056" t="str">
        <f t="shared" si="34"/>
        <v/>
      </c>
      <c r="AL80" s="2059"/>
      <c r="AM80" s="2056" t="str">
        <f t="shared" si="35"/>
        <v/>
      </c>
      <c r="AN80" s="2059"/>
      <c r="AO80" s="2056" t="str">
        <f t="shared" si="36"/>
        <v/>
      </c>
      <c r="AP80" s="2059"/>
      <c r="AQ80" s="2056" t="str">
        <f t="shared" si="37"/>
        <v/>
      </c>
    </row>
    <row r="81" spans="1:43">
      <c r="A81" s="2058"/>
      <c r="D81" s="2059">
        <v>39001</v>
      </c>
      <c r="E81" s="2056" t="str">
        <f t="shared" si="19"/>
        <v/>
      </c>
      <c r="F81" s="2059"/>
      <c r="G81" s="2056" t="str">
        <f t="shared" si="19"/>
        <v/>
      </c>
      <c r="H81" s="2059"/>
      <c r="I81" s="2056" t="str">
        <f t="shared" si="20"/>
        <v/>
      </c>
      <c r="J81" s="2059"/>
      <c r="K81" s="2056" t="str">
        <f t="shared" si="21"/>
        <v/>
      </c>
      <c r="L81" s="2059"/>
      <c r="M81" s="2056" t="str">
        <f t="shared" si="22"/>
        <v/>
      </c>
      <c r="N81" s="2059"/>
      <c r="O81" s="2056" t="str">
        <f t="shared" si="23"/>
        <v/>
      </c>
      <c r="P81" s="2059"/>
      <c r="Q81" s="2056" t="str">
        <f t="shared" si="24"/>
        <v/>
      </c>
      <c r="R81" s="2059"/>
      <c r="S81" s="2056" t="str">
        <f t="shared" si="25"/>
        <v/>
      </c>
      <c r="T81" s="2059"/>
      <c r="U81" s="2056" t="str">
        <f t="shared" si="26"/>
        <v/>
      </c>
      <c r="V81" s="2059"/>
      <c r="W81" s="2056" t="str">
        <f t="shared" si="27"/>
        <v/>
      </c>
      <c r="X81" s="2059"/>
      <c r="Y81" s="2056" t="str">
        <f t="shared" si="28"/>
        <v/>
      </c>
      <c r="Z81" s="2059"/>
      <c r="AA81" s="2056" t="str">
        <f t="shared" si="29"/>
        <v/>
      </c>
      <c r="AB81" s="2059"/>
      <c r="AC81" s="2056" t="str">
        <f t="shared" si="30"/>
        <v/>
      </c>
      <c r="AD81" s="2059">
        <v>112415</v>
      </c>
      <c r="AE81" s="2056" t="str">
        <f t="shared" si="31"/>
        <v/>
      </c>
      <c r="AF81" s="2059"/>
      <c r="AG81" s="2056" t="str">
        <f t="shared" si="32"/>
        <v/>
      </c>
      <c r="AH81" s="2059"/>
      <c r="AI81" s="2056" t="str">
        <f t="shared" si="33"/>
        <v/>
      </c>
      <c r="AJ81" s="2059"/>
      <c r="AK81" s="2056" t="str">
        <f t="shared" si="34"/>
        <v/>
      </c>
      <c r="AL81" s="2059"/>
      <c r="AM81" s="2056" t="str">
        <f t="shared" si="35"/>
        <v/>
      </c>
      <c r="AN81" s="2059"/>
      <c r="AO81" s="2056" t="str">
        <f t="shared" si="36"/>
        <v/>
      </c>
      <c r="AP81" s="2059">
        <v>112415</v>
      </c>
      <c r="AQ81" s="2056" t="str">
        <f t="shared" si="37"/>
        <v/>
      </c>
    </row>
    <row r="82" spans="1:43">
      <c r="A82" s="2058"/>
      <c r="B82">
        <v>83.69</v>
      </c>
      <c r="D82" s="2059">
        <v>21538</v>
      </c>
      <c r="E82" s="2056">
        <f t="shared" si="19"/>
        <v>257.35452264308759</v>
      </c>
      <c r="F82" s="2059">
        <v>4864</v>
      </c>
      <c r="G82" s="2056">
        <f t="shared" si="19"/>
        <v>58.119249611662084</v>
      </c>
      <c r="H82" s="2059"/>
      <c r="I82" s="2056" t="str">
        <f t="shared" si="20"/>
        <v/>
      </c>
      <c r="J82" s="2059"/>
      <c r="K82" s="2056" t="str">
        <f t="shared" si="21"/>
        <v/>
      </c>
      <c r="L82" s="2059"/>
      <c r="M82" s="2056" t="str">
        <f t="shared" si="22"/>
        <v/>
      </c>
      <c r="N82" s="2059">
        <v>2103</v>
      </c>
      <c r="O82" s="2056">
        <f t="shared" si="23"/>
        <v>25.128450233002749</v>
      </c>
      <c r="P82" s="2059">
        <v>22800</v>
      </c>
      <c r="Q82" s="2056">
        <f t="shared" si="24"/>
        <v>272.43398255466604</v>
      </c>
      <c r="R82" s="2059">
        <v>152428</v>
      </c>
      <c r="S82" s="2056">
        <f t="shared" si="25"/>
        <v>1821.3406619667821</v>
      </c>
      <c r="T82" s="2059">
        <v>368</v>
      </c>
      <c r="U82" s="2056">
        <f t="shared" si="26"/>
        <v>4.3971800693033813</v>
      </c>
      <c r="V82" s="2059">
        <v>140870</v>
      </c>
      <c r="W82" s="2056">
        <f t="shared" si="27"/>
        <v>1683.2357509857809</v>
      </c>
      <c r="X82" s="2059"/>
      <c r="Y82" s="2056" t="str">
        <f t="shared" si="28"/>
        <v/>
      </c>
      <c r="Z82" s="2059">
        <v>24730</v>
      </c>
      <c r="AA82" s="2056">
        <f t="shared" si="29"/>
        <v>295.49528020074086</v>
      </c>
      <c r="AB82" s="2059"/>
      <c r="AC82" s="2056" t="str">
        <f t="shared" si="30"/>
        <v/>
      </c>
      <c r="AD82" s="2059">
        <v>348168</v>
      </c>
      <c r="AE82" s="2056">
        <f t="shared" si="31"/>
        <v>4160.2102999163581</v>
      </c>
      <c r="AF82" s="2059"/>
      <c r="AG82" s="2056" t="str">
        <f t="shared" si="32"/>
        <v/>
      </c>
      <c r="AH82" s="2059"/>
      <c r="AI82" s="2056" t="str">
        <f t="shared" si="33"/>
        <v/>
      </c>
      <c r="AJ82" s="2059">
        <v>7179</v>
      </c>
      <c r="AK82" s="2056">
        <f t="shared" si="34"/>
        <v>85.780857928067874</v>
      </c>
      <c r="AL82" s="2059"/>
      <c r="AM82" s="2056" t="str">
        <f t="shared" si="35"/>
        <v/>
      </c>
      <c r="AN82" s="2059"/>
      <c r="AO82" s="2056" t="str">
        <f t="shared" si="36"/>
        <v/>
      </c>
      <c r="AP82" s="2059">
        <v>703510</v>
      </c>
      <c r="AQ82" s="2056">
        <f t="shared" si="37"/>
        <v>8406.1417134663643</v>
      </c>
    </row>
    <row r="83" spans="1:43">
      <c r="A83" s="2058"/>
      <c r="D83" s="2059">
        <v>991353</v>
      </c>
      <c r="E83" s="2056" t="str">
        <f t="shared" si="19"/>
        <v/>
      </c>
      <c r="F83" s="2059"/>
      <c r="G83" s="2056" t="str">
        <f t="shared" si="19"/>
        <v/>
      </c>
      <c r="H83" s="2059"/>
      <c r="I83" s="2056" t="str">
        <f t="shared" si="20"/>
        <v/>
      </c>
      <c r="J83" s="2059"/>
      <c r="K83" s="2056" t="str">
        <f t="shared" si="21"/>
        <v/>
      </c>
      <c r="L83" s="2059"/>
      <c r="M83" s="2056" t="str">
        <f t="shared" si="22"/>
        <v/>
      </c>
      <c r="N83" s="2059"/>
      <c r="O83" s="2056" t="str">
        <f t="shared" si="23"/>
        <v/>
      </c>
      <c r="P83" s="2059"/>
      <c r="Q83" s="2056" t="str">
        <f t="shared" si="24"/>
        <v/>
      </c>
      <c r="R83" s="2059"/>
      <c r="S83" s="2056" t="str">
        <f t="shared" si="25"/>
        <v/>
      </c>
      <c r="T83" s="2059"/>
      <c r="U83" s="2056" t="str">
        <f t="shared" si="26"/>
        <v/>
      </c>
      <c r="V83" s="2059"/>
      <c r="W83" s="2056" t="str">
        <f t="shared" si="27"/>
        <v/>
      </c>
      <c r="X83" s="2059"/>
      <c r="Y83" s="2056" t="str">
        <f t="shared" si="28"/>
        <v/>
      </c>
      <c r="Z83" s="2059"/>
      <c r="AA83" s="2056" t="str">
        <f t="shared" si="29"/>
        <v/>
      </c>
      <c r="AB83" s="2059"/>
      <c r="AC83" s="2056" t="str">
        <f t="shared" si="30"/>
        <v/>
      </c>
      <c r="AD83" s="2059"/>
      <c r="AE83" s="2056" t="str">
        <f t="shared" si="31"/>
        <v/>
      </c>
      <c r="AF83" s="2059"/>
      <c r="AG83" s="2056" t="str">
        <f t="shared" si="32"/>
        <v/>
      </c>
      <c r="AH83" s="2059"/>
      <c r="AI83" s="2056" t="str">
        <f t="shared" si="33"/>
        <v/>
      </c>
      <c r="AJ83" s="2059"/>
      <c r="AK83" s="2056" t="str">
        <f t="shared" si="34"/>
        <v/>
      </c>
      <c r="AL83" s="2059"/>
      <c r="AM83" s="2056" t="str">
        <f t="shared" si="35"/>
        <v/>
      </c>
      <c r="AN83" s="2059"/>
      <c r="AO83" s="2056" t="str">
        <f t="shared" si="36"/>
        <v/>
      </c>
      <c r="AP83" s="2059"/>
      <c r="AQ83" s="2056" t="str">
        <f t="shared" si="37"/>
        <v/>
      </c>
    </row>
    <row r="84" spans="1:43">
      <c r="A84" s="2058"/>
      <c r="D84" s="2059">
        <v>114599</v>
      </c>
      <c r="E84" s="2056" t="str">
        <f t="shared" si="19"/>
        <v/>
      </c>
      <c r="F84" s="2059"/>
      <c r="G84" s="2056" t="str">
        <f t="shared" si="19"/>
        <v/>
      </c>
      <c r="H84" s="2059"/>
      <c r="I84" s="2056" t="str">
        <f t="shared" si="20"/>
        <v/>
      </c>
      <c r="J84" s="2059"/>
      <c r="K84" s="2056" t="str">
        <f t="shared" si="21"/>
        <v/>
      </c>
      <c r="L84" s="2059"/>
      <c r="M84" s="2056" t="str">
        <f t="shared" si="22"/>
        <v/>
      </c>
      <c r="N84" s="2059"/>
      <c r="O84" s="2056" t="str">
        <f t="shared" si="23"/>
        <v/>
      </c>
      <c r="P84" s="2059"/>
      <c r="Q84" s="2056" t="str">
        <f t="shared" si="24"/>
        <v/>
      </c>
      <c r="R84" s="2059"/>
      <c r="S84" s="2056" t="str">
        <f t="shared" si="25"/>
        <v/>
      </c>
      <c r="T84" s="2059"/>
      <c r="U84" s="2056" t="str">
        <f t="shared" si="26"/>
        <v/>
      </c>
      <c r="V84" s="2059"/>
      <c r="W84" s="2056" t="str">
        <f t="shared" si="27"/>
        <v/>
      </c>
      <c r="X84" s="2059"/>
      <c r="Y84" s="2056" t="str">
        <f t="shared" si="28"/>
        <v/>
      </c>
      <c r="Z84" s="2059"/>
      <c r="AA84" s="2056" t="str">
        <f t="shared" si="29"/>
        <v/>
      </c>
      <c r="AB84" s="2059"/>
      <c r="AC84" s="2056" t="str">
        <f t="shared" si="30"/>
        <v/>
      </c>
      <c r="AD84" s="2059">
        <v>88746</v>
      </c>
      <c r="AE84" s="2056" t="str">
        <f t="shared" si="31"/>
        <v/>
      </c>
      <c r="AF84" s="2059"/>
      <c r="AG84" s="2056" t="str">
        <f t="shared" si="32"/>
        <v/>
      </c>
      <c r="AH84" s="2059"/>
      <c r="AI84" s="2056" t="str">
        <f t="shared" si="33"/>
        <v/>
      </c>
      <c r="AJ84" s="2059"/>
      <c r="AK84" s="2056" t="str">
        <f t="shared" si="34"/>
        <v/>
      </c>
      <c r="AL84" s="2059"/>
      <c r="AM84" s="2056" t="str">
        <f t="shared" si="35"/>
        <v/>
      </c>
      <c r="AN84" s="2059"/>
      <c r="AO84" s="2056" t="str">
        <f t="shared" si="36"/>
        <v/>
      </c>
      <c r="AP84" s="2059">
        <v>88746</v>
      </c>
      <c r="AQ84" s="2056" t="str">
        <f t="shared" si="37"/>
        <v/>
      </c>
    </row>
    <row r="85" spans="1:43">
      <c r="A85" s="2048" t="s">
        <v>1294</v>
      </c>
      <c r="B85" s="2054">
        <v>102.14757</v>
      </c>
      <c r="D85" s="2055">
        <v>466509</v>
      </c>
      <c r="E85" s="2056">
        <f t="shared" si="19"/>
        <v>4567.0102578064261</v>
      </c>
      <c r="F85" s="2055">
        <v>377086</v>
      </c>
      <c r="G85" s="2056">
        <f t="shared" si="19"/>
        <v>3691.5807199329361</v>
      </c>
      <c r="H85" s="2055"/>
      <c r="I85" s="2056" t="str">
        <f t="shared" si="20"/>
        <v/>
      </c>
      <c r="J85" s="2055"/>
      <c r="K85" s="2056" t="str">
        <f t="shared" si="21"/>
        <v/>
      </c>
      <c r="L85" s="2055">
        <v>668915</v>
      </c>
      <c r="M85" s="2056">
        <f t="shared" si="22"/>
        <v>6548.51603420424</v>
      </c>
      <c r="N85" s="2055">
        <v>772</v>
      </c>
      <c r="O85" s="2056">
        <f t="shared" si="23"/>
        <v>7.5576932471325549</v>
      </c>
      <c r="P85" s="2055">
        <v>114396</v>
      </c>
      <c r="Q85" s="2056">
        <f t="shared" si="24"/>
        <v>1119.9091667085179</v>
      </c>
      <c r="R85" s="2055">
        <v>97394</v>
      </c>
      <c r="S85" s="2056">
        <f t="shared" si="25"/>
        <v>953.46369962594315</v>
      </c>
      <c r="T85" s="2055"/>
      <c r="U85" s="2056" t="str">
        <f t="shared" si="26"/>
        <v/>
      </c>
      <c r="V85" s="2055"/>
      <c r="W85" s="2056" t="str">
        <f t="shared" si="27"/>
        <v/>
      </c>
      <c r="X85" s="2055"/>
      <c r="Y85" s="2056" t="str">
        <f t="shared" si="28"/>
        <v/>
      </c>
      <c r="Z85" s="2055">
        <v>229</v>
      </c>
      <c r="AA85" s="2056">
        <f t="shared" si="29"/>
        <v>2.2418546031002009</v>
      </c>
      <c r="AB85" s="2055"/>
      <c r="AC85" s="2056" t="str">
        <f t="shared" si="30"/>
        <v/>
      </c>
      <c r="AD85" s="2055">
        <v>1587</v>
      </c>
      <c r="AE85" s="2056">
        <f t="shared" si="31"/>
        <v>15.536346092227157</v>
      </c>
      <c r="AF85" s="2055"/>
      <c r="AG85" s="2056" t="str">
        <f t="shared" si="32"/>
        <v/>
      </c>
      <c r="AH85" s="2055"/>
      <c r="AI85" s="2056" t="str">
        <f t="shared" si="33"/>
        <v/>
      </c>
      <c r="AJ85" s="2055">
        <v>5486</v>
      </c>
      <c r="AK85" s="2056">
        <f t="shared" si="34"/>
        <v>53.706612893483417</v>
      </c>
      <c r="AL85" s="2055"/>
      <c r="AM85" s="2056" t="str">
        <f t="shared" si="35"/>
        <v/>
      </c>
      <c r="AN85" s="2055"/>
      <c r="AO85" s="2056" t="str">
        <f t="shared" si="36"/>
        <v/>
      </c>
      <c r="AP85" s="2055">
        <v>1265865</v>
      </c>
      <c r="AQ85" s="2056">
        <f t="shared" si="37"/>
        <v>12392.51212730758</v>
      </c>
    </row>
    <row r="86" spans="1:43">
      <c r="A86" s="2058"/>
      <c r="D86" s="2059"/>
      <c r="E86" s="2056" t="str">
        <f t="shared" si="19"/>
        <v/>
      </c>
      <c r="F86" s="2059"/>
      <c r="G86" s="2056" t="str">
        <f t="shared" si="19"/>
        <v/>
      </c>
      <c r="H86" s="2059"/>
      <c r="I86" s="2056" t="str">
        <f t="shared" si="20"/>
        <v/>
      </c>
      <c r="J86" s="2059"/>
      <c r="K86" s="2056" t="str">
        <f t="shared" si="21"/>
        <v/>
      </c>
      <c r="L86" s="2059"/>
      <c r="M86" s="2056" t="str">
        <f t="shared" si="22"/>
        <v/>
      </c>
      <c r="N86" s="2059"/>
      <c r="O86" s="2056" t="str">
        <f t="shared" si="23"/>
        <v/>
      </c>
      <c r="P86" s="2059"/>
      <c r="Q86" s="2056" t="str">
        <f t="shared" si="24"/>
        <v/>
      </c>
      <c r="R86" s="2059"/>
      <c r="S86" s="2056" t="str">
        <f t="shared" si="25"/>
        <v/>
      </c>
      <c r="T86" s="2059"/>
      <c r="U86" s="2056" t="str">
        <f t="shared" si="26"/>
        <v/>
      </c>
      <c r="V86" s="2059"/>
      <c r="W86" s="2056" t="str">
        <f t="shared" si="27"/>
        <v/>
      </c>
      <c r="X86" s="2059"/>
      <c r="Y86" s="2056" t="str">
        <f t="shared" si="28"/>
        <v/>
      </c>
      <c r="Z86" s="2059"/>
      <c r="AA86" s="2056" t="str">
        <f t="shared" si="29"/>
        <v/>
      </c>
      <c r="AB86" s="2059"/>
      <c r="AC86" s="2056" t="str">
        <f t="shared" si="30"/>
        <v/>
      </c>
      <c r="AD86" s="2059">
        <v>73900</v>
      </c>
      <c r="AE86" s="2056" t="str">
        <f t="shared" si="31"/>
        <v/>
      </c>
      <c r="AF86" s="2059"/>
      <c r="AG86" s="2056" t="str">
        <f t="shared" si="32"/>
        <v/>
      </c>
      <c r="AH86" s="2059"/>
      <c r="AI86" s="2056" t="str">
        <f t="shared" si="33"/>
        <v/>
      </c>
      <c r="AJ86" s="2059"/>
      <c r="AK86" s="2056" t="str">
        <f t="shared" si="34"/>
        <v/>
      </c>
      <c r="AL86" s="2059"/>
      <c r="AM86" s="2056" t="str">
        <f t="shared" si="35"/>
        <v/>
      </c>
      <c r="AN86" s="2059"/>
      <c r="AO86" s="2056" t="str">
        <f t="shared" si="36"/>
        <v/>
      </c>
      <c r="AP86" s="2059">
        <v>73900</v>
      </c>
      <c r="AQ86" s="2056" t="str">
        <f t="shared" si="37"/>
        <v/>
      </c>
    </row>
    <row r="87" spans="1:43">
      <c r="A87" s="2048" t="s">
        <v>1295</v>
      </c>
      <c r="B87" s="2054"/>
      <c r="D87" s="2055"/>
      <c r="E87" s="2056" t="str">
        <f t="shared" si="19"/>
        <v/>
      </c>
      <c r="F87" s="2055"/>
      <c r="G87" s="2056" t="str">
        <f t="shared" si="19"/>
        <v/>
      </c>
      <c r="H87" s="2055"/>
      <c r="I87" s="2056" t="str">
        <f t="shared" si="20"/>
        <v/>
      </c>
      <c r="J87" s="2055"/>
      <c r="K87" s="2056" t="str">
        <f t="shared" si="21"/>
        <v/>
      </c>
      <c r="L87" s="2055"/>
      <c r="M87" s="2056" t="str">
        <f t="shared" si="22"/>
        <v/>
      </c>
      <c r="N87" s="2055"/>
      <c r="O87" s="2056" t="str">
        <f t="shared" si="23"/>
        <v/>
      </c>
      <c r="P87" s="2055"/>
      <c r="Q87" s="2056" t="str">
        <f t="shared" si="24"/>
        <v/>
      </c>
      <c r="R87" s="2055"/>
      <c r="S87" s="2056" t="str">
        <f t="shared" si="25"/>
        <v/>
      </c>
      <c r="T87" s="2055">
        <v>1</v>
      </c>
      <c r="U87" s="2056" t="str">
        <f t="shared" si="26"/>
        <v/>
      </c>
      <c r="V87" s="2055"/>
      <c r="W87" s="2056" t="str">
        <f t="shared" si="27"/>
        <v/>
      </c>
      <c r="X87" s="2055"/>
      <c r="Y87" s="2056" t="str">
        <f t="shared" si="28"/>
        <v/>
      </c>
      <c r="Z87" s="2055">
        <v>7</v>
      </c>
      <c r="AA87" s="2056" t="str">
        <f t="shared" si="29"/>
        <v/>
      </c>
      <c r="AB87" s="2055"/>
      <c r="AC87" s="2056" t="str">
        <f t="shared" si="30"/>
        <v/>
      </c>
      <c r="AD87" s="2055">
        <v>28031</v>
      </c>
      <c r="AE87" s="2056" t="str">
        <f t="shared" si="31"/>
        <v/>
      </c>
      <c r="AF87" s="2055"/>
      <c r="AG87" s="2056" t="str">
        <f t="shared" si="32"/>
        <v/>
      </c>
      <c r="AH87" s="2055"/>
      <c r="AI87" s="2056" t="str">
        <f t="shared" si="33"/>
        <v/>
      </c>
      <c r="AJ87" s="2055"/>
      <c r="AK87" s="2056" t="str">
        <f t="shared" si="34"/>
        <v/>
      </c>
      <c r="AL87" s="2055"/>
      <c r="AM87" s="2056" t="str">
        <f t="shared" si="35"/>
        <v/>
      </c>
      <c r="AN87" s="2055"/>
      <c r="AO87" s="2056" t="str">
        <f t="shared" si="36"/>
        <v/>
      </c>
      <c r="AP87" s="2055">
        <v>28039</v>
      </c>
      <c r="AQ87" s="2056" t="str">
        <f t="shared" si="37"/>
        <v/>
      </c>
    </row>
    <row r="88" spans="1:43">
      <c r="A88" s="2058"/>
      <c r="B88">
        <v>65.27</v>
      </c>
      <c r="D88" s="2059">
        <v>912541</v>
      </c>
      <c r="E88" s="2056">
        <f t="shared" si="19"/>
        <v>13981.017312701089</v>
      </c>
      <c r="F88" s="2059">
        <v>897550</v>
      </c>
      <c r="G88" s="2056">
        <f t="shared" si="19"/>
        <v>13751.340585261223</v>
      </c>
      <c r="H88" s="2059"/>
      <c r="I88" s="2056" t="str">
        <f t="shared" si="20"/>
        <v/>
      </c>
      <c r="J88" s="2059"/>
      <c r="K88" s="2056" t="str">
        <f t="shared" si="21"/>
        <v/>
      </c>
      <c r="L88" s="2059"/>
      <c r="M88" s="2056" t="str">
        <f t="shared" si="22"/>
        <v/>
      </c>
      <c r="N88" s="2059">
        <v>2418</v>
      </c>
      <c r="O88" s="2056">
        <f t="shared" si="23"/>
        <v>37.046116132986057</v>
      </c>
      <c r="P88" s="2059">
        <v>71702</v>
      </c>
      <c r="Q88" s="2056">
        <f t="shared" si="24"/>
        <v>1098.5445074306726</v>
      </c>
      <c r="R88" s="2059">
        <v>128265</v>
      </c>
      <c r="S88" s="2056">
        <f t="shared" si="25"/>
        <v>1965.1447832082122</v>
      </c>
      <c r="T88" s="2059">
        <v>1147</v>
      </c>
      <c r="U88" s="2056">
        <f t="shared" si="26"/>
        <v>17.573157652826723</v>
      </c>
      <c r="V88" s="2059">
        <v>126719</v>
      </c>
      <c r="W88" s="2056">
        <f t="shared" si="27"/>
        <v>1941.4585567642102</v>
      </c>
      <c r="X88" s="2059"/>
      <c r="Y88" s="2056" t="str">
        <f t="shared" si="28"/>
        <v/>
      </c>
      <c r="Z88" s="2059">
        <v>1863</v>
      </c>
      <c r="AA88" s="2056">
        <f t="shared" si="29"/>
        <v>28.542975333231194</v>
      </c>
      <c r="AB88" s="2059"/>
      <c r="AC88" s="2056" t="str">
        <f t="shared" si="30"/>
        <v/>
      </c>
      <c r="AD88" s="2059">
        <v>61695</v>
      </c>
      <c r="AE88" s="2056">
        <f t="shared" si="31"/>
        <v>945.22751647004759</v>
      </c>
      <c r="AF88" s="2059"/>
      <c r="AG88" s="2056" t="str">
        <f t="shared" si="32"/>
        <v/>
      </c>
      <c r="AH88" s="2059"/>
      <c r="AI88" s="2056" t="str">
        <f t="shared" si="33"/>
        <v/>
      </c>
      <c r="AJ88" s="2059">
        <v>125988</v>
      </c>
      <c r="AK88" s="2056">
        <f t="shared" si="34"/>
        <v>1930.2589244675962</v>
      </c>
      <c r="AL88" s="2059"/>
      <c r="AM88" s="2056" t="str">
        <f t="shared" si="35"/>
        <v/>
      </c>
      <c r="AN88" s="2059"/>
      <c r="AO88" s="2056" t="str">
        <f t="shared" si="36"/>
        <v/>
      </c>
      <c r="AP88" s="2059">
        <v>1417347</v>
      </c>
      <c r="AQ88" s="2056">
        <f t="shared" si="37"/>
        <v>21715.137122721007</v>
      </c>
    </row>
    <row r="89" spans="1:43">
      <c r="A89" s="2058"/>
      <c r="D89" s="2059">
        <v>2229</v>
      </c>
      <c r="E89" s="2056" t="str">
        <f t="shared" si="19"/>
        <v/>
      </c>
      <c r="F89" s="2059"/>
      <c r="G89" s="2056" t="str">
        <f t="shared" si="19"/>
        <v/>
      </c>
      <c r="H89" s="2059"/>
      <c r="I89" s="2056" t="str">
        <f t="shared" si="20"/>
        <v/>
      </c>
      <c r="J89" s="2059"/>
      <c r="K89" s="2056" t="str">
        <f t="shared" si="21"/>
        <v/>
      </c>
      <c r="L89" s="2059"/>
      <c r="M89" s="2056" t="str">
        <f t="shared" si="22"/>
        <v/>
      </c>
      <c r="N89" s="2059"/>
      <c r="O89" s="2056" t="str">
        <f t="shared" si="23"/>
        <v/>
      </c>
      <c r="P89" s="2059"/>
      <c r="Q89" s="2056" t="str">
        <f t="shared" si="24"/>
        <v/>
      </c>
      <c r="R89" s="2059"/>
      <c r="S89" s="2056" t="str">
        <f t="shared" si="25"/>
        <v/>
      </c>
      <c r="T89" s="2059">
        <v>9</v>
      </c>
      <c r="U89" s="2056" t="str">
        <f t="shared" si="26"/>
        <v/>
      </c>
      <c r="V89" s="2059"/>
      <c r="W89" s="2056" t="str">
        <f t="shared" si="27"/>
        <v/>
      </c>
      <c r="X89" s="2059"/>
      <c r="Y89" s="2056" t="str">
        <f t="shared" si="28"/>
        <v/>
      </c>
      <c r="Z89" s="2059">
        <v>53</v>
      </c>
      <c r="AA89" s="2056" t="str">
        <f t="shared" si="29"/>
        <v/>
      </c>
      <c r="AB89" s="2059"/>
      <c r="AC89" s="2056" t="str">
        <f t="shared" si="30"/>
        <v/>
      </c>
      <c r="AD89" s="2059">
        <v>223749</v>
      </c>
      <c r="AE89" s="2056" t="str">
        <f t="shared" si="31"/>
        <v/>
      </c>
      <c r="AF89" s="2059"/>
      <c r="AG89" s="2056" t="str">
        <f t="shared" si="32"/>
        <v/>
      </c>
      <c r="AH89" s="2059"/>
      <c r="AI89" s="2056" t="str">
        <f t="shared" si="33"/>
        <v/>
      </c>
      <c r="AJ89" s="2059">
        <v>590</v>
      </c>
      <c r="AK89" s="2056" t="str">
        <f t="shared" si="34"/>
        <v/>
      </c>
      <c r="AL89" s="2059"/>
      <c r="AM89" s="2056" t="str">
        <f t="shared" si="35"/>
        <v/>
      </c>
      <c r="AN89" s="2059"/>
      <c r="AO89" s="2056" t="str">
        <f t="shared" si="36"/>
        <v/>
      </c>
      <c r="AP89" s="2059">
        <v>224401</v>
      </c>
      <c r="AQ89" s="2056" t="str">
        <f t="shared" si="37"/>
        <v/>
      </c>
    </row>
    <row r="90" spans="1:43">
      <c r="A90" s="2058"/>
      <c r="B90">
        <v>82.29</v>
      </c>
      <c r="D90" s="2059"/>
      <c r="E90" s="2056" t="str">
        <f t="shared" si="19"/>
        <v/>
      </c>
      <c r="F90" s="2059">
        <v>1593113</v>
      </c>
      <c r="G90" s="2056">
        <f t="shared" si="19"/>
        <v>19359.739944100133</v>
      </c>
      <c r="H90" s="2059"/>
      <c r="I90" s="2056" t="str">
        <f t="shared" si="20"/>
        <v/>
      </c>
      <c r="J90" s="2059"/>
      <c r="K90" s="2056" t="str">
        <f t="shared" si="21"/>
        <v/>
      </c>
      <c r="L90" s="2059"/>
      <c r="M90" s="2056" t="str">
        <f t="shared" si="22"/>
        <v/>
      </c>
      <c r="N90" s="2059">
        <v>1606</v>
      </c>
      <c r="O90" s="2056">
        <f t="shared" si="23"/>
        <v>19.516344634828044</v>
      </c>
      <c r="P90" s="2059">
        <v>16799</v>
      </c>
      <c r="Q90" s="2056">
        <f t="shared" si="24"/>
        <v>204.14388139506622</v>
      </c>
      <c r="R90" s="2059">
        <v>172728</v>
      </c>
      <c r="S90" s="2056">
        <f t="shared" si="25"/>
        <v>2099.0156762668607</v>
      </c>
      <c r="T90" s="2059">
        <v>2478</v>
      </c>
      <c r="U90" s="2056">
        <f t="shared" si="26"/>
        <v>30.113014947138169</v>
      </c>
      <c r="V90" s="2059">
        <v>207307</v>
      </c>
      <c r="W90" s="2056">
        <f t="shared" si="27"/>
        <v>2519.2246931583422</v>
      </c>
      <c r="X90" s="2059"/>
      <c r="Y90" s="2056" t="str">
        <f t="shared" si="28"/>
        <v/>
      </c>
      <c r="Z90" s="2059">
        <v>7159</v>
      </c>
      <c r="AA90" s="2056">
        <f t="shared" si="29"/>
        <v>86.997205006683672</v>
      </c>
      <c r="AB90" s="2059"/>
      <c r="AC90" s="2056" t="str">
        <f t="shared" si="30"/>
        <v/>
      </c>
      <c r="AD90" s="2059"/>
      <c r="AE90" s="2056" t="str">
        <f t="shared" si="31"/>
        <v/>
      </c>
      <c r="AF90" s="2059"/>
      <c r="AG90" s="2056" t="str">
        <f t="shared" si="32"/>
        <v/>
      </c>
      <c r="AH90" s="2059"/>
      <c r="AI90" s="2056" t="str">
        <f t="shared" si="33"/>
        <v/>
      </c>
      <c r="AJ90" s="2059">
        <v>158475</v>
      </c>
      <c r="AK90" s="2056">
        <f t="shared" si="34"/>
        <v>1925.8111556689755</v>
      </c>
      <c r="AL90" s="2059"/>
      <c r="AM90" s="2056" t="str">
        <f t="shared" si="35"/>
        <v/>
      </c>
      <c r="AN90" s="2059"/>
      <c r="AO90" s="2056" t="str">
        <f t="shared" si="36"/>
        <v/>
      </c>
      <c r="AP90" s="2059">
        <v>2159665</v>
      </c>
      <c r="AQ90" s="2056">
        <f t="shared" si="37"/>
        <v>26244.561915178027</v>
      </c>
    </row>
    <row r="91" spans="1:43">
      <c r="A91" s="2058"/>
      <c r="D91" s="2059">
        <v>1050652</v>
      </c>
      <c r="E91" s="2056" t="str">
        <f t="shared" si="19"/>
        <v/>
      </c>
      <c r="F91" s="2059"/>
      <c r="G91" s="2056" t="str">
        <f t="shared" si="19"/>
        <v/>
      </c>
      <c r="H91" s="2059"/>
      <c r="I91" s="2056" t="str">
        <f t="shared" si="20"/>
        <v/>
      </c>
      <c r="J91" s="2059"/>
      <c r="K91" s="2056" t="str">
        <f t="shared" si="21"/>
        <v/>
      </c>
      <c r="L91" s="2059"/>
      <c r="M91" s="2056" t="str">
        <f t="shared" si="22"/>
        <v/>
      </c>
      <c r="N91" s="2059"/>
      <c r="O91" s="2056" t="str">
        <f t="shared" si="23"/>
        <v/>
      </c>
      <c r="P91" s="2059"/>
      <c r="Q91" s="2056" t="str">
        <f t="shared" si="24"/>
        <v/>
      </c>
      <c r="R91" s="2059"/>
      <c r="S91" s="2056" t="str">
        <f t="shared" si="25"/>
        <v/>
      </c>
      <c r="T91" s="2059">
        <v>42</v>
      </c>
      <c r="U91" s="2056" t="str">
        <f t="shared" si="26"/>
        <v/>
      </c>
      <c r="V91" s="2059"/>
      <c r="W91" s="2056" t="str">
        <f t="shared" si="27"/>
        <v/>
      </c>
      <c r="X91" s="2059"/>
      <c r="Y91" s="2056" t="str">
        <f t="shared" si="28"/>
        <v/>
      </c>
      <c r="Z91" s="2059">
        <v>248</v>
      </c>
      <c r="AA91" s="2056" t="str">
        <f t="shared" si="29"/>
        <v/>
      </c>
      <c r="AB91" s="2059"/>
      <c r="AC91" s="2056" t="str">
        <f t="shared" si="30"/>
        <v/>
      </c>
      <c r="AD91" s="2059"/>
      <c r="AE91" s="2056" t="str">
        <f t="shared" si="31"/>
        <v/>
      </c>
      <c r="AF91" s="2059"/>
      <c r="AG91" s="2056" t="str">
        <f t="shared" si="32"/>
        <v/>
      </c>
      <c r="AH91" s="2059"/>
      <c r="AI91" s="2056" t="str">
        <f t="shared" si="33"/>
        <v/>
      </c>
      <c r="AJ91" s="2059"/>
      <c r="AK91" s="2056" t="str">
        <f t="shared" si="34"/>
        <v/>
      </c>
      <c r="AL91" s="2059"/>
      <c r="AM91" s="2056" t="str">
        <f t="shared" si="35"/>
        <v/>
      </c>
      <c r="AN91" s="2059"/>
      <c r="AO91" s="2056" t="str">
        <f t="shared" si="36"/>
        <v/>
      </c>
      <c r="AP91" s="2059">
        <v>290</v>
      </c>
      <c r="AQ91" s="2056" t="str">
        <f t="shared" si="37"/>
        <v/>
      </c>
    </row>
    <row r="92" spans="1:43">
      <c r="A92" s="2048" t="s">
        <v>1296</v>
      </c>
      <c r="B92" s="2054">
        <v>32.67</v>
      </c>
      <c r="D92" s="2055">
        <v>470072</v>
      </c>
      <c r="E92" s="2056">
        <f t="shared" si="19"/>
        <v>14388.490970309151</v>
      </c>
      <c r="F92" s="2055">
        <v>351983</v>
      </c>
      <c r="G92" s="2056">
        <f t="shared" si="19"/>
        <v>10773.890419344963</v>
      </c>
      <c r="H92" s="2055"/>
      <c r="I92" s="2056" t="str">
        <f t="shared" si="20"/>
        <v/>
      </c>
      <c r="J92" s="2055">
        <v>41765</v>
      </c>
      <c r="K92" s="2056">
        <f t="shared" si="21"/>
        <v>1278.3899602081419</v>
      </c>
      <c r="L92" s="2055"/>
      <c r="M92" s="2056" t="str">
        <f t="shared" si="22"/>
        <v/>
      </c>
      <c r="N92" s="2055">
        <v>6431</v>
      </c>
      <c r="O92" s="2056">
        <f t="shared" si="23"/>
        <v>196.8472604836241</v>
      </c>
      <c r="P92" s="2055">
        <v>24674</v>
      </c>
      <c r="Q92" s="2056">
        <f t="shared" si="24"/>
        <v>755.24946434037338</v>
      </c>
      <c r="R92" s="2055">
        <v>91955</v>
      </c>
      <c r="S92" s="2056">
        <f t="shared" si="25"/>
        <v>2814.6617692072236</v>
      </c>
      <c r="T92" s="2055">
        <v>4857</v>
      </c>
      <c r="U92" s="2056">
        <f t="shared" si="26"/>
        <v>148.66850321395776</v>
      </c>
      <c r="V92" s="2055">
        <v>135</v>
      </c>
      <c r="W92" s="2056">
        <f t="shared" si="27"/>
        <v>4.1322314049586772</v>
      </c>
      <c r="X92" s="2055"/>
      <c r="Y92" s="2056" t="str">
        <f t="shared" si="28"/>
        <v/>
      </c>
      <c r="Z92" s="2055">
        <v>26618</v>
      </c>
      <c r="AA92" s="2056">
        <f t="shared" si="29"/>
        <v>814.7535965717783</v>
      </c>
      <c r="AB92" s="2055">
        <v>49504</v>
      </c>
      <c r="AC92" s="2056">
        <f t="shared" si="30"/>
        <v>1515.273951637588</v>
      </c>
      <c r="AD92" s="2055"/>
      <c r="AE92" s="2056" t="str">
        <f t="shared" si="31"/>
        <v/>
      </c>
      <c r="AF92" s="2055"/>
      <c r="AG92" s="2056" t="str">
        <f t="shared" si="32"/>
        <v/>
      </c>
      <c r="AH92" s="2055"/>
      <c r="AI92" s="2056" t="str">
        <f t="shared" si="33"/>
        <v/>
      </c>
      <c r="AJ92" s="2055">
        <v>27942</v>
      </c>
      <c r="AK92" s="2056">
        <f t="shared" si="34"/>
        <v>855.28007346189156</v>
      </c>
      <c r="AL92" s="2055"/>
      <c r="AM92" s="2056" t="str">
        <f t="shared" si="35"/>
        <v/>
      </c>
      <c r="AN92" s="2055"/>
      <c r="AO92" s="2056" t="str">
        <f t="shared" si="36"/>
        <v/>
      </c>
      <c r="AP92" s="2055">
        <v>625864</v>
      </c>
      <c r="AQ92" s="2056">
        <f t="shared" si="37"/>
        <v>19157.147229874503</v>
      </c>
    </row>
    <row r="93" spans="1:43">
      <c r="A93" s="2048" t="s">
        <v>1297</v>
      </c>
      <c r="B93" s="2054">
        <v>4.657E-2</v>
      </c>
      <c r="D93" s="2055">
        <v>836</v>
      </c>
      <c r="E93" s="2056">
        <f t="shared" si="19"/>
        <v>17951.470904015459</v>
      </c>
      <c r="F93" s="2055">
        <v>9</v>
      </c>
      <c r="G93" s="2056">
        <f t="shared" si="19"/>
        <v>193.2574618853339</v>
      </c>
      <c r="H93" s="2055"/>
      <c r="I93" s="2056" t="str">
        <f t="shared" si="20"/>
        <v/>
      </c>
      <c r="J93" s="2055"/>
      <c r="K93" s="2056" t="str">
        <f t="shared" si="21"/>
        <v/>
      </c>
      <c r="L93" s="2055"/>
      <c r="M93" s="2056" t="str">
        <f t="shared" si="22"/>
        <v/>
      </c>
      <c r="N93" s="2055">
        <v>36</v>
      </c>
      <c r="O93" s="2056">
        <f t="shared" si="23"/>
        <v>773.02984754133558</v>
      </c>
      <c r="P93" s="2055">
        <v>28</v>
      </c>
      <c r="Q93" s="2056">
        <f t="shared" si="24"/>
        <v>601.24543697659442</v>
      </c>
      <c r="R93" s="2055">
        <v>15</v>
      </c>
      <c r="S93" s="2056">
        <f t="shared" si="25"/>
        <v>322.09576980888983</v>
      </c>
      <c r="T93" s="2055"/>
      <c r="U93" s="2056" t="str">
        <f t="shared" si="26"/>
        <v/>
      </c>
      <c r="V93" s="2055"/>
      <c r="W93" s="2056" t="str">
        <f t="shared" si="27"/>
        <v/>
      </c>
      <c r="X93" s="2055"/>
      <c r="Y93" s="2056" t="str">
        <f t="shared" si="28"/>
        <v/>
      </c>
      <c r="Z93" s="2055"/>
      <c r="AA93" s="2056" t="str">
        <f t="shared" si="29"/>
        <v/>
      </c>
      <c r="AB93" s="2055"/>
      <c r="AC93" s="2056" t="str">
        <f t="shared" si="30"/>
        <v/>
      </c>
      <c r="AD93" s="2055">
        <v>8</v>
      </c>
      <c r="AE93" s="2056">
        <f t="shared" si="31"/>
        <v>171.78441056474125</v>
      </c>
      <c r="AF93" s="2055">
        <v>163</v>
      </c>
      <c r="AG93" s="2056">
        <f t="shared" si="32"/>
        <v>3500.1073652566029</v>
      </c>
      <c r="AH93" s="2055"/>
      <c r="AI93" s="2056" t="str">
        <f t="shared" si="33"/>
        <v/>
      </c>
      <c r="AJ93" s="2055">
        <v>130</v>
      </c>
      <c r="AK93" s="2056">
        <f t="shared" si="34"/>
        <v>2791.4966716770455</v>
      </c>
      <c r="AL93" s="2055"/>
      <c r="AM93" s="2056" t="str">
        <f t="shared" si="35"/>
        <v/>
      </c>
      <c r="AN93" s="2055">
        <v>17</v>
      </c>
      <c r="AO93" s="2056">
        <f t="shared" si="36"/>
        <v>365.04187245007518</v>
      </c>
      <c r="AP93" s="2055">
        <v>406</v>
      </c>
      <c r="AQ93" s="2056">
        <f t="shared" si="37"/>
        <v>8718.0588361606187</v>
      </c>
    </row>
    <row r="94" spans="1:43">
      <c r="A94" s="2058"/>
      <c r="B94">
        <v>0.11132</v>
      </c>
      <c r="D94" s="2059">
        <v>238</v>
      </c>
      <c r="E94" s="2056">
        <f t="shared" si="19"/>
        <v>2137.9805964786201</v>
      </c>
      <c r="F94" s="2059"/>
      <c r="G94" s="2056" t="str">
        <f t="shared" si="19"/>
        <v/>
      </c>
      <c r="H94" s="2059"/>
      <c r="I94" s="2056" t="str">
        <f t="shared" si="20"/>
        <v/>
      </c>
      <c r="J94" s="2059"/>
      <c r="K94" s="2056" t="str">
        <f t="shared" si="21"/>
        <v/>
      </c>
      <c r="L94" s="2059"/>
      <c r="M94" s="2056" t="str">
        <f t="shared" si="22"/>
        <v/>
      </c>
      <c r="N94" s="2059">
        <v>72</v>
      </c>
      <c r="O94" s="2056">
        <f t="shared" si="23"/>
        <v>646.78404599353212</v>
      </c>
      <c r="P94" s="2059">
        <v>1119</v>
      </c>
      <c r="Q94" s="2056">
        <f t="shared" si="24"/>
        <v>10052.102048149478</v>
      </c>
      <c r="R94" s="2059"/>
      <c r="S94" s="2056" t="str">
        <f t="shared" si="25"/>
        <v/>
      </c>
      <c r="T94" s="2059"/>
      <c r="U94" s="2056" t="str">
        <f t="shared" si="26"/>
        <v/>
      </c>
      <c r="V94" s="2059"/>
      <c r="W94" s="2056" t="str">
        <f t="shared" si="27"/>
        <v/>
      </c>
      <c r="X94" s="2059"/>
      <c r="Y94" s="2056" t="str">
        <f t="shared" si="28"/>
        <v/>
      </c>
      <c r="Z94" s="2059"/>
      <c r="AA94" s="2056" t="str">
        <f t="shared" si="29"/>
        <v/>
      </c>
      <c r="AB94" s="2059"/>
      <c r="AC94" s="2056" t="str">
        <f t="shared" si="30"/>
        <v/>
      </c>
      <c r="AD94" s="2059"/>
      <c r="AE94" s="2056" t="str">
        <f t="shared" si="31"/>
        <v/>
      </c>
      <c r="AF94" s="2059"/>
      <c r="AG94" s="2056" t="str">
        <f t="shared" si="32"/>
        <v/>
      </c>
      <c r="AH94" s="2059"/>
      <c r="AI94" s="2056" t="str">
        <f t="shared" si="33"/>
        <v/>
      </c>
      <c r="AJ94" s="2059">
        <v>10</v>
      </c>
      <c r="AK94" s="2056">
        <f t="shared" si="34"/>
        <v>89.831117499101694</v>
      </c>
      <c r="AL94" s="2059"/>
      <c r="AM94" s="2056" t="str">
        <f t="shared" si="35"/>
        <v/>
      </c>
      <c r="AN94" s="2059"/>
      <c r="AO94" s="2056" t="str">
        <f t="shared" si="36"/>
        <v/>
      </c>
      <c r="AP94" s="2059">
        <v>1201</v>
      </c>
      <c r="AQ94" s="2056">
        <f t="shared" si="37"/>
        <v>10788.717211642113</v>
      </c>
    </row>
    <row r="95" spans="1:43">
      <c r="A95" s="2058"/>
      <c r="B95">
        <v>0.20221</v>
      </c>
      <c r="D95" s="2059">
        <v>8120</v>
      </c>
      <c r="E95" s="2056">
        <f t="shared" si="19"/>
        <v>40156.273181346129</v>
      </c>
      <c r="F95" s="2059">
        <v>1775</v>
      </c>
      <c r="G95" s="2056">
        <f t="shared" si="19"/>
        <v>8778.0030661193814</v>
      </c>
      <c r="H95" s="2059"/>
      <c r="I95" s="2056" t="str">
        <f t="shared" si="20"/>
        <v/>
      </c>
      <c r="J95" s="2059"/>
      <c r="K95" s="2056" t="str">
        <f t="shared" si="21"/>
        <v/>
      </c>
      <c r="L95" s="2059"/>
      <c r="M95" s="2056" t="str">
        <f t="shared" si="22"/>
        <v/>
      </c>
      <c r="N95" s="2059">
        <v>353</v>
      </c>
      <c r="O95" s="2056">
        <f t="shared" si="23"/>
        <v>1745.7099055437416</v>
      </c>
      <c r="P95" s="2059"/>
      <c r="Q95" s="2056" t="str">
        <f t="shared" si="24"/>
        <v/>
      </c>
      <c r="R95" s="2059"/>
      <c r="S95" s="2056" t="str">
        <f t="shared" si="25"/>
        <v/>
      </c>
      <c r="T95" s="2059"/>
      <c r="U95" s="2056" t="str">
        <f t="shared" si="26"/>
        <v/>
      </c>
      <c r="V95" s="2059">
        <v>-306</v>
      </c>
      <c r="W95" s="2056">
        <f t="shared" si="27"/>
        <v>-1513.2782750605807</v>
      </c>
      <c r="X95" s="2059"/>
      <c r="Y95" s="2056" t="str">
        <f t="shared" si="28"/>
        <v/>
      </c>
      <c r="Z95" s="2059"/>
      <c r="AA95" s="2056" t="str">
        <f t="shared" si="29"/>
        <v/>
      </c>
      <c r="AB95" s="2059"/>
      <c r="AC95" s="2056" t="str">
        <f t="shared" si="30"/>
        <v/>
      </c>
      <c r="AD95" s="2059"/>
      <c r="AE95" s="2056" t="str">
        <f t="shared" si="31"/>
        <v/>
      </c>
      <c r="AF95" s="2059"/>
      <c r="AG95" s="2056" t="str">
        <f t="shared" si="32"/>
        <v/>
      </c>
      <c r="AH95" s="2059"/>
      <c r="AI95" s="2056" t="str">
        <f t="shared" si="33"/>
        <v/>
      </c>
      <c r="AJ95" s="2059">
        <v>-336</v>
      </c>
      <c r="AK95" s="2056">
        <f t="shared" si="34"/>
        <v>-1661.6388902625984</v>
      </c>
      <c r="AL95" s="2059"/>
      <c r="AM95" s="2056" t="str">
        <f t="shared" si="35"/>
        <v/>
      </c>
      <c r="AN95" s="2059">
        <v>356</v>
      </c>
      <c r="AO95" s="2056">
        <f t="shared" si="36"/>
        <v>1760.5459670639434</v>
      </c>
      <c r="AP95" s="2059">
        <v>1842</v>
      </c>
      <c r="AQ95" s="2056">
        <f t="shared" si="37"/>
        <v>9109.3417734038867</v>
      </c>
    </row>
    <row r="96" spans="1:43">
      <c r="A96" s="2058"/>
      <c r="B96">
        <v>159.3288</v>
      </c>
      <c r="D96" s="2059">
        <v>1481332</v>
      </c>
      <c r="E96" s="2056">
        <f t="shared" si="19"/>
        <v>9297.3272879730466</v>
      </c>
      <c r="F96" s="2059">
        <v>122684</v>
      </c>
      <c r="G96" s="2056">
        <f t="shared" si="19"/>
        <v>770.00517169526165</v>
      </c>
      <c r="H96" s="2059"/>
      <c r="I96" s="2056" t="str">
        <f t="shared" si="20"/>
        <v/>
      </c>
      <c r="J96" s="2059"/>
      <c r="K96" s="2056" t="str">
        <f t="shared" si="21"/>
        <v/>
      </c>
      <c r="L96" s="2059"/>
      <c r="M96" s="2056" t="str">
        <f t="shared" si="22"/>
        <v/>
      </c>
      <c r="N96" s="2059">
        <v>113867</v>
      </c>
      <c r="O96" s="2056">
        <f t="shared" si="23"/>
        <v>714.66677713006061</v>
      </c>
      <c r="P96" s="2059">
        <v>116267</v>
      </c>
      <c r="Q96" s="2056">
        <f t="shared" si="24"/>
        <v>729.72996721245624</v>
      </c>
      <c r="R96" s="2059">
        <v>143685</v>
      </c>
      <c r="S96" s="2056">
        <f t="shared" si="25"/>
        <v>901.81436124542449</v>
      </c>
      <c r="T96" s="2059">
        <v>50</v>
      </c>
      <c r="U96" s="2056">
        <f t="shared" si="26"/>
        <v>0.31381646004990937</v>
      </c>
      <c r="V96" s="2059">
        <v>79471</v>
      </c>
      <c r="W96" s="2056">
        <f t="shared" si="27"/>
        <v>498.78615793252692</v>
      </c>
      <c r="X96" s="2059"/>
      <c r="Y96" s="2056" t="str">
        <f t="shared" si="28"/>
        <v/>
      </c>
      <c r="Z96" s="2059">
        <v>28591</v>
      </c>
      <c r="AA96" s="2056">
        <f t="shared" si="29"/>
        <v>179.44652818573917</v>
      </c>
      <c r="AB96" s="2059"/>
      <c r="AC96" s="2056" t="str">
        <f t="shared" si="30"/>
        <v/>
      </c>
      <c r="AD96" s="2059">
        <v>2139</v>
      </c>
      <c r="AE96" s="2056">
        <f t="shared" si="31"/>
        <v>13.425068160935123</v>
      </c>
      <c r="AF96" s="2059"/>
      <c r="AG96" s="2056" t="str">
        <f t="shared" si="32"/>
        <v/>
      </c>
      <c r="AH96" s="2059"/>
      <c r="AI96" s="2056" t="str">
        <f t="shared" si="33"/>
        <v/>
      </c>
      <c r="AJ96" s="2059">
        <v>40945</v>
      </c>
      <c r="AK96" s="2056">
        <f t="shared" si="34"/>
        <v>256.98429913487075</v>
      </c>
      <c r="AL96" s="2059"/>
      <c r="AM96" s="2056" t="str">
        <f t="shared" si="35"/>
        <v/>
      </c>
      <c r="AN96" s="2059">
        <v>79723</v>
      </c>
      <c r="AO96" s="2056">
        <f t="shared" si="36"/>
        <v>500.36779289117851</v>
      </c>
      <c r="AP96" s="2059">
        <v>727422</v>
      </c>
      <c r="AQ96" s="2056">
        <f t="shared" si="37"/>
        <v>4565.539940048503</v>
      </c>
    </row>
    <row r="97" spans="1:43">
      <c r="A97" s="2058"/>
      <c r="D97" s="2059">
        <v>188365</v>
      </c>
      <c r="E97" s="2056" t="str">
        <f t="shared" si="19"/>
        <v/>
      </c>
      <c r="F97" s="2059"/>
      <c r="G97" s="2056" t="str">
        <f t="shared" si="19"/>
        <v/>
      </c>
      <c r="H97" s="2059"/>
      <c r="I97" s="2056" t="str">
        <f t="shared" si="20"/>
        <v/>
      </c>
      <c r="J97" s="2059"/>
      <c r="K97" s="2056" t="str">
        <f t="shared" si="21"/>
        <v/>
      </c>
      <c r="L97" s="2059"/>
      <c r="M97" s="2056" t="str">
        <f t="shared" si="22"/>
        <v/>
      </c>
      <c r="N97" s="2059"/>
      <c r="O97" s="2056" t="str">
        <f t="shared" si="23"/>
        <v/>
      </c>
      <c r="P97" s="2059">
        <v>407</v>
      </c>
      <c r="Q97" s="2056" t="str">
        <f t="shared" si="24"/>
        <v/>
      </c>
      <c r="R97" s="2059"/>
      <c r="S97" s="2056" t="str">
        <f t="shared" si="25"/>
        <v/>
      </c>
      <c r="T97" s="2059"/>
      <c r="U97" s="2056" t="str">
        <f t="shared" si="26"/>
        <v/>
      </c>
      <c r="V97" s="2059"/>
      <c r="W97" s="2056" t="str">
        <f t="shared" si="27"/>
        <v/>
      </c>
      <c r="X97" s="2059"/>
      <c r="Y97" s="2056" t="str">
        <f t="shared" si="28"/>
        <v/>
      </c>
      <c r="Z97" s="2059"/>
      <c r="AA97" s="2056" t="str">
        <f t="shared" si="29"/>
        <v/>
      </c>
      <c r="AB97" s="2059"/>
      <c r="AC97" s="2056" t="str">
        <f t="shared" si="30"/>
        <v/>
      </c>
      <c r="AD97" s="2059">
        <v>51440</v>
      </c>
      <c r="AE97" s="2056" t="str">
        <f t="shared" si="31"/>
        <v/>
      </c>
      <c r="AF97" s="2059"/>
      <c r="AG97" s="2056" t="str">
        <f t="shared" si="32"/>
        <v/>
      </c>
      <c r="AH97" s="2059"/>
      <c r="AI97" s="2056" t="str">
        <f t="shared" si="33"/>
        <v/>
      </c>
      <c r="AJ97" s="2059"/>
      <c r="AK97" s="2056" t="str">
        <f t="shared" si="34"/>
        <v/>
      </c>
      <c r="AL97" s="2059"/>
      <c r="AM97" s="2056" t="str">
        <f t="shared" si="35"/>
        <v/>
      </c>
      <c r="AN97" s="2059">
        <v>582</v>
      </c>
      <c r="AO97" s="2056" t="str">
        <f t="shared" si="36"/>
        <v/>
      </c>
      <c r="AP97" s="2059">
        <v>52429</v>
      </c>
      <c r="AQ97" s="2056" t="str">
        <f t="shared" si="37"/>
        <v/>
      </c>
    </row>
    <row r="98" spans="1:43">
      <c r="A98" s="2058"/>
      <c r="B98">
        <v>138.12538000000001</v>
      </c>
      <c r="D98" s="2059">
        <v>886692</v>
      </c>
      <c r="E98" s="2056">
        <f t="shared" si="19"/>
        <v>6419.471931950522</v>
      </c>
      <c r="F98" s="2059">
        <v>23420</v>
      </c>
      <c r="G98" s="2056">
        <f t="shared" si="19"/>
        <v>169.55609461490712</v>
      </c>
      <c r="H98" s="2059"/>
      <c r="I98" s="2056" t="str">
        <f t="shared" si="20"/>
        <v/>
      </c>
      <c r="J98" s="2059"/>
      <c r="K98" s="2056" t="str">
        <f t="shared" si="21"/>
        <v/>
      </c>
      <c r="L98" s="2059"/>
      <c r="M98" s="2056" t="str">
        <f t="shared" si="22"/>
        <v/>
      </c>
      <c r="N98" s="2059">
        <v>95470</v>
      </c>
      <c r="O98" s="2056">
        <f t="shared" si="23"/>
        <v>691.18361882515717</v>
      </c>
      <c r="P98" s="2059">
        <v>85937</v>
      </c>
      <c r="Q98" s="2056">
        <f t="shared" si="24"/>
        <v>622.16661412985798</v>
      </c>
      <c r="R98" s="2059">
        <v>130443</v>
      </c>
      <c r="S98" s="2056">
        <f t="shared" si="25"/>
        <v>944.38111229087656</v>
      </c>
      <c r="T98" s="2059">
        <v>278</v>
      </c>
      <c r="U98" s="2056">
        <f t="shared" si="26"/>
        <v>2.012664146154747</v>
      </c>
      <c r="V98" s="2059">
        <v>76816</v>
      </c>
      <c r="W98" s="2056">
        <f t="shared" si="27"/>
        <v>556.13240665835633</v>
      </c>
      <c r="X98" s="2059"/>
      <c r="Y98" s="2056" t="str">
        <f t="shared" si="28"/>
        <v/>
      </c>
      <c r="Z98" s="2059">
        <v>18504</v>
      </c>
      <c r="AA98" s="2056">
        <f t="shared" si="29"/>
        <v>133.96524230376778</v>
      </c>
      <c r="AB98" s="2059"/>
      <c r="AC98" s="2056" t="str">
        <f t="shared" si="30"/>
        <v/>
      </c>
      <c r="AD98" s="2059">
        <v>-1622</v>
      </c>
      <c r="AE98" s="2056">
        <f t="shared" si="31"/>
        <v>-11.742954118931655</v>
      </c>
      <c r="AF98" s="2059"/>
      <c r="AG98" s="2056" t="str">
        <f t="shared" si="32"/>
        <v/>
      </c>
      <c r="AH98" s="2059"/>
      <c r="AI98" s="2056" t="str">
        <f t="shared" si="33"/>
        <v/>
      </c>
      <c r="AJ98" s="2059">
        <v>42268</v>
      </c>
      <c r="AK98" s="2056">
        <f t="shared" si="34"/>
        <v>306.01182780456423</v>
      </c>
      <c r="AL98" s="2059"/>
      <c r="AM98" s="2056" t="str">
        <f t="shared" si="35"/>
        <v/>
      </c>
      <c r="AN98" s="2059">
        <v>58797</v>
      </c>
      <c r="AO98" s="2056">
        <f t="shared" si="36"/>
        <v>425.678466911729</v>
      </c>
      <c r="AP98" s="2059">
        <v>530311</v>
      </c>
      <c r="AQ98" s="2056">
        <f t="shared" si="37"/>
        <v>3839.3450935664391</v>
      </c>
    </row>
    <row r="99" spans="1:43">
      <c r="A99" s="2058"/>
      <c r="D99" s="2059">
        <v>83283</v>
      </c>
      <c r="E99" s="2056" t="str">
        <f t="shared" si="19"/>
        <v/>
      </c>
      <c r="F99" s="2059"/>
      <c r="G99" s="2056" t="str">
        <f t="shared" si="19"/>
        <v/>
      </c>
      <c r="H99" s="2059"/>
      <c r="I99" s="2056" t="str">
        <f t="shared" si="20"/>
        <v/>
      </c>
      <c r="J99" s="2059"/>
      <c r="K99" s="2056" t="str">
        <f t="shared" si="21"/>
        <v/>
      </c>
      <c r="L99" s="2059"/>
      <c r="M99" s="2056" t="str">
        <f t="shared" si="22"/>
        <v/>
      </c>
      <c r="N99" s="2059"/>
      <c r="O99" s="2056" t="str">
        <f t="shared" si="23"/>
        <v/>
      </c>
      <c r="P99" s="2059">
        <v>210</v>
      </c>
      <c r="Q99" s="2056" t="str">
        <f t="shared" si="24"/>
        <v/>
      </c>
      <c r="R99" s="2059"/>
      <c r="S99" s="2056" t="str">
        <f t="shared" si="25"/>
        <v/>
      </c>
      <c r="T99" s="2059">
        <v>116</v>
      </c>
      <c r="U99" s="2056" t="str">
        <f t="shared" si="26"/>
        <v/>
      </c>
      <c r="V99" s="2059"/>
      <c r="W99" s="2056" t="str">
        <f t="shared" si="27"/>
        <v/>
      </c>
      <c r="X99" s="2059"/>
      <c r="Y99" s="2056" t="str">
        <f t="shared" si="28"/>
        <v/>
      </c>
      <c r="Z99" s="2059"/>
      <c r="AA99" s="2056" t="str">
        <f t="shared" si="29"/>
        <v/>
      </c>
      <c r="AB99" s="2059"/>
      <c r="AC99" s="2056" t="str">
        <f t="shared" si="30"/>
        <v/>
      </c>
      <c r="AD99" s="2059">
        <v>25531</v>
      </c>
      <c r="AE99" s="2056" t="str">
        <f t="shared" si="31"/>
        <v/>
      </c>
      <c r="AF99" s="2059"/>
      <c r="AG99" s="2056" t="str">
        <f t="shared" si="32"/>
        <v/>
      </c>
      <c r="AH99" s="2059"/>
      <c r="AI99" s="2056" t="str">
        <f t="shared" si="33"/>
        <v/>
      </c>
      <c r="AJ99" s="2059"/>
      <c r="AK99" s="2056" t="str">
        <f t="shared" si="34"/>
        <v/>
      </c>
      <c r="AL99" s="2059"/>
      <c r="AM99" s="2056" t="str">
        <f t="shared" si="35"/>
        <v/>
      </c>
      <c r="AN99" s="2059"/>
      <c r="AO99" s="2056" t="str">
        <f t="shared" si="36"/>
        <v/>
      </c>
      <c r="AP99" s="2059">
        <v>25857</v>
      </c>
      <c r="AQ99" s="2056" t="str">
        <f t="shared" si="37"/>
        <v/>
      </c>
    </row>
    <row r="100" spans="1:43">
      <c r="A100" s="2058"/>
      <c r="B100">
        <v>215.23419000000001</v>
      </c>
      <c r="D100" s="2059">
        <v>2382989</v>
      </c>
      <c r="E100" s="2056">
        <f t="shared" si="19"/>
        <v>11071.609951931892</v>
      </c>
      <c r="F100" s="2059">
        <v>3000</v>
      </c>
      <c r="G100" s="2056">
        <f t="shared" si="19"/>
        <v>13.938305991255385</v>
      </c>
      <c r="H100" s="2059"/>
      <c r="I100" s="2056" t="str">
        <f t="shared" si="20"/>
        <v/>
      </c>
      <c r="J100" s="2059"/>
      <c r="K100" s="2056" t="str">
        <f t="shared" si="21"/>
        <v/>
      </c>
      <c r="L100" s="2059">
        <v>745060</v>
      </c>
      <c r="M100" s="2056">
        <f t="shared" si="22"/>
        <v>3461.6247539482456</v>
      </c>
      <c r="N100" s="2059">
        <v>161614</v>
      </c>
      <c r="O100" s="2056">
        <f t="shared" si="23"/>
        <v>750.87512815691593</v>
      </c>
      <c r="P100" s="2059">
        <v>85140</v>
      </c>
      <c r="Q100" s="2056">
        <f t="shared" si="24"/>
        <v>395.56912403182781</v>
      </c>
      <c r="R100" s="2059">
        <v>479776</v>
      </c>
      <c r="S100" s="2056">
        <f t="shared" si="25"/>
        <v>2229.0882317535147</v>
      </c>
      <c r="T100" s="2059">
        <v>325</v>
      </c>
      <c r="U100" s="2056">
        <f t="shared" si="26"/>
        <v>1.5099831490526667</v>
      </c>
      <c r="V100" s="2059">
        <v>74961</v>
      </c>
      <c r="W100" s="2056">
        <f t="shared" si="27"/>
        <v>348.27645180349828</v>
      </c>
      <c r="X100" s="2059"/>
      <c r="Y100" s="2056" t="str">
        <f t="shared" si="28"/>
        <v/>
      </c>
      <c r="Z100" s="2059">
        <v>6038</v>
      </c>
      <c r="AA100" s="2056">
        <f t="shared" si="29"/>
        <v>28.053163858400005</v>
      </c>
      <c r="AB100" s="2059"/>
      <c r="AC100" s="2056" t="str">
        <f t="shared" si="30"/>
        <v/>
      </c>
      <c r="AD100" s="2059">
        <v>9472</v>
      </c>
      <c r="AE100" s="2056">
        <f t="shared" si="31"/>
        <v>44.007878116390337</v>
      </c>
      <c r="AF100" s="2059"/>
      <c r="AG100" s="2056" t="str">
        <f t="shared" si="32"/>
        <v/>
      </c>
      <c r="AH100" s="2059"/>
      <c r="AI100" s="2056" t="str">
        <f t="shared" si="33"/>
        <v/>
      </c>
      <c r="AJ100" s="2059">
        <v>181828</v>
      </c>
      <c r="AK100" s="2056">
        <f t="shared" si="34"/>
        <v>844.79143392599474</v>
      </c>
      <c r="AL100" s="2059"/>
      <c r="AM100" s="2056" t="str">
        <f t="shared" si="35"/>
        <v/>
      </c>
      <c r="AN100" s="2059">
        <v>115241</v>
      </c>
      <c r="AO100" s="2056">
        <f t="shared" si="36"/>
        <v>535.42144024608729</v>
      </c>
      <c r="AP100" s="2059">
        <v>1862455</v>
      </c>
      <c r="AQ100" s="2056">
        <f t="shared" si="37"/>
        <v>8653.1558949811824</v>
      </c>
    </row>
    <row r="101" spans="1:43">
      <c r="A101" s="2058"/>
      <c r="D101" s="2059">
        <v>7257</v>
      </c>
      <c r="E101" s="2056" t="str">
        <f t="shared" si="19"/>
        <v/>
      </c>
      <c r="F101" s="2059"/>
      <c r="G101" s="2056" t="str">
        <f t="shared" si="19"/>
        <v/>
      </c>
      <c r="H101" s="2059"/>
      <c r="I101" s="2056" t="str">
        <f t="shared" si="20"/>
        <v/>
      </c>
      <c r="J101" s="2059"/>
      <c r="K101" s="2056" t="str">
        <f t="shared" si="21"/>
        <v/>
      </c>
      <c r="L101" s="2059"/>
      <c r="M101" s="2056" t="str">
        <f t="shared" si="22"/>
        <v/>
      </c>
      <c r="N101" s="2059"/>
      <c r="O101" s="2056" t="str">
        <f t="shared" si="23"/>
        <v/>
      </c>
      <c r="P101" s="2059">
        <v>105</v>
      </c>
      <c r="Q101" s="2056" t="str">
        <f t="shared" si="24"/>
        <v/>
      </c>
      <c r="R101" s="2059">
        <v>334</v>
      </c>
      <c r="S101" s="2056" t="str">
        <f t="shared" si="25"/>
        <v/>
      </c>
      <c r="T101" s="2059"/>
      <c r="U101" s="2056" t="str">
        <f t="shared" si="26"/>
        <v/>
      </c>
      <c r="V101" s="2059"/>
      <c r="W101" s="2056" t="str">
        <f t="shared" si="27"/>
        <v/>
      </c>
      <c r="X101" s="2059"/>
      <c r="Y101" s="2056" t="str">
        <f t="shared" si="28"/>
        <v/>
      </c>
      <c r="Z101" s="2059"/>
      <c r="AA101" s="2056" t="str">
        <f t="shared" si="29"/>
        <v/>
      </c>
      <c r="AB101" s="2059"/>
      <c r="AC101" s="2056" t="str">
        <f t="shared" si="30"/>
        <v/>
      </c>
      <c r="AD101" s="2059">
        <v>139729</v>
      </c>
      <c r="AE101" s="2056" t="str">
        <f t="shared" si="31"/>
        <v/>
      </c>
      <c r="AF101" s="2059"/>
      <c r="AG101" s="2056" t="str">
        <f t="shared" si="32"/>
        <v/>
      </c>
      <c r="AH101" s="2059"/>
      <c r="AI101" s="2056" t="str">
        <f t="shared" si="33"/>
        <v/>
      </c>
      <c r="AJ101" s="2059">
        <v>659</v>
      </c>
      <c r="AK101" s="2056" t="str">
        <f t="shared" si="34"/>
        <v/>
      </c>
      <c r="AL101" s="2059"/>
      <c r="AM101" s="2056" t="str">
        <f t="shared" si="35"/>
        <v/>
      </c>
      <c r="AN101" s="2059"/>
      <c r="AO101" s="2056" t="str">
        <f t="shared" si="36"/>
        <v/>
      </c>
      <c r="AP101" s="2059">
        <v>140827</v>
      </c>
      <c r="AQ101" s="2056" t="str">
        <f t="shared" si="37"/>
        <v/>
      </c>
    </row>
    <row r="102" spans="1:43">
      <c r="A102" s="2058"/>
      <c r="B102">
        <v>168.83783</v>
      </c>
      <c r="D102" s="2059">
        <v>1498616</v>
      </c>
      <c r="E102" s="2056">
        <f t="shared" si="19"/>
        <v>8876.0676443188113</v>
      </c>
      <c r="F102" s="2059">
        <v>3000</v>
      </c>
      <c r="G102" s="2056">
        <f t="shared" si="19"/>
        <v>17.768529718724768</v>
      </c>
      <c r="H102" s="2059"/>
      <c r="I102" s="2056" t="str">
        <f t="shared" si="20"/>
        <v/>
      </c>
      <c r="J102" s="2059"/>
      <c r="K102" s="2056" t="str">
        <f t="shared" si="21"/>
        <v/>
      </c>
      <c r="L102" s="2059">
        <v>18380</v>
      </c>
      <c r="M102" s="2056">
        <f t="shared" si="22"/>
        <v>108.86185874338707</v>
      </c>
      <c r="N102" s="2059">
        <v>124519</v>
      </c>
      <c r="O102" s="2056">
        <f t="shared" si="23"/>
        <v>737.50651734862981</v>
      </c>
      <c r="P102" s="2059">
        <v>48034</v>
      </c>
      <c r="Q102" s="2056">
        <f t="shared" si="24"/>
        <v>284.4978521697418</v>
      </c>
      <c r="R102" s="2059">
        <v>338628</v>
      </c>
      <c r="S102" s="2056">
        <f t="shared" si="25"/>
        <v>2005.6405605307768</v>
      </c>
      <c r="T102" s="2059">
        <v>49036</v>
      </c>
      <c r="U102" s="2056">
        <f t="shared" si="26"/>
        <v>290.4325410957959</v>
      </c>
      <c r="V102" s="2059">
        <v>36768</v>
      </c>
      <c r="W102" s="2056">
        <f t="shared" si="27"/>
        <v>217.77110023269074</v>
      </c>
      <c r="X102" s="2059"/>
      <c r="Y102" s="2056" t="str">
        <f t="shared" si="28"/>
        <v/>
      </c>
      <c r="Z102" s="2059">
        <v>3540</v>
      </c>
      <c r="AA102" s="2056">
        <f t="shared" si="29"/>
        <v>20.966865068095224</v>
      </c>
      <c r="AB102" s="2059"/>
      <c r="AC102" s="2056" t="str">
        <f t="shared" si="30"/>
        <v/>
      </c>
      <c r="AD102" s="2059">
        <v>250</v>
      </c>
      <c r="AE102" s="2056">
        <f t="shared" si="31"/>
        <v>1.4807108098937305</v>
      </c>
      <c r="AF102" s="2059"/>
      <c r="AG102" s="2056" t="str">
        <f t="shared" si="32"/>
        <v/>
      </c>
      <c r="AH102" s="2059"/>
      <c r="AI102" s="2056" t="str">
        <f t="shared" si="33"/>
        <v/>
      </c>
      <c r="AJ102" s="2059">
        <v>143732</v>
      </c>
      <c r="AK102" s="2056">
        <f t="shared" si="34"/>
        <v>851.30210451058269</v>
      </c>
      <c r="AL102" s="2059"/>
      <c r="AM102" s="2056" t="str">
        <f t="shared" si="35"/>
        <v/>
      </c>
      <c r="AN102" s="2059">
        <v>75235</v>
      </c>
      <c r="AO102" s="2056">
        <f t="shared" si="36"/>
        <v>445.6051111294193</v>
      </c>
      <c r="AP102" s="2059">
        <v>841122</v>
      </c>
      <c r="AQ102" s="2056">
        <f t="shared" si="37"/>
        <v>4981.833751357738</v>
      </c>
    </row>
    <row r="103" spans="1:43">
      <c r="A103" s="2058"/>
      <c r="D103" s="2059">
        <v>3091</v>
      </c>
      <c r="E103" s="2056" t="str">
        <f t="shared" si="19"/>
        <v/>
      </c>
      <c r="F103" s="2059"/>
      <c r="G103" s="2056" t="str">
        <f t="shared" si="19"/>
        <v/>
      </c>
      <c r="H103" s="2059"/>
      <c r="I103" s="2056" t="str">
        <f t="shared" si="20"/>
        <v/>
      </c>
      <c r="J103" s="2059"/>
      <c r="K103" s="2056" t="str">
        <f t="shared" si="21"/>
        <v/>
      </c>
      <c r="L103" s="2059"/>
      <c r="M103" s="2056" t="str">
        <f t="shared" si="22"/>
        <v/>
      </c>
      <c r="N103" s="2059">
        <v>777</v>
      </c>
      <c r="O103" s="2056" t="str">
        <f t="shared" si="23"/>
        <v/>
      </c>
      <c r="P103" s="2059">
        <v>25</v>
      </c>
      <c r="Q103" s="2056" t="str">
        <f t="shared" si="24"/>
        <v/>
      </c>
      <c r="R103" s="2059"/>
      <c r="S103" s="2056" t="str">
        <f t="shared" si="25"/>
        <v/>
      </c>
      <c r="T103" s="2059"/>
      <c r="U103" s="2056" t="str">
        <f t="shared" si="26"/>
        <v/>
      </c>
      <c r="V103" s="2059"/>
      <c r="W103" s="2056" t="str">
        <f t="shared" si="27"/>
        <v/>
      </c>
      <c r="X103" s="2059"/>
      <c r="Y103" s="2056" t="str">
        <f t="shared" si="28"/>
        <v/>
      </c>
      <c r="Z103" s="2059"/>
      <c r="AA103" s="2056" t="str">
        <f t="shared" si="29"/>
        <v/>
      </c>
      <c r="AB103" s="2059"/>
      <c r="AC103" s="2056" t="str">
        <f t="shared" si="30"/>
        <v/>
      </c>
      <c r="AD103" s="2059">
        <v>210230</v>
      </c>
      <c r="AE103" s="2056" t="str">
        <f t="shared" si="31"/>
        <v/>
      </c>
      <c r="AF103" s="2059"/>
      <c r="AG103" s="2056" t="str">
        <f t="shared" si="32"/>
        <v/>
      </c>
      <c r="AH103" s="2059"/>
      <c r="AI103" s="2056" t="str">
        <f t="shared" si="33"/>
        <v/>
      </c>
      <c r="AJ103" s="2059">
        <v>643</v>
      </c>
      <c r="AK103" s="2056" t="str">
        <f t="shared" si="34"/>
        <v/>
      </c>
      <c r="AL103" s="2059"/>
      <c r="AM103" s="2056" t="str">
        <f t="shared" si="35"/>
        <v/>
      </c>
      <c r="AN103" s="2059"/>
      <c r="AO103" s="2056" t="str">
        <f t="shared" si="36"/>
        <v/>
      </c>
      <c r="AP103" s="2059">
        <v>211675</v>
      </c>
      <c r="AQ103" s="2056" t="str">
        <f t="shared" si="37"/>
        <v/>
      </c>
    </row>
    <row r="104" spans="1:43">
      <c r="A104" s="2058"/>
      <c r="B104">
        <v>59.640799999999999</v>
      </c>
      <c r="D104" s="2059">
        <v>646169</v>
      </c>
      <c r="E104" s="2056">
        <f t="shared" si="19"/>
        <v>10834.34494507116</v>
      </c>
      <c r="F104" s="2059">
        <v>532613</v>
      </c>
      <c r="G104" s="2056">
        <f t="shared" si="19"/>
        <v>8930.3463400893343</v>
      </c>
      <c r="H104" s="2059"/>
      <c r="I104" s="2056" t="str">
        <f t="shared" si="20"/>
        <v/>
      </c>
      <c r="J104" s="2059"/>
      <c r="K104" s="2056" t="str">
        <f t="shared" si="21"/>
        <v/>
      </c>
      <c r="L104" s="2059"/>
      <c r="M104" s="2056" t="str">
        <f t="shared" si="22"/>
        <v/>
      </c>
      <c r="N104" s="2059">
        <v>47038</v>
      </c>
      <c r="O104" s="2056">
        <f t="shared" si="23"/>
        <v>788.68828050596233</v>
      </c>
      <c r="P104" s="2059">
        <v>43906</v>
      </c>
      <c r="Q104" s="2056">
        <f t="shared" si="24"/>
        <v>736.17389438102782</v>
      </c>
      <c r="R104" s="2059">
        <v>130566</v>
      </c>
      <c r="S104" s="2056">
        <f t="shared" si="25"/>
        <v>2189.2060468672453</v>
      </c>
      <c r="T104" s="2059"/>
      <c r="U104" s="2056" t="str">
        <f t="shared" si="26"/>
        <v/>
      </c>
      <c r="V104" s="2059">
        <v>92079</v>
      </c>
      <c r="W104" s="2056">
        <f t="shared" si="27"/>
        <v>1543.8927713913965</v>
      </c>
      <c r="X104" s="2059"/>
      <c r="Y104" s="2056" t="str">
        <f t="shared" si="28"/>
        <v/>
      </c>
      <c r="Z104" s="2059">
        <v>13202</v>
      </c>
      <c r="AA104" s="2056">
        <f t="shared" si="29"/>
        <v>221.35853308473395</v>
      </c>
      <c r="AB104" s="2059"/>
      <c r="AC104" s="2056" t="str">
        <f t="shared" si="30"/>
        <v/>
      </c>
      <c r="AD104" s="2059">
        <v>18135</v>
      </c>
      <c r="AE104" s="2056">
        <f t="shared" si="31"/>
        <v>304.07036793604379</v>
      </c>
      <c r="AF104" s="2059"/>
      <c r="AG104" s="2056" t="str">
        <f t="shared" si="32"/>
        <v/>
      </c>
      <c r="AH104" s="2059"/>
      <c r="AI104" s="2056" t="str">
        <f t="shared" si="33"/>
        <v/>
      </c>
      <c r="AJ104" s="2059">
        <v>49638</v>
      </c>
      <c r="AK104" s="2056">
        <f t="shared" si="34"/>
        <v>832.28259848962455</v>
      </c>
      <c r="AL104" s="2059"/>
      <c r="AM104" s="2056" t="str">
        <f t="shared" si="35"/>
        <v/>
      </c>
      <c r="AN104" s="2059">
        <v>44129</v>
      </c>
      <c r="AO104" s="2056">
        <f t="shared" si="36"/>
        <v>739.91294550039572</v>
      </c>
      <c r="AP104" s="2059">
        <v>971306</v>
      </c>
      <c r="AQ104" s="2056">
        <f t="shared" si="37"/>
        <v>16285.931778245766</v>
      </c>
    </row>
    <row r="105" spans="1:43">
      <c r="A105" s="2058"/>
      <c r="D105" s="2059">
        <v>1626</v>
      </c>
      <c r="E105" s="2056" t="str">
        <f t="shared" si="19"/>
        <v/>
      </c>
      <c r="F105" s="2059"/>
      <c r="G105" s="2056" t="str">
        <f t="shared" si="19"/>
        <v/>
      </c>
      <c r="H105" s="2059"/>
      <c r="I105" s="2056" t="str">
        <f t="shared" si="20"/>
        <v/>
      </c>
      <c r="J105" s="2059"/>
      <c r="K105" s="2056" t="str">
        <f t="shared" si="21"/>
        <v/>
      </c>
      <c r="L105" s="2059"/>
      <c r="M105" s="2056" t="str">
        <f t="shared" si="22"/>
        <v/>
      </c>
      <c r="N105" s="2059"/>
      <c r="O105" s="2056" t="str">
        <f t="shared" si="23"/>
        <v/>
      </c>
      <c r="P105" s="2059"/>
      <c r="Q105" s="2056" t="str">
        <f t="shared" si="24"/>
        <v/>
      </c>
      <c r="R105" s="2059">
        <v>30</v>
      </c>
      <c r="S105" s="2056" t="str">
        <f t="shared" si="25"/>
        <v/>
      </c>
      <c r="T105" s="2059"/>
      <c r="U105" s="2056" t="str">
        <f t="shared" si="26"/>
        <v/>
      </c>
      <c r="V105" s="2059"/>
      <c r="W105" s="2056" t="str">
        <f t="shared" si="27"/>
        <v/>
      </c>
      <c r="X105" s="2059"/>
      <c r="Y105" s="2056" t="str">
        <f t="shared" si="28"/>
        <v/>
      </c>
      <c r="Z105" s="2059"/>
      <c r="AA105" s="2056" t="str">
        <f t="shared" si="29"/>
        <v/>
      </c>
      <c r="AB105" s="2059"/>
      <c r="AC105" s="2056" t="str">
        <f t="shared" si="30"/>
        <v/>
      </c>
      <c r="AD105" s="2059">
        <v>16311</v>
      </c>
      <c r="AE105" s="2056" t="str">
        <f t="shared" si="31"/>
        <v/>
      </c>
      <c r="AF105" s="2059"/>
      <c r="AG105" s="2056" t="str">
        <f t="shared" si="32"/>
        <v/>
      </c>
      <c r="AH105" s="2059"/>
      <c r="AI105" s="2056" t="str">
        <f t="shared" si="33"/>
        <v/>
      </c>
      <c r="AJ105" s="2059">
        <v>2225</v>
      </c>
      <c r="AK105" s="2056" t="str">
        <f t="shared" si="34"/>
        <v/>
      </c>
      <c r="AL105" s="2059"/>
      <c r="AM105" s="2056" t="str">
        <f t="shared" si="35"/>
        <v/>
      </c>
      <c r="AN105" s="2059"/>
      <c r="AO105" s="2056" t="str">
        <f t="shared" si="36"/>
        <v/>
      </c>
      <c r="AP105" s="2059">
        <v>18566</v>
      </c>
      <c r="AQ105" s="2056" t="str">
        <f t="shared" si="37"/>
        <v/>
      </c>
    </row>
    <row r="106" spans="1:43">
      <c r="A106" s="2058"/>
      <c r="B106">
        <v>105.95520999999999</v>
      </c>
      <c r="D106" s="2059">
        <v>1266039</v>
      </c>
      <c r="E106" s="2056">
        <f t="shared" si="19"/>
        <v>11948.813088096376</v>
      </c>
      <c r="F106" s="2059">
        <v>926205</v>
      </c>
      <c r="G106" s="2056">
        <f t="shared" si="19"/>
        <v>8741.4767051096405</v>
      </c>
      <c r="H106" s="2059"/>
      <c r="I106" s="2056" t="str">
        <f t="shared" si="20"/>
        <v/>
      </c>
      <c r="J106" s="2059"/>
      <c r="K106" s="2056" t="str">
        <f t="shared" si="21"/>
        <v/>
      </c>
      <c r="L106" s="2059"/>
      <c r="M106" s="2056" t="str">
        <f t="shared" si="22"/>
        <v/>
      </c>
      <c r="N106" s="2059">
        <v>82846</v>
      </c>
      <c r="O106" s="2056">
        <f t="shared" si="23"/>
        <v>781.89642585768081</v>
      </c>
      <c r="P106" s="2059">
        <v>138002</v>
      </c>
      <c r="Q106" s="2056">
        <f t="shared" si="24"/>
        <v>1302.4560094779672</v>
      </c>
      <c r="R106" s="2059">
        <v>189837</v>
      </c>
      <c r="S106" s="2056">
        <f t="shared" si="25"/>
        <v>1791.6721603402043</v>
      </c>
      <c r="T106" s="2059">
        <v>339</v>
      </c>
      <c r="U106" s="2056">
        <f t="shared" si="26"/>
        <v>3.199465132483811</v>
      </c>
      <c r="V106" s="2059">
        <v>163456</v>
      </c>
      <c r="W106" s="2056">
        <f t="shared" si="27"/>
        <v>1542.6895949713091</v>
      </c>
      <c r="X106" s="2059"/>
      <c r="Y106" s="2056" t="str">
        <f t="shared" si="28"/>
        <v/>
      </c>
      <c r="Z106" s="2059">
        <v>1419</v>
      </c>
      <c r="AA106" s="2056">
        <f t="shared" si="29"/>
        <v>13.392451395264095</v>
      </c>
      <c r="AB106" s="2059">
        <v>361</v>
      </c>
      <c r="AC106" s="2056">
        <f t="shared" si="30"/>
        <v>3.4071000378367429</v>
      </c>
      <c r="AD106" s="2059">
        <v>10409</v>
      </c>
      <c r="AE106" s="2056">
        <f t="shared" si="31"/>
        <v>98.239624082666637</v>
      </c>
      <c r="AF106" s="2059">
        <v>816</v>
      </c>
      <c r="AG106" s="2056">
        <f t="shared" si="32"/>
        <v>7.701367398545103</v>
      </c>
      <c r="AH106" s="2059"/>
      <c r="AI106" s="2056" t="str">
        <f t="shared" si="33"/>
        <v/>
      </c>
      <c r="AJ106" s="2059">
        <v>134974</v>
      </c>
      <c r="AK106" s="2056">
        <f t="shared" si="34"/>
        <v>1273.8778961412092</v>
      </c>
      <c r="AL106" s="2059"/>
      <c r="AM106" s="2056" t="str">
        <f t="shared" si="35"/>
        <v/>
      </c>
      <c r="AN106" s="2059">
        <v>81016</v>
      </c>
      <c r="AO106" s="2056">
        <f t="shared" si="36"/>
        <v>764.62497691241424</v>
      </c>
      <c r="AP106" s="2059">
        <v>1729680</v>
      </c>
      <c r="AQ106" s="2056">
        <f t="shared" si="37"/>
        <v>16324.633776857221</v>
      </c>
    </row>
    <row r="107" spans="1:43">
      <c r="A107" s="2058"/>
      <c r="D107" s="2059">
        <v>3661</v>
      </c>
      <c r="E107" s="2056" t="str">
        <f t="shared" si="19"/>
        <v/>
      </c>
      <c r="F107" s="2059"/>
      <c r="G107" s="2056" t="str">
        <f t="shared" si="19"/>
        <v/>
      </c>
      <c r="H107" s="2059"/>
      <c r="I107" s="2056" t="str">
        <f t="shared" si="20"/>
        <v/>
      </c>
      <c r="J107" s="2059"/>
      <c r="K107" s="2056" t="str">
        <f t="shared" si="21"/>
        <v/>
      </c>
      <c r="L107" s="2059"/>
      <c r="M107" s="2056" t="str">
        <f t="shared" si="22"/>
        <v/>
      </c>
      <c r="N107" s="2059"/>
      <c r="O107" s="2056" t="str">
        <f t="shared" si="23"/>
        <v/>
      </c>
      <c r="P107" s="2059">
        <v>963</v>
      </c>
      <c r="Q107" s="2056" t="str">
        <f t="shared" si="24"/>
        <v/>
      </c>
      <c r="R107" s="2059">
        <v>478</v>
      </c>
      <c r="S107" s="2056" t="str">
        <f t="shared" si="25"/>
        <v/>
      </c>
      <c r="T107" s="2059"/>
      <c r="U107" s="2056" t="str">
        <f t="shared" si="26"/>
        <v/>
      </c>
      <c r="V107" s="2059"/>
      <c r="W107" s="2056" t="str">
        <f t="shared" si="27"/>
        <v/>
      </c>
      <c r="X107" s="2059"/>
      <c r="Y107" s="2056" t="str">
        <f t="shared" si="28"/>
        <v/>
      </c>
      <c r="Z107" s="2059">
        <v>72</v>
      </c>
      <c r="AA107" s="2056" t="str">
        <f t="shared" si="29"/>
        <v/>
      </c>
      <c r="AB107" s="2059">
        <v>187</v>
      </c>
      <c r="AC107" s="2056" t="str">
        <f t="shared" si="30"/>
        <v/>
      </c>
      <c r="AD107" s="2059">
        <v>71689</v>
      </c>
      <c r="AE107" s="2056" t="str">
        <f t="shared" si="31"/>
        <v/>
      </c>
      <c r="AF107" s="2059">
        <v>44</v>
      </c>
      <c r="AG107" s="2056" t="str">
        <f t="shared" si="32"/>
        <v/>
      </c>
      <c r="AH107" s="2059"/>
      <c r="AI107" s="2056" t="str">
        <f t="shared" si="33"/>
        <v/>
      </c>
      <c r="AJ107" s="2059">
        <v>820</v>
      </c>
      <c r="AK107" s="2056" t="str">
        <f t="shared" si="34"/>
        <v/>
      </c>
      <c r="AL107" s="2059"/>
      <c r="AM107" s="2056" t="str">
        <f t="shared" si="35"/>
        <v/>
      </c>
      <c r="AN107" s="2059">
        <v>3239</v>
      </c>
      <c r="AO107" s="2056" t="str">
        <f t="shared" si="36"/>
        <v/>
      </c>
      <c r="AP107" s="2059">
        <v>77492</v>
      </c>
      <c r="AQ107" s="2056" t="str">
        <f t="shared" si="37"/>
        <v/>
      </c>
    </row>
    <row r="108" spans="1:43">
      <c r="A108" s="2048" t="s">
        <v>1298</v>
      </c>
      <c r="B108" s="2054">
        <v>5.71</v>
      </c>
      <c r="D108" s="2055">
        <v>16090</v>
      </c>
      <c r="E108" s="2056">
        <f t="shared" si="19"/>
        <v>2817.8633975481612</v>
      </c>
      <c r="F108" s="2055">
        <v>385</v>
      </c>
      <c r="G108" s="2056">
        <f t="shared" si="19"/>
        <v>67.425569176882661</v>
      </c>
      <c r="H108" s="2055"/>
      <c r="I108" s="2056" t="str">
        <f t="shared" si="20"/>
        <v/>
      </c>
      <c r="J108" s="2055"/>
      <c r="K108" s="2056" t="str">
        <f t="shared" si="21"/>
        <v/>
      </c>
      <c r="L108" s="2055"/>
      <c r="M108" s="2056" t="str">
        <f t="shared" si="22"/>
        <v/>
      </c>
      <c r="N108" s="2055">
        <v>506</v>
      </c>
      <c r="O108" s="2056">
        <f t="shared" si="23"/>
        <v>88.616462346760073</v>
      </c>
      <c r="P108" s="2055">
        <v>1078</v>
      </c>
      <c r="Q108" s="2056">
        <f t="shared" si="24"/>
        <v>188.79159369527144</v>
      </c>
      <c r="R108" s="2055">
        <v>4676</v>
      </c>
      <c r="S108" s="2056">
        <f t="shared" si="25"/>
        <v>818.91418563922946</v>
      </c>
      <c r="T108" s="2055">
        <v>5047</v>
      </c>
      <c r="U108" s="2056">
        <f t="shared" si="26"/>
        <v>883.88791593695271</v>
      </c>
      <c r="V108" s="2055"/>
      <c r="W108" s="2056" t="str">
        <f t="shared" si="27"/>
        <v/>
      </c>
      <c r="X108" s="2055"/>
      <c r="Y108" s="2056" t="str">
        <f t="shared" si="28"/>
        <v/>
      </c>
      <c r="Z108" s="2055"/>
      <c r="AA108" s="2056" t="str">
        <f t="shared" si="29"/>
        <v/>
      </c>
      <c r="AB108" s="2055">
        <v>40</v>
      </c>
      <c r="AC108" s="2056">
        <f t="shared" si="30"/>
        <v>7.0052539404553418</v>
      </c>
      <c r="AD108" s="2055"/>
      <c r="AE108" s="2056" t="str">
        <f t="shared" si="31"/>
        <v/>
      </c>
      <c r="AF108" s="2055"/>
      <c r="AG108" s="2056" t="str">
        <f t="shared" si="32"/>
        <v/>
      </c>
      <c r="AH108" s="2055"/>
      <c r="AI108" s="2056" t="str">
        <f t="shared" si="33"/>
        <v/>
      </c>
      <c r="AJ108" s="2055">
        <v>115</v>
      </c>
      <c r="AK108" s="2056">
        <f t="shared" si="34"/>
        <v>20.140105078809107</v>
      </c>
      <c r="AL108" s="2055"/>
      <c r="AM108" s="2056" t="str">
        <f t="shared" si="35"/>
        <v/>
      </c>
      <c r="AN108" s="2055"/>
      <c r="AO108" s="2056" t="str">
        <f t="shared" si="36"/>
        <v/>
      </c>
      <c r="AP108" s="2055">
        <v>11847</v>
      </c>
      <c r="AQ108" s="2056">
        <f t="shared" si="37"/>
        <v>2074.7810858143607</v>
      </c>
    </row>
    <row r="109" spans="1:43">
      <c r="A109" s="2048" t="s">
        <v>1299</v>
      </c>
      <c r="B109" s="2054">
        <v>0.312</v>
      </c>
      <c r="D109" s="2055"/>
      <c r="E109" s="2056" t="str">
        <f t="shared" si="19"/>
        <v/>
      </c>
      <c r="F109" s="2055"/>
      <c r="G109" s="2056" t="str">
        <f t="shared" si="19"/>
        <v/>
      </c>
      <c r="H109" s="2055"/>
      <c r="I109" s="2056" t="str">
        <f t="shared" si="20"/>
        <v/>
      </c>
      <c r="J109" s="2055"/>
      <c r="K109" s="2056" t="str">
        <f t="shared" si="21"/>
        <v/>
      </c>
      <c r="L109" s="2055"/>
      <c r="M109" s="2056" t="str">
        <f t="shared" si="22"/>
        <v/>
      </c>
      <c r="N109" s="2055">
        <v>65</v>
      </c>
      <c r="O109" s="2056">
        <f t="shared" si="23"/>
        <v>208.33333333333334</v>
      </c>
      <c r="P109" s="2055">
        <v>676</v>
      </c>
      <c r="Q109" s="2056">
        <f t="shared" si="24"/>
        <v>2166.6666666666665</v>
      </c>
      <c r="R109" s="2055">
        <v>5</v>
      </c>
      <c r="S109" s="2056">
        <f t="shared" si="25"/>
        <v>16.025641025641026</v>
      </c>
      <c r="T109" s="2055"/>
      <c r="U109" s="2056" t="str">
        <f t="shared" si="26"/>
        <v/>
      </c>
      <c r="V109" s="2055"/>
      <c r="W109" s="2056" t="str">
        <f t="shared" si="27"/>
        <v/>
      </c>
      <c r="X109" s="2055"/>
      <c r="Y109" s="2056" t="str">
        <f t="shared" si="28"/>
        <v/>
      </c>
      <c r="Z109" s="2055"/>
      <c r="AA109" s="2056" t="str">
        <f t="shared" si="29"/>
        <v/>
      </c>
      <c r="AB109" s="2055"/>
      <c r="AC109" s="2056" t="str">
        <f t="shared" si="30"/>
        <v/>
      </c>
      <c r="AD109" s="2055"/>
      <c r="AE109" s="2056" t="str">
        <f t="shared" si="31"/>
        <v/>
      </c>
      <c r="AF109" s="2055"/>
      <c r="AG109" s="2056" t="str">
        <f t="shared" si="32"/>
        <v/>
      </c>
      <c r="AH109" s="2055"/>
      <c r="AI109" s="2056" t="str">
        <f t="shared" si="33"/>
        <v/>
      </c>
      <c r="AJ109" s="2055">
        <v>35</v>
      </c>
      <c r="AK109" s="2056">
        <f t="shared" si="34"/>
        <v>112.17948717948718</v>
      </c>
      <c r="AL109" s="2055"/>
      <c r="AM109" s="2056" t="str">
        <f t="shared" si="35"/>
        <v/>
      </c>
      <c r="AN109" s="2055"/>
      <c r="AO109" s="2056" t="str">
        <f t="shared" si="36"/>
        <v/>
      </c>
      <c r="AP109" s="2055">
        <v>781</v>
      </c>
      <c r="AQ109" s="2056">
        <f t="shared" si="37"/>
        <v>2503.2051282051284</v>
      </c>
    </row>
    <row r="110" spans="1:43">
      <c r="E110" s="2056" t="str">
        <f t="shared" si="19"/>
        <v/>
      </c>
      <c r="G110" s="2056" t="str">
        <f t="shared" si="19"/>
        <v/>
      </c>
      <c r="I110" s="2056" t="str">
        <f t="shared" si="20"/>
        <v/>
      </c>
      <c r="K110" s="2056" t="str">
        <f t="shared" si="21"/>
        <v/>
      </c>
      <c r="M110" s="2056" t="str">
        <f t="shared" si="22"/>
        <v/>
      </c>
      <c r="O110" s="2056" t="str">
        <f t="shared" si="23"/>
        <v/>
      </c>
      <c r="Q110" s="2056" t="str">
        <f t="shared" si="24"/>
        <v/>
      </c>
      <c r="S110" s="2056" t="str">
        <f t="shared" si="25"/>
        <v/>
      </c>
      <c r="U110" s="2056" t="str">
        <f t="shared" si="26"/>
        <v/>
      </c>
      <c r="W110" s="2056" t="str">
        <f t="shared" si="27"/>
        <v/>
      </c>
      <c r="Y110" s="2056" t="str">
        <f t="shared" si="28"/>
        <v/>
      </c>
      <c r="AA110" s="2056" t="str">
        <f t="shared" si="29"/>
        <v/>
      </c>
      <c r="AC110" s="2056" t="str">
        <f t="shared" si="30"/>
        <v/>
      </c>
      <c r="AE110" s="2056" t="str">
        <f t="shared" si="31"/>
        <v/>
      </c>
      <c r="AG110" s="2056" t="str">
        <f t="shared" si="32"/>
        <v/>
      </c>
      <c r="AI110" s="2056" t="str">
        <f t="shared" si="33"/>
        <v/>
      </c>
      <c r="AK110" s="2056" t="str">
        <f t="shared" si="34"/>
        <v/>
      </c>
      <c r="AM110" s="2056" t="str">
        <f t="shared" si="35"/>
        <v/>
      </c>
      <c r="AO110" s="2056" t="str">
        <f t="shared" si="36"/>
        <v/>
      </c>
      <c r="AQ110" s="2056" t="str">
        <f t="shared" si="37"/>
        <v/>
      </c>
    </row>
    <row r="111" spans="1:43">
      <c r="E111" s="2056" t="str">
        <f t="shared" si="19"/>
        <v/>
      </c>
      <c r="G111" s="2056" t="str">
        <f t="shared" si="19"/>
        <v/>
      </c>
      <c r="I111" s="2056" t="str">
        <f t="shared" si="20"/>
        <v/>
      </c>
      <c r="K111" s="2056" t="str">
        <f t="shared" si="21"/>
        <v/>
      </c>
      <c r="M111" s="2056" t="str">
        <f t="shared" si="22"/>
        <v/>
      </c>
      <c r="O111" s="2056" t="str">
        <f t="shared" si="23"/>
        <v/>
      </c>
      <c r="Q111" s="2056" t="str">
        <f t="shared" si="24"/>
        <v/>
      </c>
      <c r="S111" s="2056" t="str">
        <f t="shared" si="25"/>
        <v/>
      </c>
      <c r="U111" s="2056" t="str">
        <f t="shared" si="26"/>
        <v/>
      </c>
      <c r="W111" s="2056" t="str">
        <f t="shared" si="27"/>
        <v/>
      </c>
      <c r="Y111" s="2056" t="str">
        <f t="shared" si="28"/>
        <v/>
      </c>
      <c r="AA111" s="2056" t="str">
        <f t="shared" si="29"/>
        <v/>
      </c>
      <c r="AC111" s="2056" t="str">
        <f t="shared" si="30"/>
        <v/>
      </c>
      <c r="AE111" s="2056" t="str">
        <f t="shared" si="31"/>
        <v/>
      </c>
      <c r="AG111" s="2056" t="str">
        <f t="shared" si="32"/>
        <v/>
      </c>
      <c r="AI111" s="2056" t="str">
        <f t="shared" si="33"/>
        <v/>
      </c>
      <c r="AK111" s="2056" t="str">
        <f t="shared" si="34"/>
        <v/>
      </c>
      <c r="AM111" s="2056" t="str">
        <f t="shared" si="35"/>
        <v/>
      </c>
      <c r="AO111" s="2056" t="str">
        <f t="shared" si="36"/>
        <v/>
      </c>
      <c r="AQ111" s="2056" t="str">
        <f t="shared" si="37"/>
        <v/>
      </c>
    </row>
    <row r="112" spans="1:43">
      <c r="E112" s="2056" t="str">
        <f t="shared" si="19"/>
        <v/>
      </c>
      <c r="G112" s="2056" t="str">
        <f t="shared" si="19"/>
        <v/>
      </c>
      <c r="I112" s="2056" t="str">
        <f t="shared" si="20"/>
        <v/>
      </c>
      <c r="K112" s="2056" t="str">
        <f t="shared" si="21"/>
        <v/>
      </c>
      <c r="M112" s="2056" t="str">
        <f t="shared" si="22"/>
        <v/>
      </c>
      <c r="O112" s="2056" t="str">
        <f t="shared" si="23"/>
        <v/>
      </c>
      <c r="Q112" s="2056" t="str">
        <f t="shared" si="24"/>
        <v/>
      </c>
      <c r="S112" s="2056" t="str">
        <f t="shared" si="25"/>
        <v/>
      </c>
      <c r="U112" s="2056" t="str">
        <f t="shared" si="26"/>
        <v/>
      </c>
      <c r="W112" s="2056" t="str">
        <f t="shared" si="27"/>
        <v/>
      </c>
      <c r="Y112" s="2056" t="str">
        <f t="shared" si="28"/>
        <v/>
      </c>
      <c r="AA112" s="2056" t="str">
        <f t="shared" si="29"/>
        <v/>
      </c>
      <c r="AC112" s="2056" t="str">
        <f t="shared" si="30"/>
        <v/>
      </c>
      <c r="AE112" s="2056" t="str">
        <f t="shared" si="31"/>
        <v/>
      </c>
      <c r="AG112" s="2056" t="str">
        <f t="shared" si="32"/>
        <v/>
      </c>
      <c r="AI112" s="2056" t="str">
        <f t="shared" si="33"/>
        <v/>
      </c>
      <c r="AK112" s="2056" t="str">
        <f t="shared" si="34"/>
        <v/>
      </c>
      <c r="AM112" s="2056" t="str">
        <f t="shared" si="35"/>
        <v/>
      </c>
      <c r="AO112" s="2056" t="str">
        <f t="shared" si="36"/>
        <v/>
      </c>
      <c r="AQ112" s="2056" t="str">
        <f t="shared" si="37"/>
        <v/>
      </c>
    </row>
    <row r="113" spans="2:43">
      <c r="B113">
        <f>SUM(B12:B109)-B95-B70-B61</f>
        <v>4751.8502320566904</v>
      </c>
      <c r="D113" s="795">
        <f>SUM(D12:D109)-D95-D70-D61</f>
        <v>41387611.32</v>
      </c>
      <c r="E113" s="2046">
        <f t="shared" si="19"/>
        <v>8709.7886715353525</v>
      </c>
      <c r="G113" s="2046" t="str">
        <f t="shared" si="19"/>
        <v/>
      </c>
      <c r="I113" s="2046" t="str">
        <f t="shared" si="20"/>
        <v/>
      </c>
      <c r="K113" s="2046" t="str">
        <f t="shared" si="21"/>
        <v/>
      </c>
      <c r="M113" s="2046" t="str">
        <f t="shared" si="22"/>
        <v/>
      </c>
      <c r="N113" s="795">
        <f>SUM(N12:N111)</f>
        <v>909950.88</v>
      </c>
      <c r="O113" s="2046">
        <f t="shared" si="23"/>
        <v>191.49401508097534</v>
      </c>
      <c r="P113" s="795">
        <f>SUM(P12:P110)-P94</f>
        <v>2872638.75</v>
      </c>
      <c r="Q113" s="2046">
        <f t="shared" si="24"/>
        <v>604.53057434780885</v>
      </c>
      <c r="R113" s="795">
        <f>SUM(R12:R109)-R70</f>
        <v>6528821.71</v>
      </c>
      <c r="S113" s="2046">
        <f t="shared" si="25"/>
        <v>1373.9535951608059</v>
      </c>
      <c r="T113" s="795">
        <f>SUM(T12:T111)</f>
        <v>113306.18</v>
      </c>
      <c r="U113" s="2046">
        <f t="shared" si="26"/>
        <v>23.844644605088689</v>
      </c>
      <c r="V113" s="795">
        <f>SUM(V12:V109)</f>
        <v>3832785.9899999998</v>
      </c>
      <c r="W113" s="2046">
        <f t="shared" si="27"/>
        <v>806.58812942871259</v>
      </c>
      <c r="X113" s="795">
        <f>SUM(X12:X109)-X17</f>
        <v>206092.84</v>
      </c>
      <c r="Y113" s="2046">
        <f t="shared" si="28"/>
        <v>43.371072305618341</v>
      </c>
      <c r="Z113" s="795">
        <f>SUM(Z12:Z109)</f>
        <v>589119.99</v>
      </c>
      <c r="AA113" s="2046">
        <f t="shared" si="29"/>
        <v>123.97696922889293</v>
      </c>
      <c r="AB113" s="795">
        <f>SUM(AB12:AB112)-AB92</f>
        <v>421876.26</v>
      </c>
      <c r="AC113" s="2046">
        <f t="shared" si="30"/>
        <v>88.781472352381783</v>
      </c>
      <c r="AD113" s="795">
        <f>SUM(AD11:AD111)-AD79-AD82</f>
        <v>2493250.4299999997</v>
      </c>
      <c r="AE113" s="2046">
        <f t="shared" si="31"/>
        <v>524.69044861308134</v>
      </c>
      <c r="AF113" s="795">
        <f>SUM(AF12:AF112)</f>
        <v>1023</v>
      </c>
      <c r="AG113" s="2046">
        <f t="shared" si="32"/>
        <v>0.21528456286325892</v>
      </c>
      <c r="AI113" s="2046" t="str">
        <f t="shared" si="33"/>
        <v/>
      </c>
      <c r="AJ113" s="795">
        <f>SUM(AJ12:AJ111)-AJ93-AJ95-AJ70-AJ29</f>
        <v>3375489.97</v>
      </c>
      <c r="AK113" s="2046">
        <f t="shared" si="34"/>
        <v>710.35276895480445</v>
      </c>
      <c r="AM113" s="2046" t="str">
        <f t="shared" si="35"/>
        <v/>
      </c>
      <c r="AN113" s="795">
        <f>SUM(AN12:AN112)-AN16-AN95</f>
        <v>763648.38</v>
      </c>
      <c r="AO113" s="2046">
        <f t="shared" si="36"/>
        <v>160.70548159289916</v>
      </c>
      <c r="AP113" s="795">
        <f>SUM(AP12:AP112)</f>
        <v>39232795.439999998</v>
      </c>
      <c r="AQ113" s="2046">
        <f t="shared" si="37"/>
        <v>8256.319859437006</v>
      </c>
    </row>
    <row r="114" spans="2:43">
      <c r="E114" s="2056" t="str">
        <f t="shared" si="19"/>
        <v/>
      </c>
      <c r="G114" s="2056" t="str">
        <f t="shared" si="19"/>
        <v/>
      </c>
      <c r="I114" s="2056" t="str">
        <f t="shared" si="20"/>
        <v/>
      </c>
      <c r="K114" s="2056" t="str">
        <f t="shared" si="21"/>
        <v/>
      </c>
      <c r="M114" s="2056" t="str">
        <f t="shared" si="22"/>
        <v/>
      </c>
      <c r="O114" s="2056" t="str">
        <f t="shared" si="23"/>
        <v/>
      </c>
      <c r="Q114" s="2056" t="str">
        <f t="shared" si="24"/>
        <v/>
      </c>
      <c r="S114" s="2056" t="str">
        <f t="shared" si="25"/>
        <v/>
      </c>
      <c r="U114" s="2056" t="str">
        <f t="shared" si="26"/>
        <v/>
      </c>
      <c r="W114" s="2056" t="str">
        <f t="shared" si="27"/>
        <v/>
      </c>
      <c r="Y114" s="2056" t="str">
        <f t="shared" si="28"/>
        <v/>
      </c>
      <c r="AA114" s="2056" t="str">
        <f t="shared" si="29"/>
        <v/>
      </c>
      <c r="AC114" s="2056" t="str">
        <f t="shared" si="30"/>
        <v/>
      </c>
      <c r="AE114" s="2056" t="str">
        <f t="shared" si="31"/>
        <v/>
      </c>
      <c r="AG114" s="2056" t="str">
        <f t="shared" si="32"/>
        <v/>
      </c>
      <c r="AI114" s="2056" t="str">
        <f t="shared" si="33"/>
        <v/>
      </c>
      <c r="AK114" s="2056" t="str">
        <f t="shared" si="34"/>
        <v/>
      </c>
      <c r="AM114" s="2056" t="str">
        <f t="shared" si="35"/>
        <v/>
      </c>
      <c r="AO114" s="2056" t="str">
        <f t="shared" si="36"/>
        <v/>
      </c>
      <c r="AQ114" s="2056" t="str">
        <f t="shared" si="37"/>
        <v/>
      </c>
    </row>
    <row r="115" spans="2:43">
      <c r="E115" s="2056" t="str">
        <f t="shared" si="19"/>
        <v/>
      </c>
      <c r="G115" s="2056" t="str">
        <f t="shared" si="19"/>
        <v/>
      </c>
      <c r="I115" s="2056" t="str">
        <f t="shared" si="20"/>
        <v/>
      </c>
      <c r="K115" s="2056" t="str">
        <f t="shared" si="21"/>
        <v/>
      </c>
      <c r="M115" s="2056" t="str">
        <f t="shared" si="22"/>
        <v/>
      </c>
      <c r="O115" s="2056" t="str">
        <f t="shared" si="23"/>
        <v/>
      </c>
      <c r="Q115" s="2056" t="str">
        <f t="shared" si="24"/>
        <v/>
      </c>
      <c r="S115" s="2056" t="str">
        <f t="shared" si="25"/>
        <v/>
      </c>
      <c r="U115" s="2056" t="str">
        <f t="shared" si="26"/>
        <v/>
      </c>
      <c r="W115" s="2056" t="str">
        <f t="shared" si="27"/>
        <v/>
      </c>
      <c r="Y115" s="2056" t="str">
        <f t="shared" si="28"/>
        <v/>
      </c>
      <c r="AA115" s="2056" t="str">
        <f t="shared" si="29"/>
        <v/>
      </c>
      <c r="AC115" s="2056" t="str">
        <f t="shared" si="30"/>
        <v/>
      </c>
      <c r="AE115" s="2056" t="str">
        <f t="shared" si="31"/>
        <v/>
      </c>
      <c r="AG115" s="2056" t="str">
        <f t="shared" si="32"/>
        <v/>
      </c>
      <c r="AI115" s="2056" t="str">
        <f t="shared" si="33"/>
        <v/>
      </c>
      <c r="AK115" s="2056" t="str">
        <f t="shared" si="34"/>
        <v/>
      </c>
      <c r="AM115" s="2056" t="str">
        <f t="shared" si="35"/>
        <v/>
      </c>
      <c r="AO115" s="2056" t="str">
        <f t="shared" si="36"/>
        <v/>
      </c>
      <c r="AQ115" s="2056" t="str">
        <f t="shared" si="37"/>
        <v/>
      </c>
    </row>
    <row r="116" spans="2:43">
      <c r="E116" s="2056" t="str">
        <f t="shared" si="19"/>
        <v/>
      </c>
      <c r="G116" s="2056" t="str">
        <f t="shared" si="19"/>
        <v/>
      </c>
      <c r="I116" s="2056" t="str">
        <f t="shared" si="20"/>
        <v/>
      </c>
      <c r="K116" s="2056" t="str">
        <f t="shared" si="21"/>
        <v/>
      </c>
      <c r="M116" s="2056" t="str">
        <f t="shared" si="22"/>
        <v/>
      </c>
      <c r="O116" s="2056" t="str">
        <f t="shared" si="23"/>
        <v/>
      </c>
      <c r="Q116" s="2056" t="str">
        <f t="shared" si="24"/>
        <v/>
      </c>
      <c r="S116" s="2056" t="str">
        <f t="shared" si="25"/>
        <v/>
      </c>
      <c r="U116" s="2056" t="str">
        <f t="shared" si="26"/>
        <v/>
      </c>
      <c r="W116" s="2056" t="str">
        <f t="shared" si="27"/>
        <v/>
      </c>
      <c r="Y116" s="2056" t="str">
        <f t="shared" si="28"/>
        <v/>
      </c>
      <c r="AA116" s="2056" t="str">
        <f t="shared" si="29"/>
        <v/>
      </c>
      <c r="AC116" s="2056" t="str">
        <f t="shared" si="30"/>
        <v/>
      </c>
      <c r="AE116" s="2056" t="str">
        <f t="shared" si="31"/>
        <v/>
      </c>
      <c r="AG116" s="2056" t="str">
        <f t="shared" si="32"/>
        <v/>
      </c>
      <c r="AI116" s="2056" t="str">
        <f t="shared" si="33"/>
        <v/>
      </c>
      <c r="AK116" s="2056" t="str">
        <f t="shared" si="34"/>
        <v/>
      </c>
      <c r="AM116" s="2056" t="str">
        <f t="shared" si="35"/>
        <v/>
      </c>
      <c r="AO116" s="2056" t="str">
        <f t="shared" si="36"/>
        <v/>
      </c>
      <c r="AQ116" s="2056" t="str">
        <f t="shared" si="37"/>
        <v/>
      </c>
    </row>
    <row r="117" spans="2:43">
      <c r="E117" s="2056" t="str">
        <f t="shared" si="19"/>
        <v/>
      </c>
      <c r="G117" s="2056" t="str">
        <f t="shared" si="19"/>
        <v/>
      </c>
      <c r="I117" s="2056" t="str">
        <f t="shared" si="20"/>
        <v/>
      </c>
      <c r="K117" s="2056" t="str">
        <f t="shared" si="21"/>
        <v/>
      </c>
      <c r="M117" s="2056" t="str">
        <f t="shared" si="22"/>
        <v/>
      </c>
      <c r="O117" s="2056" t="str">
        <f t="shared" si="23"/>
        <v/>
      </c>
      <c r="Q117" s="2060">
        <f>Q113+U113+W113+Y113</f>
        <v>1478.3344206872284</v>
      </c>
      <c r="S117" s="2056" t="str">
        <f t="shared" si="25"/>
        <v/>
      </c>
      <c r="U117" s="2056" t="str">
        <f t="shared" si="26"/>
        <v/>
      </c>
      <c r="W117" s="2056" t="str">
        <f t="shared" si="27"/>
        <v/>
      </c>
      <c r="Y117" s="2056" t="str">
        <f t="shared" si="28"/>
        <v/>
      </c>
      <c r="AA117" s="2056" t="str">
        <f t="shared" si="29"/>
        <v/>
      </c>
      <c r="AC117" s="2056" t="str">
        <f t="shared" si="30"/>
        <v/>
      </c>
      <c r="AE117" s="2056" t="str">
        <f t="shared" si="31"/>
        <v/>
      </c>
      <c r="AG117" s="2056" t="str">
        <f t="shared" si="32"/>
        <v/>
      </c>
      <c r="AI117" s="2056" t="str">
        <f t="shared" si="33"/>
        <v/>
      </c>
      <c r="AK117" s="2056" t="str">
        <f t="shared" si="34"/>
        <v/>
      </c>
      <c r="AM117" s="2056" t="str">
        <f t="shared" si="35"/>
        <v/>
      </c>
      <c r="AO117" s="2056" t="str">
        <f t="shared" si="36"/>
        <v/>
      </c>
      <c r="AQ117" s="2056" t="str">
        <f t="shared" si="37"/>
        <v/>
      </c>
    </row>
    <row r="118" spans="2:43">
      <c r="E118" s="2056" t="str">
        <f t="shared" si="19"/>
        <v/>
      </c>
      <c r="G118" s="2056" t="str">
        <f t="shared" si="19"/>
        <v/>
      </c>
      <c r="I118" s="2056" t="str">
        <f t="shared" si="20"/>
        <v/>
      </c>
      <c r="K118" s="2056" t="str">
        <f t="shared" si="21"/>
        <v/>
      </c>
      <c r="M118" s="2056" t="str">
        <f t="shared" si="22"/>
        <v/>
      </c>
      <c r="O118" s="2056" t="str">
        <f t="shared" si="23"/>
        <v/>
      </c>
      <c r="Q118" s="2056" t="str">
        <f t="shared" ref="Q118:Q181" si="38">IF(OR($B118=0,P118=0),"",P118/$B118)</f>
        <v/>
      </c>
      <c r="S118" s="2056" t="str">
        <f t="shared" si="25"/>
        <v/>
      </c>
      <c r="U118" s="2056" t="str">
        <f t="shared" ref="U118:U124" si="39">IF(OR($B118=0,T118=0),"",T118/$B118)</f>
        <v/>
      </c>
      <c r="W118" s="2056" t="str">
        <f t="shared" si="27"/>
        <v/>
      </c>
      <c r="Y118" s="2056" t="str">
        <f t="shared" si="28"/>
        <v/>
      </c>
      <c r="AA118" s="2056" t="str">
        <f t="shared" si="29"/>
        <v/>
      </c>
      <c r="AC118" s="2056" t="str">
        <f t="shared" si="30"/>
        <v/>
      </c>
      <c r="AE118" s="2056" t="str">
        <f t="shared" si="31"/>
        <v/>
      </c>
      <c r="AG118" s="2056" t="str">
        <f t="shared" si="32"/>
        <v/>
      </c>
      <c r="AI118" s="2056" t="str">
        <f t="shared" si="33"/>
        <v/>
      </c>
      <c r="AK118" s="2056" t="str">
        <f t="shared" si="34"/>
        <v/>
      </c>
      <c r="AM118" s="2056" t="str">
        <f t="shared" si="35"/>
        <v/>
      </c>
      <c r="AO118" s="2056" t="str">
        <f t="shared" si="36"/>
        <v/>
      </c>
      <c r="AQ118" s="2056" t="str">
        <f t="shared" si="37"/>
        <v/>
      </c>
    </row>
    <row r="119" spans="2:43">
      <c r="E119" s="2056" t="str">
        <f t="shared" si="19"/>
        <v/>
      </c>
      <c r="G119" s="2056" t="str">
        <f t="shared" si="19"/>
        <v/>
      </c>
      <c r="I119" s="2056" t="str">
        <f t="shared" si="20"/>
        <v/>
      </c>
      <c r="K119" s="2056" t="str">
        <f t="shared" si="21"/>
        <v/>
      </c>
      <c r="M119" s="2056" t="str">
        <f t="shared" si="22"/>
        <v/>
      </c>
      <c r="N119" s="795"/>
      <c r="O119" s="2056" t="str">
        <f t="shared" si="23"/>
        <v/>
      </c>
      <c r="Q119" s="2056" t="str">
        <f t="shared" si="38"/>
        <v/>
      </c>
      <c r="S119" s="2056" t="str">
        <f t="shared" si="25"/>
        <v/>
      </c>
      <c r="U119" s="2056" t="str">
        <f t="shared" si="39"/>
        <v/>
      </c>
      <c r="W119" s="2056" t="str">
        <f t="shared" si="27"/>
        <v/>
      </c>
      <c r="Y119" s="2056" t="str">
        <f t="shared" si="28"/>
        <v/>
      </c>
      <c r="AA119" s="2056" t="str">
        <f t="shared" si="29"/>
        <v/>
      </c>
      <c r="AC119" s="2056" t="str">
        <f t="shared" si="30"/>
        <v/>
      </c>
      <c r="AE119" s="2056" t="str">
        <f t="shared" si="31"/>
        <v/>
      </c>
      <c r="AG119" s="2056" t="str">
        <f t="shared" si="32"/>
        <v/>
      </c>
      <c r="AI119" s="2056" t="str">
        <f t="shared" si="33"/>
        <v/>
      </c>
      <c r="AK119" s="2056" t="str">
        <f t="shared" si="34"/>
        <v/>
      </c>
      <c r="AM119" s="2056" t="str">
        <f t="shared" si="35"/>
        <v/>
      </c>
      <c r="AO119" s="2056" t="str">
        <f t="shared" si="36"/>
        <v/>
      </c>
      <c r="AQ119" s="2056" t="str">
        <f t="shared" si="37"/>
        <v/>
      </c>
    </row>
    <row r="120" spans="2:43">
      <c r="E120" s="2056" t="str">
        <f t="shared" si="19"/>
        <v/>
      </c>
      <c r="G120" s="2056" t="str">
        <f t="shared" si="19"/>
        <v/>
      </c>
      <c r="I120" s="2056" t="str">
        <f t="shared" si="20"/>
        <v/>
      </c>
      <c r="K120" s="2056" t="str">
        <f t="shared" si="21"/>
        <v/>
      </c>
      <c r="M120" s="2056" t="str">
        <f t="shared" si="22"/>
        <v/>
      </c>
      <c r="O120" s="2056" t="str">
        <f t="shared" si="23"/>
        <v/>
      </c>
      <c r="Q120" s="2056" t="str">
        <f t="shared" si="38"/>
        <v/>
      </c>
      <c r="S120" s="2056" t="str">
        <f t="shared" si="25"/>
        <v/>
      </c>
      <c r="U120" s="2056" t="str">
        <f t="shared" si="39"/>
        <v/>
      </c>
      <c r="V120" s="795"/>
      <c r="W120" s="2056"/>
      <c r="Y120" s="2056" t="str">
        <f>IF(OR($B120=0,X120=0),"",X120/$B120)</f>
        <v/>
      </c>
      <c r="AA120" s="2056" t="str">
        <f t="shared" si="29"/>
        <v/>
      </c>
      <c r="AC120" s="2056" t="str">
        <f t="shared" si="30"/>
        <v/>
      </c>
      <c r="AE120" s="2056" t="str">
        <f t="shared" si="31"/>
        <v/>
      </c>
      <c r="AG120" s="2056" t="str">
        <f t="shared" si="32"/>
        <v/>
      </c>
      <c r="AI120" s="2056" t="str">
        <f t="shared" si="33"/>
        <v/>
      </c>
      <c r="AK120" s="2056" t="str">
        <f t="shared" si="34"/>
        <v/>
      </c>
      <c r="AM120" s="2056" t="str">
        <f t="shared" si="35"/>
        <v/>
      </c>
      <c r="AO120" s="2056" t="str">
        <f t="shared" si="36"/>
        <v/>
      </c>
      <c r="AQ120" s="2056" t="str">
        <f t="shared" si="37"/>
        <v/>
      </c>
    </row>
    <row r="121" spans="2:43">
      <c r="E121" s="2056" t="str">
        <f t="shared" si="19"/>
        <v/>
      </c>
      <c r="G121" s="2056" t="str">
        <f t="shared" si="19"/>
        <v/>
      </c>
      <c r="I121" s="2056" t="str">
        <f t="shared" si="20"/>
        <v/>
      </c>
      <c r="K121" s="2056" t="str">
        <f t="shared" si="21"/>
        <v/>
      </c>
      <c r="M121" s="2056" t="str">
        <f t="shared" si="22"/>
        <v/>
      </c>
      <c r="O121" s="2056" t="str">
        <f t="shared" si="23"/>
        <v/>
      </c>
      <c r="Q121" s="2056" t="str">
        <f t="shared" si="38"/>
        <v/>
      </c>
      <c r="S121" s="2056" t="str">
        <f t="shared" si="25"/>
        <v/>
      </c>
      <c r="U121" s="2056" t="str">
        <f t="shared" si="39"/>
        <v/>
      </c>
      <c r="V121" s="795"/>
      <c r="W121" s="2056"/>
      <c r="Y121" s="2056" t="str">
        <f>IF(OR($B121=0,X121=0),"",X121/$B121)</f>
        <v/>
      </c>
      <c r="AA121" s="2056" t="str">
        <f t="shared" si="29"/>
        <v/>
      </c>
      <c r="AC121" s="2056" t="str">
        <f t="shared" si="30"/>
        <v/>
      </c>
      <c r="AE121" s="2056" t="str">
        <f t="shared" si="31"/>
        <v/>
      </c>
      <c r="AG121" s="2056" t="str">
        <f t="shared" si="32"/>
        <v/>
      </c>
      <c r="AI121" s="2056" t="str">
        <f t="shared" si="33"/>
        <v/>
      </c>
      <c r="AK121" s="2056" t="str">
        <f t="shared" si="34"/>
        <v/>
      </c>
      <c r="AM121" s="2056" t="str">
        <f t="shared" si="35"/>
        <v/>
      </c>
      <c r="AO121" s="2056" t="str">
        <f t="shared" si="36"/>
        <v/>
      </c>
      <c r="AQ121" s="2056" t="str">
        <f t="shared" si="37"/>
        <v/>
      </c>
    </row>
    <row r="122" spans="2:43">
      <c r="E122" s="2056" t="str">
        <f t="shared" si="19"/>
        <v/>
      </c>
      <c r="G122" s="2056" t="str">
        <f t="shared" si="19"/>
        <v/>
      </c>
      <c r="I122" s="2056" t="str">
        <f t="shared" si="20"/>
        <v/>
      </c>
      <c r="K122" s="2056" t="str">
        <f t="shared" si="21"/>
        <v/>
      </c>
      <c r="M122" s="2056" t="str">
        <f t="shared" si="22"/>
        <v/>
      </c>
      <c r="O122" s="2056" t="str">
        <f t="shared" si="23"/>
        <v/>
      </c>
      <c r="Q122" s="2056" t="str">
        <f t="shared" si="38"/>
        <v/>
      </c>
      <c r="S122" s="2056" t="str">
        <f t="shared" si="25"/>
        <v/>
      </c>
      <c r="T122" t="s">
        <v>1300</v>
      </c>
      <c r="U122" s="2056" t="str">
        <f t="shared" si="39"/>
        <v/>
      </c>
      <c r="W122" s="2056" t="str">
        <f t="shared" si="27"/>
        <v/>
      </c>
      <c r="Y122" s="2056" t="str">
        <f t="shared" si="28"/>
        <v/>
      </c>
      <c r="AA122" s="2056" t="str">
        <f t="shared" si="29"/>
        <v/>
      </c>
      <c r="AC122" s="2056" t="str">
        <f t="shared" si="30"/>
        <v/>
      </c>
      <c r="AE122" s="2056" t="str">
        <f t="shared" si="31"/>
        <v/>
      </c>
      <c r="AG122" s="2056" t="str">
        <f t="shared" si="32"/>
        <v/>
      </c>
      <c r="AI122" s="2056" t="str">
        <f t="shared" si="33"/>
        <v/>
      </c>
      <c r="AK122" s="2056" t="str">
        <f t="shared" si="34"/>
        <v/>
      </c>
      <c r="AM122" s="2056" t="str">
        <f t="shared" si="35"/>
        <v/>
      </c>
      <c r="AO122" s="2056" t="str">
        <f t="shared" si="36"/>
        <v/>
      </c>
      <c r="AQ122" s="2056" t="str">
        <f t="shared" si="37"/>
        <v/>
      </c>
    </row>
    <row r="123" spans="2:43">
      <c r="E123" s="2056" t="str">
        <f t="shared" si="19"/>
        <v/>
      </c>
      <c r="G123" s="2056" t="str">
        <f t="shared" si="19"/>
        <v/>
      </c>
      <c r="I123" s="2056" t="str">
        <f t="shared" si="20"/>
        <v/>
      </c>
      <c r="K123" s="2056" t="str">
        <f t="shared" si="21"/>
        <v/>
      </c>
      <c r="M123" s="2056" t="str">
        <f t="shared" si="22"/>
        <v/>
      </c>
      <c r="O123" s="2056" t="str">
        <f t="shared" si="23"/>
        <v/>
      </c>
      <c r="Q123" s="2056" t="str">
        <f t="shared" si="38"/>
        <v/>
      </c>
      <c r="S123" s="2056" t="str">
        <f t="shared" si="25"/>
        <v/>
      </c>
      <c r="U123" s="2056" t="str">
        <f t="shared" si="39"/>
        <v/>
      </c>
      <c r="W123" s="2056" t="str">
        <f t="shared" si="27"/>
        <v/>
      </c>
      <c r="Y123" s="2056" t="str">
        <f t="shared" si="28"/>
        <v/>
      </c>
      <c r="AA123" s="2056" t="str">
        <f t="shared" si="29"/>
        <v/>
      </c>
      <c r="AC123" s="2056" t="str">
        <f t="shared" si="30"/>
        <v/>
      </c>
      <c r="AE123" s="2056" t="str">
        <f t="shared" si="31"/>
        <v/>
      </c>
      <c r="AG123" s="2056" t="str">
        <f t="shared" si="32"/>
        <v/>
      </c>
      <c r="AI123" s="2056" t="str">
        <f t="shared" si="33"/>
        <v/>
      </c>
      <c r="AK123" s="2056" t="str">
        <f t="shared" si="34"/>
        <v/>
      </c>
      <c r="AM123" s="2056" t="str">
        <f t="shared" si="35"/>
        <v/>
      </c>
      <c r="AO123" s="2056" t="str">
        <f t="shared" si="36"/>
        <v/>
      </c>
      <c r="AQ123" s="2056" t="str">
        <f t="shared" si="37"/>
        <v/>
      </c>
    </row>
    <row r="124" spans="2:43">
      <c r="E124" s="2056" t="str">
        <f t="shared" si="19"/>
        <v/>
      </c>
      <c r="G124" s="2056" t="str">
        <f t="shared" si="19"/>
        <v/>
      </c>
      <c r="I124" s="2056" t="str">
        <f t="shared" si="20"/>
        <v/>
      </c>
      <c r="K124" s="2056" t="str">
        <f t="shared" si="21"/>
        <v/>
      </c>
      <c r="M124" s="2056" t="str">
        <f t="shared" si="22"/>
        <v/>
      </c>
      <c r="O124" s="2056" t="str">
        <f t="shared" si="23"/>
        <v/>
      </c>
      <c r="Q124" s="2056" t="str">
        <f t="shared" si="38"/>
        <v/>
      </c>
      <c r="S124" s="2056" t="str">
        <f t="shared" si="25"/>
        <v/>
      </c>
      <c r="T124" s="22">
        <f>'FY21 Unit Rate Expend'!C23</f>
        <v>986836</v>
      </c>
      <c r="U124" s="2056" t="str">
        <f t="shared" si="39"/>
        <v/>
      </c>
      <c r="V124" s="795">
        <f>T113+V113+X113</f>
        <v>4152185.01</v>
      </c>
      <c r="W124" s="2056" t="str">
        <f t="shared" si="27"/>
        <v/>
      </c>
      <c r="Y124" s="2056" t="str">
        <f t="shared" si="28"/>
        <v/>
      </c>
      <c r="AA124" s="2056" t="str">
        <f t="shared" si="29"/>
        <v/>
      </c>
      <c r="AC124" s="2056" t="str">
        <f t="shared" si="30"/>
        <v/>
      </c>
      <c r="AE124" s="2056" t="str">
        <f t="shared" si="31"/>
        <v/>
      </c>
      <c r="AG124" s="2056" t="str">
        <f t="shared" si="32"/>
        <v/>
      </c>
      <c r="AI124" s="2056" t="str">
        <f t="shared" si="33"/>
        <v/>
      </c>
      <c r="AK124" s="2056" t="str">
        <f t="shared" si="34"/>
        <v/>
      </c>
      <c r="AM124" s="2056" t="str">
        <f t="shared" si="35"/>
        <v/>
      </c>
      <c r="AO124" s="2056" t="str">
        <f t="shared" si="36"/>
        <v/>
      </c>
      <c r="AQ124" s="2056" t="str">
        <f t="shared" si="37"/>
        <v/>
      </c>
    </row>
    <row r="125" spans="2:43">
      <c r="E125" s="2056" t="str">
        <f t="shared" si="19"/>
        <v/>
      </c>
      <c r="G125" s="2056" t="str">
        <f t="shared" si="19"/>
        <v/>
      </c>
      <c r="I125" s="2056" t="str">
        <f t="shared" si="20"/>
        <v/>
      </c>
      <c r="K125" s="2056" t="str">
        <f t="shared" si="21"/>
        <v/>
      </c>
      <c r="M125" s="2056" t="str">
        <f t="shared" si="22"/>
        <v/>
      </c>
      <c r="O125" s="2056" t="str">
        <f t="shared" si="23"/>
        <v/>
      </c>
      <c r="Q125" s="2056" t="str">
        <f t="shared" si="38"/>
        <v/>
      </c>
      <c r="S125" s="2056" t="str">
        <f t="shared" si="25"/>
        <v/>
      </c>
      <c r="T125" s="22">
        <f>'FY21 Unit Rate Expend'!C21</f>
        <v>3479218</v>
      </c>
      <c r="U125" s="2056" t="s">
        <v>1304</v>
      </c>
      <c r="W125" s="2056" t="str">
        <f t="shared" si="27"/>
        <v/>
      </c>
      <c r="Y125" s="2056" t="str">
        <f t="shared" si="28"/>
        <v/>
      </c>
      <c r="AA125" s="2056" t="str">
        <f t="shared" si="29"/>
        <v/>
      </c>
      <c r="AC125" s="2056" t="str">
        <f t="shared" si="30"/>
        <v/>
      </c>
      <c r="AE125" s="2056" t="str">
        <f t="shared" si="31"/>
        <v/>
      </c>
      <c r="AG125" s="2056" t="str">
        <f t="shared" si="32"/>
        <v/>
      </c>
      <c r="AI125" s="2056" t="str">
        <f t="shared" si="33"/>
        <v/>
      </c>
      <c r="AK125" s="2056" t="str">
        <f t="shared" si="34"/>
        <v/>
      </c>
      <c r="AM125" s="2056" t="str">
        <f t="shared" si="35"/>
        <v/>
      </c>
      <c r="AO125" s="2056" t="str">
        <f t="shared" si="36"/>
        <v/>
      </c>
      <c r="AQ125" s="2056" t="str">
        <f t="shared" si="37"/>
        <v/>
      </c>
    </row>
    <row r="126" spans="2:43">
      <c r="E126" s="2056" t="str">
        <f t="shared" si="19"/>
        <v/>
      </c>
      <c r="G126" s="2056" t="str">
        <f t="shared" si="19"/>
        <v/>
      </c>
      <c r="I126" s="2056" t="str">
        <f t="shared" si="20"/>
        <v/>
      </c>
      <c r="K126" s="2056" t="str">
        <f t="shared" si="21"/>
        <v/>
      </c>
      <c r="M126" s="2056" t="str">
        <f t="shared" si="22"/>
        <v/>
      </c>
      <c r="O126" s="2056" t="str">
        <f t="shared" si="23"/>
        <v/>
      </c>
      <c r="Q126" s="2056" t="str">
        <f t="shared" si="38"/>
        <v/>
      </c>
      <c r="S126" s="2056" t="str">
        <f t="shared" si="25"/>
        <v/>
      </c>
      <c r="U126" s="2056" t="str">
        <f t="shared" si="26"/>
        <v/>
      </c>
      <c r="V126" s="795">
        <f>V124/T124</f>
        <v>4.2075735076547671</v>
      </c>
      <c r="W126" s="2056" t="s">
        <v>1301</v>
      </c>
      <c r="Y126" s="2056" t="str">
        <f t="shared" si="28"/>
        <v/>
      </c>
      <c r="AA126" s="2056" t="str">
        <f t="shared" si="29"/>
        <v/>
      </c>
      <c r="AC126" s="2056" t="str">
        <f t="shared" si="30"/>
        <v/>
      </c>
      <c r="AE126" s="2056" t="str">
        <f t="shared" si="31"/>
        <v/>
      </c>
      <c r="AG126" s="2056" t="str">
        <f t="shared" si="32"/>
        <v/>
      </c>
      <c r="AI126" s="2056" t="str">
        <f t="shared" si="33"/>
        <v/>
      </c>
      <c r="AK126" s="2056" t="str">
        <f t="shared" si="34"/>
        <v/>
      </c>
      <c r="AM126" s="2056" t="str">
        <f t="shared" si="35"/>
        <v/>
      </c>
      <c r="AO126" s="2056" t="str">
        <f t="shared" si="36"/>
        <v/>
      </c>
      <c r="AQ126" s="2056" t="str">
        <f t="shared" si="37"/>
        <v/>
      </c>
    </row>
    <row r="127" spans="2:43">
      <c r="E127" s="2056" t="str">
        <f t="shared" si="19"/>
        <v/>
      </c>
      <c r="G127" s="2056" t="str">
        <f t="shared" si="19"/>
        <v/>
      </c>
      <c r="I127" s="2056" t="str">
        <f t="shared" si="20"/>
        <v/>
      </c>
      <c r="K127" s="2056" t="str">
        <f t="shared" si="21"/>
        <v/>
      </c>
      <c r="M127" s="2056" t="str">
        <f t="shared" si="22"/>
        <v/>
      </c>
      <c r="O127" s="2056" t="str">
        <f t="shared" si="23"/>
        <v/>
      </c>
      <c r="Q127" s="2056" t="str">
        <f t="shared" si="38"/>
        <v/>
      </c>
      <c r="S127" s="2056" t="str">
        <f t="shared" si="25"/>
        <v/>
      </c>
      <c r="U127" s="2056" t="str">
        <f t="shared" si="26"/>
        <v/>
      </c>
      <c r="V127" s="795">
        <f>V124/T125</f>
        <v>1.193424789708492</v>
      </c>
      <c r="W127" s="2056" t="s">
        <v>1302</v>
      </c>
      <c r="Y127" s="2056" t="str">
        <f t="shared" si="28"/>
        <v/>
      </c>
      <c r="AA127" s="2056" t="str">
        <f t="shared" si="29"/>
        <v/>
      </c>
      <c r="AC127" s="2056" t="str">
        <f t="shared" si="30"/>
        <v/>
      </c>
      <c r="AE127" s="2056" t="str">
        <f t="shared" si="31"/>
        <v/>
      </c>
      <c r="AG127" s="2056" t="str">
        <f t="shared" si="32"/>
        <v/>
      </c>
      <c r="AI127" s="2056" t="str">
        <f t="shared" si="33"/>
        <v/>
      </c>
      <c r="AK127" s="2056" t="str">
        <f t="shared" si="34"/>
        <v/>
      </c>
      <c r="AM127" s="2056" t="str">
        <f t="shared" si="35"/>
        <v/>
      </c>
      <c r="AO127" s="2056" t="str">
        <f t="shared" si="36"/>
        <v/>
      </c>
      <c r="AQ127" s="2056" t="str">
        <f t="shared" si="37"/>
        <v/>
      </c>
    </row>
    <row r="128" spans="2:43">
      <c r="E128" s="2056" t="str">
        <f t="shared" si="19"/>
        <v/>
      </c>
      <c r="G128" s="2056" t="str">
        <f t="shared" si="19"/>
        <v/>
      </c>
      <c r="I128" s="2056" t="str">
        <f t="shared" si="20"/>
        <v/>
      </c>
      <c r="K128" s="2056" t="str">
        <f t="shared" si="21"/>
        <v/>
      </c>
      <c r="M128" s="2056" t="str">
        <f t="shared" si="22"/>
        <v/>
      </c>
      <c r="O128" s="2056" t="str">
        <f t="shared" si="23"/>
        <v/>
      </c>
      <c r="Q128" s="2056" t="str">
        <f t="shared" si="38"/>
        <v/>
      </c>
      <c r="S128" s="2056" t="str">
        <f t="shared" si="25"/>
        <v/>
      </c>
      <c r="U128" s="2056" t="str">
        <f t="shared" si="26"/>
        <v/>
      </c>
      <c r="W128" s="2056" t="str">
        <f t="shared" ref="W128:W190" si="40">IF(OR($B128=0,V128=0),"",V128/$B128)</f>
        <v/>
      </c>
      <c r="Y128" s="2056" t="str">
        <f t="shared" si="28"/>
        <v/>
      </c>
      <c r="AA128" s="2056" t="str">
        <f t="shared" si="29"/>
        <v/>
      </c>
      <c r="AC128" s="2056" t="str">
        <f t="shared" si="30"/>
        <v/>
      </c>
      <c r="AE128" s="2056" t="str">
        <f t="shared" si="31"/>
        <v/>
      </c>
      <c r="AG128" s="2056" t="str">
        <f t="shared" si="32"/>
        <v/>
      </c>
      <c r="AI128" s="2056" t="str">
        <f t="shared" si="33"/>
        <v/>
      </c>
      <c r="AK128" s="2056" t="str">
        <f t="shared" si="34"/>
        <v/>
      </c>
      <c r="AM128" s="2056" t="str">
        <f t="shared" si="35"/>
        <v/>
      </c>
      <c r="AO128" s="2056" t="str">
        <f t="shared" si="36"/>
        <v/>
      </c>
      <c r="AQ128" s="2056" t="str">
        <f t="shared" si="37"/>
        <v/>
      </c>
    </row>
    <row r="129" spans="5:43">
      <c r="E129" s="2056" t="str">
        <f t="shared" si="19"/>
        <v/>
      </c>
      <c r="G129" s="2056" t="str">
        <f t="shared" si="19"/>
        <v/>
      </c>
      <c r="I129" s="2056" t="str">
        <f t="shared" si="20"/>
        <v/>
      </c>
      <c r="K129" s="2056" t="str">
        <f t="shared" si="21"/>
        <v/>
      </c>
      <c r="M129" s="2056" t="str">
        <f t="shared" si="22"/>
        <v/>
      </c>
      <c r="O129" s="2056" t="str">
        <f t="shared" si="23"/>
        <v/>
      </c>
      <c r="Q129" s="2056" t="str">
        <f t="shared" si="38"/>
        <v/>
      </c>
      <c r="S129" s="2056" t="str">
        <f t="shared" si="25"/>
        <v/>
      </c>
      <c r="U129" s="2056" t="str">
        <f t="shared" si="26"/>
        <v/>
      </c>
      <c r="V129" s="795"/>
      <c r="W129" s="2056" t="str">
        <f t="shared" si="40"/>
        <v/>
      </c>
      <c r="Y129" s="2056" t="str">
        <f t="shared" si="28"/>
        <v/>
      </c>
      <c r="AA129" s="2056" t="str">
        <f t="shared" si="29"/>
        <v/>
      </c>
      <c r="AC129" s="2056" t="str">
        <f t="shared" si="30"/>
        <v/>
      </c>
      <c r="AE129" s="2056" t="str">
        <f t="shared" si="31"/>
        <v/>
      </c>
      <c r="AG129" s="2056" t="str">
        <f t="shared" si="32"/>
        <v/>
      </c>
      <c r="AI129" s="2056" t="str">
        <f t="shared" si="33"/>
        <v/>
      </c>
      <c r="AK129" s="2056" t="str">
        <f t="shared" si="34"/>
        <v/>
      </c>
      <c r="AM129" s="2056" t="str">
        <f t="shared" si="35"/>
        <v/>
      </c>
      <c r="AO129" s="2056" t="str">
        <f t="shared" si="36"/>
        <v/>
      </c>
      <c r="AQ129" s="2056" t="str">
        <f t="shared" si="37"/>
        <v/>
      </c>
    </row>
    <row r="130" spans="5:43">
      <c r="E130" s="2056" t="str">
        <f t="shared" si="19"/>
        <v/>
      </c>
      <c r="G130" s="2056" t="str">
        <f t="shared" si="19"/>
        <v/>
      </c>
      <c r="I130" s="2056" t="str">
        <f t="shared" si="20"/>
        <v/>
      </c>
      <c r="K130" s="2056" t="str">
        <f t="shared" si="21"/>
        <v/>
      </c>
      <c r="M130" s="2056" t="str">
        <f t="shared" si="22"/>
        <v/>
      </c>
      <c r="O130" s="2056" t="str">
        <f t="shared" si="23"/>
        <v/>
      </c>
      <c r="Q130" s="2056" t="str">
        <f t="shared" si="38"/>
        <v/>
      </c>
      <c r="S130" s="2056" t="str">
        <f t="shared" si="25"/>
        <v/>
      </c>
      <c r="U130" s="2056" t="str">
        <f t="shared" si="26"/>
        <v/>
      </c>
      <c r="V130" s="795">
        <f>P113+T113+V113+X113</f>
        <v>7024823.7599999998</v>
      </c>
      <c r="W130" s="2056" t="s">
        <v>1303</v>
      </c>
      <c r="Y130" s="2056" t="str">
        <f>IF(OR($B130=0,X130=0),"",X130/$B130)</f>
        <v/>
      </c>
      <c r="AA130" s="2056" t="str">
        <f t="shared" si="29"/>
        <v/>
      </c>
      <c r="AC130" s="2056" t="str">
        <f t="shared" si="30"/>
        <v/>
      </c>
      <c r="AE130" s="2056" t="str">
        <f t="shared" si="31"/>
        <v/>
      </c>
      <c r="AG130" s="2056" t="str">
        <f t="shared" si="32"/>
        <v/>
      </c>
      <c r="AI130" s="2056" t="str">
        <f t="shared" si="33"/>
        <v/>
      </c>
      <c r="AK130" s="2056" t="str">
        <f t="shared" si="34"/>
        <v/>
      </c>
      <c r="AM130" s="2056" t="str">
        <f t="shared" si="35"/>
        <v/>
      </c>
      <c r="AO130" s="2056" t="str">
        <f t="shared" si="36"/>
        <v/>
      </c>
      <c r="AQ130" s="2056" t="str">
        <f t="shared" si="37"/>
        <v/>
      </c>
    </row>
    <row r="131" spans="5:43">
      <c r="E131" s="2056" t="str">
        <f t="shared" si="19"/>
        <v/>
      </c>
      <c r="G131" s="2056" t="str">
        <f t="shared" si="19"/>
        <v/>
      </c>
      <c r="I131" s="2056" t="str">
        <f t="shared" si="20"/>
        <v/>
      </c>
      <c r="K131" s="2056" t="str">
        <f t="shared" si="21"/>
        <v/>
      </c>
      <c r="M131" s="2056" t="str">
        <f t="shared" si="22"/>
        <v/>
      </c>
      <c r="O131" s="2056" t="str">
        <f t="shared" si="23"/>
        <v/>
      </c>
      <c r="Q131" s="2056" t="str">
        <f t="shared" si="38"/>
        <v/>
      </c>
      <c r="S131" s="2056" t="str">
        <f t="shared" si="25"/>
        <v/>
      </c>
      <c r="U131" s="2056" t="str">
        <f t="shared" si="26"/>
        <v/>
      </c>
      <c r="V131" s="795">
        <f>V130/T125</f>
        <v>2.0190812303224459</v>
      </c>
      <c r="W131" s="2056" t="s">
        <v>1302</v>
      </c>
      <c r="Y131" s="2056" t="str">
        <f>IF(OR($B131=0,X131=0),"",X131/$B131)</f>
        <v/>
      </c>
      <c r="AA131" s="2056" t="str">
        <f t="shared" si="29"/>
        <v/>
      </c>
      <c r="AC131" s="2056" t="str">
        <f t="shared" si="30"/>
        <v/>
      </c>
      <c r="AE131" s="2056" t="str">
        <f t="shared" si="31"/>
        <v/>
      </c>
      <c r="AG131" s="2056" t="str">
        <f t="shared" si="32"/>
        <v/>
      </c>
      <c r="AI131" s="2056" t="str">
        <f t="shared" si="33"/>
        <v/>
      </c>
      <c r="AK131" s="2056" t="str">
        <f t="shared" si="34"/>
        <v/>
      </c>
      <c r="AM131" s="2056" t="str">
        <f t="shared" si="35"/>
        <v/>
      </c>
      <c r="AO131" s="2056" t="str">
        <f t="shared" si="36"/>
        <v/>
      </c>
      <c r="AQ131" s="2056" t="str">
        <f t="shared" si="37"/>
        <v/>
      </c>
    </row>
    <row r="132" spans="5:43">
      <c r="E132" s="2056" t="str">
        <f t="shared" si="19"/>
        <v/>
      </c>
      <c r="G132" s="2056" t="str">
        <f t="shared" si="19"/>
        <v/>
      </c>
      <c r="I132" s="2056" t="str">
        <f t="shared" si="20"/>
        <v/>
      </c>
      <c r="K132" s="2056" t="str">
        <f t="shared" si="21"/>
        <v/>
      </c>
      <c r="M132" s="2056" t="str">
        <f t="shared" si="22"/>
        <v/>
      </c>
      <c r="O132" s="2056" t="str">
        <f t="shared" si="23"/>
        <v/>
      </c>
      <c r="Q132" s="2056" t="str">
        <f t="shared" si="38"/>
        <v/>
      </c>
      <c r="S132" s="2056" t="str">
        <f t="shared" si="25"/>
        <v/>
      </c>
      <c r="U132" s="2056" t="str">
        <f t="shared" si="26"/>
        <v/>
      </c>
      <c r="V132" s="795"/>
      <c r="W132" s="2056"/>
      <c r="Y132" s="2056" t="str">
        <f t="shared" si="28"/>
        <v/>
      </c>
      <c r="AA132" s="2056" t="str">
        <f t="shared" si="29"/>
        <v/>
      </c>
      <c r="AC132" s="2056" t="str">
        <f t="shared" si="30"/>
        <v/>
      </c>
      <c r="AE132" s="2056" t="str">
        <f t="shared" si="31"/>
        <v/>
      </c>
      <c r="AG132" s="2056" t="str">
        <f t="shared" si="32"/>
        <v/>
      </c>
      <c r="AI132" s="2056" t="str">
        <f t="shared" si="33"/>
        <v/>
      </c>
      <c r="AK132" s="2056" t="str">
        <f t="shared" si="34"/>
        <v/>
      </c>
      <c r="AM132" s="2056" t="str">
        <f t="shared" si="35"/>
        <v/>
      </c>
      <c r="AO132" s="2056" t="str">
        <f t="shared" si="36"/>
        <v/>
      </c>
      <c r="AQ132" s="2056" t="str">
        <f t="shared" si="37"/>
        <v/>
      </c>
    </row>
    <row r="133" spans="5:43">
      <c r="E133" s="2056" t="str">
        <f t="shared" si="19"/>
        <v/>
      </c>
      <c r="G133" s="2056" t="str">
        <f t="shared" si="19"/>
        <v/>
      </c>
      <c r="I133" s="2056" t="str">
        <f t="shared" si="20"/>
        <v/>
      </c>
      <c r="K133" s="2056" t="str">
        <f t="shared" si="21"/>
        <v/>
      </c>
      <c r="M133" s="2056" t="str">
        <f t="shared" si="22"/>
        <v/>
      </c>
      <c r="O133" s="2056" t="str">
        <f t="shared" si="23"/>
        <v/>
      </c>
      <c r="Q133" s="2056" t="str">
        <f t="shared" si="38"/>
        <v/>
      </c>
      <c r="S133" s="2056" t="str">
        <f t="shared" si="25"/>
        <v/>
      </c>
      <c r="U133" s="2056" t="str">
        <f t="shared" si="26"/>
        <v/>
      </c>
      <c r="V133" s="795"/>
      <c r="W133" s="2056"/>
      <c r="Y133" s="2056" t="str">
        <f t="shared" si="28"/>
        <v/>
      </c>
      <c r="AA133" s="2056" t="str">
        <f t="shared" si="29"/>
        <v/>
      </c>
      <c r="AC133" s="2056" t="str">
        <f t="shared" si="30"/>
        <v/>
      </c>
      <c r="AE133" s="2056" t="str">
        <f t="shared" si="31"/>
        <v/>
      </c>
      <c r="AG133" s="2056" t="str">
        <f t="shared" si="32"/>
        <v/>
      </c>
      <c r="AI133" s="2056" t="str">
        <f t="shared" si="33"/>
        <v/>
      </c>
      <c r="AK133" s="2056" t="str">
        <f t="shared" si="34"/>
        <v/>
      </c>
      <c r="AM133" s="2056" t="str">
        <f t="shared" si="35"/>
        <v/>
      </c>
      <c r="AO133" s="2056" t="str">
        <f t="shared" si="36"/>
        <v/>
      </c>
      <c r="AQ133" s="2056" t="str">
        <f t="shared" si="37"/>
        <v/>
      </c>
    </row>
    <row r="134" spans="5:43">
      <c r="E134" s="2056" t="str">
        <f t="shared" si="19"/>
        <v/>
      </c>
      <c r="G134" s="2056" t="str">
        <f t="shared" si="19"/>
        <v/>
      </c>
      <c r="I134" s="2056" t="str">
        <f t="shared" si="20"/>
        <v/>
      </c>
      <c r="K134" s="2056" t="str">
        <f t="shared" si="21"/>
        <v/>
      </c>
      <c r="M134" s="2056" t="str">
        <f t="shared" si="22"/>
        <v/>
      </c>
      <c r="O134" s="2056" t="str">
        <f t="shared" si="23"/>
        <v/>
      </c>
      <c r="Q134" s="2056" t="str">
        <f t="shared" si="38"/>
        <v/>
      </c>
      <c r="S134" s="2056" t="str">
        <f t="shared" si="25"/>
        <v/>
      </c>
      <c r="U134" s="2056" t="str">
        <f t="shared" si="26"/>
        <v/>
      </c>
      <c r="W134" s="2056"/>
      <c r="Y134" s="2056" t="str">
        <f t="shared" si="28"/>
        <v/>
      </c>
      <c r="AA134" s="2056" t="str">
        <f t="shared" si="29"/>
        <v/>
      </c>
      <c r="AC134" s="2056" t="str">
        <f t="shared" si="30"/>
        <v/>
      </c>
      <c r="AE134" s="2056" t="str">
        <f t="shared" si="31"/>
        <v/>
      </c>
      <c r="AG134" s="2056" t="str">
        <f t="shared" si="32"/>
        <v/>
      </c>
      <c r="AI134" s="2056" t="str">
        <f t="shared" si="33"/>
        <v/>
      </c>
      <c r="AK134" s="2056" t="str">
        <f t="shared" si="34"/>
        <v/>
      </c>
      <c r="AM134" s="2056" t="str">
        <f t="shared" si="35"/>
        <v/>
      </c>
      <c r="AO134" s="2056" t="str">
        <f t="shared" si="36"/>
        <v/>
      </c>
      <c r="AQ134" s="2056" t="str">
        <f t="shared" si="37"/>
        <v/>
      </c>
    </row>
    <row r="135" spans="5:43">
      <c r="E135" s="2056" t="str">
        <f t="shared" si="19"/>
        <v/>
      </c>
      <c r="G135" s="2056" t="str">
        <f t="shared" si="19"/>
        <v/>
      </c>
      <c r="I135" s="2056" t="str">
        <f t="shared" si="20"/>
        <v/>
      </c>
      <c r="K135" s="2056" t="str">
        <f t="shared" si="21"/>
        <v/>
      </c>
      <c r="M135" s="2056" t="str">
        <f t="shared" si="22"/>
        <v/>
      </c>
      <c r="O135" s="2056" t="str">
        <f t="shared" si="23"/>
        <v/>
      </c>
      <c r="Q135" s="2056" t="str">
        <f t="shared" si="38"/>
        <v/>
      </c>
      <c r="S135" s="2056" t="str">
        <f t="shared" si="25"/>
        <v/>
      </c>
      <c r="U135" s="2056" t="str">
        <f t="shared" si="26"/>
        <v/>
      </c>
      <c r="W135" s="2056"/>
      <c r="Y135" s="2056" t="str">
        <f t="shared" si="28"/>
        <v/>
      </c>
      <c r="AA135" s="2056" t="str">
        <f t="shared" si="29"/>
        <v/>
      </c>
      <c r="AC135" s="2056" t="str">
        <f t="shared" si="30"/>
        <v/>
      </c>
      <c r="AE135" s="2056" t="str">
        <f t="shared" si="31"/>
        <v/>
      </c>
      <c r="AG135" s="2056" t="str">
        <f t="shared" si="32"/>
        <v/>
      </c>
      <c r="AI135" s="2056" t="str">
        <f t="shared" si="33"/>
        <v/>
      </c>
      <c r="AK135" s="2056" t="str">
        <f t="shared" si="34"/>
        <v/>
      </c>
      <c r="AM135" s="2056" t="str">
        <f t="shared" si="35"/>
        <v/>
      </c>
      <c r="AO135" s="2056" t="str">
        <f t="shared" si="36"/>
        <v/>
      </c>
      <c r="AQ135" s="2056" t="str">
        <f t="shared" si="37"/>
        <v/>
      </c>
    </row>
    <row r="136" spans="5:43">
      <c r="E136" s="2056" t="str">
        <f t="shared" si="19"/>
        <v/>
      </c>
      <c r="G136" s="2056" t="str">
        <f t="shared" si="19"/>
        <v/>
      </c>
      <c r="I136" s="2056" t="str">
        <f t="shared" si="20"/>
        <v/>
      </c>
      <c r="K136" s="2056" t="str">
        <f t="shared" si="21"/>
        <v/>
      </c>
      <c r="M136" s="2056" t="str">
        <f t="shared" si="22"/>
        <v/>
      </c>
      <c r="O136" s="2056" t="str">
        <f t="shared" si="23"/>
        <v/>
      </c>
      <c r="Q136" s="2056" t="str">
        <f t="shared" si="38"/>
        <v/>
      </c>
      <c r="S136" s="2056" t="str">
        <f t="shared" si="25"/>
        <v/>
      </c>
      <c r="U136" s="2056" t="str">
        <f t="shared" si="26"/>
        <v/>
      </c>
      <c r="W136" s="2056" t="str">
        <f t="shared" si="40"/>
        <v/>
      </c>
      <c r="Y136" s="2056" t="str">
        <f t="shared" si="28"/>
        <v/>
      </c>
      <c r="AA136" s="2056" t="str">
        <f t="shared" si="29"/>
        <v/>
      </c>
      <c r="AC136" s="2056" t="str">
        <f t="shared" si="30"/>
        <v/>
      </c>
      <c r="AE136" s="2056" t="str">
        <f t="shared" si="31"/>
        <v/>
      </c>
      <c r="AG136" s="2056" t="str">
        <f t="shared" si="32"/>
        <v/>
      </c>
      <c r="AI136" s="2056" t="str">
        <f t="shared" si="33"/>
        <v/>
      </c>
      <c r="AK136" s="2056" t="str">
        <f t="shared" si="34"/>
        <v/>
      </c>
      <c r="AM136" s="2056" t="str">
        <f t="shared" si="35"/>
        <v/>
      </c>
      <c r="AO136" s="2056" t="str">
        <f t="shared" si="36"/>
        <v/>
      </c>
      <c r="AQ136" s="2056" t="str">
        <f t="shared" si="37"/>
        <v/>
      </c>
    </row>
    <row r="137" spans="5:43">
      <c r="E137" s="2056" t="str">
        <f t="shared" si="19"/>
        <v/>
      </c>
      <c r="G137" s="2056" t="str">
        <f t="shared" si="19"/>
        <v/>
      </c>
      <c r="I137" s="2056" t="str">
        <f t="shared" si="20"/>
        <v/>
      </c>
      <c r="K137" s="2056" t="str">
        <f t="shared" si="21"/>
        <v/>
      </c>
      <c r="M137" s="2056" t="str">
        <f t="shared" si="22"/>
        <v/>
      </c>
      <c r="O137" s="2056" t="str">
        <f t="shared" si="23"/>
        <v/>
      </c>
      <c r="Q137" s="2056" t="str">
        <f t="shared" si="38"/>
        <v/>
      </c>
      <c r="S137" s="2056" t="str">
        <f t="shared" si="25"/>
        <v/>
      </c>
      <c r="U137" s="2056" t="str">
        <f t="shared" si="26"/>
        <v/>
      </c>
      <c r="W137" s="2056" t="str">
        <f t="shared" si="40"/>
        <v/>
      </c>
      <c r="Y137" s="2056" t="str">
        <f t="shared" si="28"/>
        <v/>
      </c>
      <c r="AA137" s="2056" t="str">
        <f t="shared" si="29"/>
        <v/>
      </c>
      <c r="AC137" s="2056" t="str">
        <f t="shared" si="30"/>
        <v/>
      </c>
      <c r="AE137" s="2056" t="str">
        <f t="shared" si="31"/>
        <v/>
      </c>
      <c r="AG137" s="2056" t="str">
        <f t="shared" si="32"/>
        <v/>
      </c>
      <c r="AI137" s="2056" t="str">
        <f t="shared" si="33"/>
        <v/>
      </c>
      <c r="AK137" s="2056" t="str">
        <f t="shared" si="34"/>
        <v/>
      </c>
      <c r="AM137" s="2056" t="str">
        <f t="shared" si="35"/>
        <v/>
      </c>
      <c r="AO137" s="2056" t="str">
        <f t="shared" si="36"/>
        <v/>
      </c>
      <c r="AQ137" s="2056" t="str">
        <f t="shared" si="37"/>
        <v/>
      </c>
    </row>
    <row r="138" spans="5:43">
      <c r="E138" s="2056" t="str">
        <f t="shared" si="19"/>
        <v/>
      </c>
      <c r="G138" s="2056" t="str">
        <f t="shared" si="19"/>
        <v/>
      </c>
      <c r="I138" s="2056" t="str">
        <f t="shared" si="20"/>
        <v/>
      </c>
      <c r="K138" s="2056" t="str">
        <f t="shared" si="21"/>
        <v/>
      </c>
      <c r="M138" s="2056" t="str">
        <f t="shared" si="22"/>
        <v/>
      </c>
      <c r="O138" s="2056" t="str">
        <f t="shared" si="23"/>
        <v/>
      </c>
      <c r="Q138" s="2056" t="str">
        <f t="shared" si="38"/>
        <v/>
      </c>
      <c r="S138" s="2056" t="str">
        <f t="shared" si="25"/>
        <v/>
      </c>
      <c r="U138" s="2056" t="str">
        <f t="shared" si="26"/>
        <v/>
      </c>
      <c r="W138" s="2056" t="str">
        <f t="shared" si="40"/>
        <v/>
      </c>
      <c r="Y138" s="2056" t="str">
        <f t="shared" si="28"/>
        <v/>
      </c>
      <c r="AA138" s="2056" t="str">
        <f t="shared" si="29"/>
        <v/>
      </c>
      <c r="AC138" s="2056" t="str">
        <f t="shared" si="30"/>
        <v/>
      </c>
      <c r="AE138" s="2056" t="str">
        <f t="shared" si="31"/>
        <v/>
      </c>
      <c r="AG138" s="2056" t="str">
        <f t="shared" si="32"/>
        <v/>
      </c>
      <c r="AI138" s="2056" t="str">
        <f t="shared" si="33"/>
        <v/>
      </c>
      <c r="AK138" s="2056" t="str">
        <f t="shared" si="34"/>
        <v/>
      </c>
      <c r="AM138" s="2056" t="str">
        <f t="shared" si="35"/>
        <v/>
      </c>
      <c r="AO138" s="2056" t="str">
        <f t="shared" si="36"/>
        <v/>
      </c>
      <c r="AQ138" s="2056" t="str">
        <f t="shared" si="37"/>
        <v/>
      </c>
    </row>
    <row r="139" spans="5:43">
      <c r="E139" s="2056" t="str">
        <f t="shared" si="19"/>
        <v/>
      </c>
      <c r="G139" s="2056" t="str">
        <f t="shared" si="19"/>
        <v/>
      </c>
      <c r="I139" s="2056" t="str">
        <f t="shared" si="20"/>
        <v/>
      </c>
      <c r="K139" s="2056" t="str">
        <f t="shared" si="21"/>
        <v/>
      </c>
      <c r="M139" s="2056" t="str">
        <f t="shared" si="22"/>
        <v/>
      </c>
      <c r="O139" s="2056" t="str">
        <f t="shared" si="23"/>
        <v/>
      </c>
      <c r="Q139" s="2056" t="str">
        <f t="shared" si="38"/>
        <v/>
      </c>
      <c r="S139" s="2056" t="str">
        <f t="shared" si="25"/>
        <v/>
      </c>
      <c r="U139" s="2056" t="str">
        <f t="shared" si="26"/>
        <v/>
      </c>
      <c r="W139" s="2056" t="str">
        <f t="shared" si="40"/>
        <v/>
      </c>
      <c r="Y139" s="2056" t="str">
        <f t="shared" si="28"/>
        <v/>
      </c>
      <c r="AA139" s="2056" t="str">
        <f t="shared" si="29"/>
        <v/>
      </c>
      <c r="AC139" s="2056" t="str">
        <f t="shared" si="30"/>
        <v/>
      </c>
      <c r="AE139" s="2056" t="str">
        <f t="shared" si="31"/>
        <v/>
      </c>
      <c r="AG139" s="2056" t="str">
        <f t="shared" si="32"/>
        <v/>
      </c>
      <c r="AI139" s="2056" t="str">
        <f t="shared" si="33"/>
        <v/>
      </c>
      <c r="AK139" s="2056" t="str">
        <f t="shared" si="34"/>
        <v/>
      </c>
      <c r="AM139" s="2056" t="str">
        <f t="shared" si="35"/>
        <v/>
      </c>
      <c r="AO139" s="2056" t="str">
        <f t="shared" si="36"/>
        <v/>
      </c>
      <c r="AQ139" s="2056" t="str">
        <f t="shared" si="37"/>
        <v/>
      </c>
    </row>
    <row r="140" spans="5:43">
      <c r="E140" s="2056" t="str">
        <f t="shared" si="19"/>
        <v/>
      </c>
      <c r="G140" s="2056" t="str">
        <f t="shared" si="19"/>
        <v/>
      </c>
      <c r="I140" s="2056" t="str">
        <f t="shared" si="20"/>
        <v/>
      </c>
      <c r="K140" s="2056" t="str">
        <f t="shared" si="21"/>
        <v/>
      </c>
      <c r="M140" s="2056" t="str">
        <f t="shared" si="22"/>
        <v/>
      </c>
      <c r="O140" s="2056" t="str">
        <f t="shared" si="23"/>
        <v/>
      </c>
      <c r="Q140" s="2056" t="str">
        <f t="shared" si="38"/>
        <v/>
      </c>
      <c r="S140" s="2056" t="str">
        <f t="shared" si="25"/>
        <v/>
      </c>
      <c r="U140" s="2056" t="str">
        <f t="shared" si="26"/>
        <v/>
      </c>
      <c r="W140" s="2056" t="str">
        <f t="shared" si="40"/>
        <v/>
      </c>
      <c r="Y140" s="2056" t="str">
        <f t="shared" si="28"/>
        <v/>
      </c>
      <c r="AA140" s="2056" t="str">
        <f t="shared" si="29"/>
        <v/>
      </c>
      <c r="AC140" s="2056" t="str">
        <f t="shared" si="30"/>
        <v/>
      </c>
      <c r="AE140" s="2056" t="str">
        <f t="shared" si="31"/>
        <v/>
      </c>
      <c r="AG140" s="2056" t="str">
        <f t="shared" si="32"/>
        <v/>
      </c>
      <c r="AI140" s="2056" t="str">
        <f t="shared" si="33"/>
        <v/>
      </c>
      <c r="AK140" s="2056" t="str">
        <f t="shared" si="34"/>
        <v/>
      </c>
      <c r="AM140" s="2056" t="str">
        <f t="shared" si="35"/>
        <v/>
      </c>
      <c r="AO140" s="2056" t="str">
        <f t="shared" si="36"/>
        <v/>
      </c>
      <c r="AQ140" s="2056" t="str">
        <f t="shared" si="37"/>
        <v/>
      </c>
    </row>
    <row r="141" spans="5:43">
      <c r="E141" s="2056" t="str">
        <f t="shared" ref="E141:G204" si="41">IF(OR($B141=0,D141=0),"",D141/$B141)</f>
        <v/>
      </c>
      <c r="G141" s="2056" t="str">
        <f t="shared" si="41"/>
        <v/>
      </c>
      <c r="I141" s="2056" t="str">
        <f t="shared" ref="I141:I204" si="42">IF(OR($B141=0,H141=0),"",H141/$B141)</f>
        <v/>
      </c>
      <c r="K141" s="2056" t="str">
        <f t="shared" ref="K141:K204" si="43">IF(OR($B141=0,J141=0),"",J141/$B141)</f>
        <v/>
      </c>
      <c r="M141" s="2056" t="str">
        <f t="shared" ref="M141:M204" si="44">IF(OR($B141=0,L141=0),"",L141/$B141)</f>
        <v/>
      </c>
      <c r="O141" s="2056" t="str">
        <f t="shared" ref="O141:O204" si="45">IF(OR($B141=0,N141=0),"",N141/$B141)</f>
        <v/>
      </c>
      <c r="Q141" s="2056" t="str">
        <f t="shared" si="38"/>
        <v/>
      </c>
      <c r="S141" s="2056" t="str">
        <f t="shared" ref="S141:S204" si="46">IF(OR($B141=0,R141=0),"",R141/$B141)</f>
        <v/>
      </c>
      <c r="U141" s="2056" t="str">
        <f t="shared" ref="U141:U204" si="47">IF(OR($B141=0,T141=0),"",T141/$B141)</f>
        <v/>
      </c>
      <c r="W141" s="2056" t="str">
        <f t="shared" si="40"/>
        <v/>
      </c>
      <c r="Y141" s="2056" t="str">
        <f t="shared" ref="Y141:Y204" si="48">IF(OR($B141=0,X141=0),"",X141/$B141)</f>
        <v/>
      </c>
      <c r="AA141" s="2056" t="str">
        <f t="shared" ref="AA141:AA204" si="49">IF(OR($B141=0,Z141=0),"",Z141/$B141)</f>
        <v/>
      </c>
      <c r="AC141" s="2056" t="str">
        <f t="shared" ref="AC141:AC204" si="50">IF(OR($B141=0,AB141=0),"",AB141/$B141)</f>
        <v/>
      </c>
      <c r="AE141" s="2056" t="str">
        <f t="shared" ref="AE141:AE204" si="51">IF(OR($B141=0,AD141=0),"",AD141/$B141)</f>
        <v/>
      </c>
      <c r="AG141" s="2056" t="str">
        <f t="shared" ref="AG141:AG204" si="52">IF(OR($B141=0,AF141=0),"",AF141/$B141)</f>
        <v/>
      </c>
      <c r="AI141" s="2056" t="str">
        <f t="shared" ref="AI141:AI204" si="53">IF(OR($B141=0,AH141=0),"",AH141/$B141)</f>
        <v/>
      </c>
      <c r="AK141" s="2056" t="str">
        <f t="shared" ref="AK141:AK204" si="54">IF(OR($B141=0,AJ141=0),"",AJ141/$B141)</f>
        <v/>
      </c>
      <c r="AM141" s="2056" t="str">
        <f t="shared" ref="AM141:AM204" si="55">IF(OR($B141=0,AL141=0),"",AL141/$B141)</f>
        <v/>
      </c>
      <c r="AO141" s="2056" t="str">
        <f t="shared" ref="AO141:AO204" si="56">IF(OR($B141=0,AN141=0),"",AN141/$B141)</f>
        <v/>
      </c>
      <c r="AQ141" s="2056" t="str">
        <f t="shared" ref="AQ141:AQ204" si="57">IF(OR($B141=0,AP141=0),"",AP141/$B141)</f>
        <v/>
      </c>
    </row>
    <row r="142" spans="5:43">
      <c r="E142" s="2056" t="str">
        <f t="shared" si="41"/>
        <v/>
      </c>
      <c r="G142" s="2056" t="str">
        <f t="shared" si="41"/>
        <v/>
      </c>
      <c r="I142" s="2056" t="str">
        <f t="shared" si="42"/>
        <v/>
      </c>
      <c r="K142" s="2056" t="str">
        <f t="shared" si="43"/>
        <v/>
      </c>
      <c r="M142" s="2056" t="str">
        <f t="shared" si="44"/>
        <v/>
      </c>
      <c r="O142" s="2056" t="str">
        <f t="shared" si="45"/>
        <v/>
      </c>
      <c r="Q142" s="2056" t="str">
        <f t="shared" si="38"/>
        <v/>
      </c>
      <c r="S142" s="2056" t="str">
        <f t="shared" si="46"/>
        <v/>
      </c>
      <c r="U142" s="2056" t="str">
        <f t="shared" si="47"/>
        <v/>
      </c>
      <c r="W142" s="2056" t="str">
        <f t="shared" si="40"/>
        <v/>
      </c>
      <c r="Y142" s="2056" t="str">
        <f t="shared" si="48"/>
        <v/>
      </c>
      <c r="AA142" s="2056" t="str">
        <f t="shared" si="49"/>
        <v/>
      </c>
      <c r="AC142" s="2056" t="str">
        <f t="shared" si="50"/>
        <v/>
      </c>
      <c r="AE142" s="2056" t="str">
        <f t="shared" si="51"/>
        <v/>
      </c>
      <c r="AG142" s="2056" t="str">
        <f t="shared" si="52"/>
        <v/>
      </c>
      <c r="AI142" s="2056" t="str">
        <f t="shared" si="53"/>
        <v/>
      </c>
      <c r="AK142" s="2056" t="str">
        <f t="shared" si="54"/>
        <v/>
      </c>
      <c r="AM142" s="2056" t="str">
        <f t="shared" si="55"/>
        <v/>
      </c>
      <c r="AO142" s="2056" t="str">
        <f t="shared" si="56"/>
        <v/>
      </c>
      <c r="AQ142" s="2056" t="str">
        <f t="shared" si="57"/>
        <v/>
      </c>
    </row>
    <row r="143" spans="5:43">
      <c r="E143" s="2056" t="str">
        <f t="shared" si="41"/>
        <v/>
      </c>
      <c r="G143" s="2056" t="str">
        <f t="shared" si="41"/>
        <v/>
      </c>
      <c r="I143" s="2056" t="str">
        <f t="shared" si="42"/>
        <v/>
      </c>
      <c r="K143" s="2056" t="str">
        <f t="shared" si="43"/>
        <v/>
      </c>
      <c r="M143" s="2056" t="str">
        <f t="shared" si="44"/>
        <v/>
      </c>
      <c r="O143" s="2056" t="str">
        <f t="shared" si="45"/>
        <v/>
      </c>
      <c r="Q143" s="2056" t="str">
        <f t="shared" si="38"/>
        <v/>
      </c>
      <c r="S143" s="2056" t="str">
        <f t="shared" si="46"/>
        <v/>
      </c>
      <c r="U143" s="2056" t="str">
        <f t="shared" si="47"/>
        <v/>
      </c>
      <c r="W143" s="2056" t="str">
        <f t="shared" si="40"/>
        <v/>
      </c>
      <c r="Y143" s="2056" t="str">
        <f t="shared" si="48"/>
        <v/>
      </c>
      <c r="AA143" s="2056" t="str">
        <f t="shared" si="49"/>
        <v/>
      </c>
      <c r="AC143" s="2056" t="str">
        <f t="shared" si="50"/>
        <v/>
      </c>
      <c r="AE143" s="2056" t="str">
        <f t="shared" si="51"/>
        <v/>
      </c>
      <c r="AG143" s="2056" t="str">
        <f t="shared" si="52"/>
        <v/>
      </c>
      <c r="AI143" s="2056" t="str">
        <f t="shared" si="53"/>
        <v/>
      </c>
      <c r="AK143" s="2056" t="str">
        <f t="shared" si="54"/>
        <v/>
      </c>
      <c r="AM143" s="2056" t="str">
        <f t="shared" si="55"/>
        <v/>
      </c>
      <c r="AO143" s="2056" t="str">
        <f t="shared" si="56"/>
        <v/>
      </c>
      <c r="AQ143" s="2056" t="str">
        <f t="shared" si="57"/>
        <v/>
      </c>
    </row>
    <row r="144" spans="5:43">
      <c r="E144" s="2056" t="str">
        <f t="shared" si="41"/>
        <v/>
      </c>
      <c r="G144" s="2056" t="str">
        <f t="shared" si="41"/>
        <v/>
      </c>
      <c r="I144" s="2056" t="str">
        <f t="shared" si="42"/>
        <v/>
      </c>
      <c r="K144" s="2056" t="str">
        <f t="shared" si="43"/>
        <v/>
      </c>
      <c r="M144" s="2056" t="str">
        <f t="shared" si="44"/>
        <v/>
      </c>
      <c r="O144" s="2056" t="str">
        <f t="shared" si="45"/>
        <v/>
      </c>
      <c r="Q144" s="2056" t="str">
        <f t="shared" si="38"/>
        <v/>
      </c>
      <c r="S144" s="2056" t="str">
        <f t="shared" si="46"/>
        <v/>
      </c>
      <c r="U144" s="2056" t="str">
        <f t="shared" si="47"/>
        <v/>
      </c>
      <c r="W144" s="2056" t="str">
        <f t="shared" si="40"/>
        <v/>
      </c>
      <c r="Y144" s="2056" t="str">
        <f t="shared" si="48"/>
        <v/>
      </c>
      <c r="AA144" s="2056" t="str">
        <f t="shared" si="49"/>
        <v/>
      </c>
      <c r="AC144" s="2056" t="str">
        <f t="shared" si="50"/>
        <v/>
      </c>
      <c r="AE144" s="2056" t="str">
        <f t="shared" si="51"/>
        <v/>
      </c>
      <c r="AG144" s="2056" t="str">
        <f t="shared" si="52"/>
        <v/>
      </c>
      <c r="AI144" s="2056" t="str">
        <f t="shared" si="53"/>
        <v/>
      </c>
      <c r="AK144" s="2056" t="str">
        <f t="shared" si="54"/>
        <v/>
      </c>
      <c r="AM144" s="2056" t="str">
        <f t="shared" si="55"/>
        <v/>
      </c>
      <c r="AO144" s="2056" t="str">
        <f t="shared" si="56"/>
        <v/>
      </c>
      <c r="AQ144" s="2056" t="str">
        <f t="shared" si="57"/>
        <v/>
      </c>
    </row>
    <row r="145" spans="5:43">
      <c r="E145" s="2056" t="str">
        <f t="shared" si="41"/>
        <v/>
      </c>
      <c r="G145" s="2056" t="str">
        <f t="shared" si="41"/>
        <v/>
      </c>
      <c r="I145" s="2056" t="str">
        <f t="shared" si="42"/>
        <v/>
      </c>
      <c r="K145" s="2056" t="str">
        <f t="shared" si="43"/>
        <v/>
      </c>
      <c r="M145" s="2056" t="str">
        <f t="shared" si="44"/>
        <v/>
      </c>
      <c r="O145" s="2056" t="str">
        <f t="shared" si="45"/>
        <v/>
      </c>
      <c r="Q145" s="2056" t="str">
        <f t="shared" si="38"/>
        <v/>
      </c>
      <c r="S145" s="2056" t="str">
        <f t="shared" si="46"/>
        <v/>
      </c>
      <c r="U145" s="2056" t="str">
        <f t="shared" si="47"/>
        <v/>
      </c>
      <c r="W145" s="2056" t="str">
        <f t="shared" si="40"/>
        <v/>
      </c>
      <c r="Y145" s="2056" t="str">
        <f t="shared" si="48"/>
        <v/>
      </c>
      <c r="AA145" s="2056" t="str">
        <f t="shared" si="49"/>
        <v/>
      </c>
      <c r="AC145" s="2056" t="str">
        <f t="shared" si="50"/>
        <v/>
      </c>
      <c r="AE145" s="2056" t="str">
        <f t="shared" si="51"/>
        <v/>
      </c>
      <c r="AG145" s="2056" t="str">
        <f t="shared" si="52"/>
        <v/>
      </c>
      <c r="AI145" s="2056" t="str">
        <f t="shared" si="53"/>
        <v/>
      </c>
      <c r="AK145" s="2056" t="str">
        <f t="shared" si="54"/>
        <v/>
      </c>
      <c r="AM145" s="2056" t="str">
        <f t="shared" si="55"/>
        <v/>
      </c>
      <c r="AO145" s="2056" t="str">
        <f t="shared" si="56"/>
        <v/>
      </c>
      <c r="AQ145" s="2056" t="str">
        <f t="shared" si="57"/>
        <v/>
      </c>
    </row>
    <row r="146" spans="5:43">
      <c r="E146" s="2056" t="str">
        <f t="shared" si="41"/>
        <v/>
      </c>
      <c r="G146" s="2056" t="str">
        <f t="shared" si="41"/>
        <v/>
      </c>
      <c r="I146" s="2056" t="str">
        <f t="shared" si="42"/>
        <v/>
      </c>
      <c r="K146" s="2056" t="str">
        <f t="shared" si="43"/>
        <v/>
      </c>
      <c r="M146" s="2056" t="str">
        <f t="shared" si="44"/>
        <v/>
      </c>
      <c r="O146" s="2056" t="str">
        <f t="shared" si="45"/>
        <v/>
      </c>
      <c r="Q146" s="2056" t="str">
        <f t="shared" si="38"/>
        <v/>
      </c>
      <c r="S146" s="2056" t="str">
        <f t="shared" si="46"/>
        <v/>
      </c>
      <c r="U146" s="2056" t="str">
        <f t="shared" si="47"/>
        <v/>
      </c>
      <c r="W146" s="2056" t="str">
        <f t="shared" si="40"/>
        <v/>
      </c>
      <c r="Y146" s="2056" t="str">
        <f t="shared" si="48"/>
        <v/>
      </c>
      <c r="AA146" s="2056" t="str">
        <f t="shared" si="49"/>
        <v/>
      </c>
      <c r="AC146" s="2056" t="str">
        <f t="shared" si="50"/>
        <v/>
      </c>
      <c r="AE146" s="2056" t="str">
        <f t="shared" si="51"/>
        <v/>
      </c>
      <c r="AG146" s="2056" t="str">
        <f t="shared" si="52"/>
        <v/>
      </c>
      <c r="AI146" s="2056" t="str">
        <f t="shared" si="53"/>
        <v/>
      </c>
      <c r="AK146" s="2056" t="str">
        <f t="shared" si="54"/>
        <v/>
      </c>
      <c r="AM146" s="2056" t="str">
        <f t="shared" si="55"/>
        <v/>
      </c>
      <c r="AO146" s="2056" t="str">
        <f t="shared" si="56"/>
        <v/>
      </c>
      <c r="AQ146" s="2056" t="str">
        <f t="shared" si="57"/>
        <v/>
      </c>
    </row>
    <row r="147" spans="5:43">
      <c r="E147" s="2056" t="str">
        <f t="shared" si="41"/>
        <v/>
      </c>
      <c r="G147" s="2056" t="str">
        <f t="shared" si="41"/>
        <v/>
      </c>
      <c r="I147" s="2056" t="str">
        <f t="shared" si="42"/>
        <v/>
      </c>
      <c r="K147" s="2056" t="str">
        <f t="shared" si="43"/>
        <v/>
      </c>
      <c r="M147" s="2056" t="str">
        <f t="shared" si="44"/>
        <v/>
      </c>
      <c r="O147" s="2056" t="str">
        <f t="shared" si="45"/>
        <v/>
      </c>
      <c r="Q147" s="2056" t="str">
        <f t="shared" si="38"/>
        <v/>
      </c>
      <c r="S147" s="2056" t="str">
        <f t="shared" si="46"/>
        <v/>
      </c>
      <c r="U147" s="2056" t="str">
        <f t="shared" si="47"/>
        <v/>
      </c>
      <c r="W147" s="2056" t="str">
        <f t="shared" si="40"/>
        <v/>
      </c>
      <c r="Y147" s="2056" t="str">
        <f t="shared" si="48"/>
        <v/>
      </c>
      <c r="AA147" s="2056" t="str">
        <f t="shared" si="49"/>
        <v/>
      </c>
      <c r="AC147" s="2056" t="str">
        <f t="shared" si="50"/>
        <v/>
      </c>
      <c r="AE147" s="2056" t="str">
        <f t="shared" si="51"/>
        <v/>
      </c>
      <c r="AG147" s="2056" t="str">
        <f t="shared" si="52"/>
        <v/>
      </c>
      <c r="AI147" s="2056" t="str">
        <f t="shared" si="53"/>
        <v/>
      </c>
      <c r="AK147" s="2056" t="str">
        <f t="shared" si="54"/>
        <v/>
      </c>
      <c r="AM147" s="2056" t="str">
        <f t="shared" si="55"/>
        <v/>
      </c>
      <c r="AO147" s="2056" t="str">
        <f t="shared" si="56"/>
        <v/>
      </c>
      <c r="AQ147" s="2056" t="str">
        <f t="shared" si="57"/>
        <v/>
      </c>
    </row>
    <row r="148" spans="5:43">
      <c r="E148" s="2056" t="str">
        <f t="shared" si="41"/>
        <v/>
      </c>
      <c r="G148" s="2056" t="str">
        <f t="shared" si="41"/>
        <v/>
      </c>
      <c r="I148" s="2056" t="str">
        <f t="shared" si="42"/>
        <v/>
      </c>
      <c r="K148" s="2056" t="str">
        <f t="shared" si="43"/>
        <v/>
      </c>
      <c r="M148" s="2056" t="str">
        <f t="shared" si="44"/>
        <v/>
      </c>
      <c r="O148" s="2056" t="str">
        <f t="shared" si="45"/>
        <v/>
      </c>
      <c r="Q148" s="2056" t="str">
        <f t="shared" si="38"/>
        <v/>
      </c>
      <c r="S148" s="2056" t="str">
        <f t="shared" si="46"/>
        <v/>
      </c>
      <c r="U148" s="2056" t="str">
        <f t="shared" si="47"/>
        <v/>
      </c>
      <c r="W148" s="2056" t="str">
        <f t="shared" si="40"/>
        <v/>
      </c>
      <c r="Y148" s="2056" t="str">
        <f t="shared" si="48"/>
        <v/>
      </c>
      <c r="AA148" s="2056" t="str">
        <f t="shared" si="49"/>
        <v/>
      </c>
      <c r="AC148" s="2056" t="str">
        <f t="shared" si="50"/>
        <v/>
      </c>
      <c r="AE148" s="2056" t="str">
        <f t="shared" si="51"/>
        <v/>
      </c>
      <c r="AG148" s="2056" t="str">
        <f t="shared" si="52"/>
        <v/>
      </c>
      <c r="AI148" s="2056" t="str">
        <f t="shared" si="53"/>
        <v/>
      </c>
      <c r="AK148" s="2056" t="str">
        <f t="shared" si="54"/>
        <v/>
      </c>
      <c r="AM148" s="2056" t="str">
        <f t="shared" si="55"/>
        <v/>
      </c>
      <c r="AO148" s="2056" t="str">
        <f t="shared" si="56"/>
        <v/>
      </c>
      <c r="AQ148" s="2056" t="str">
        <f t="shared" si="57"/>
        <v/>
      </c>
    </row>
    <row r="149" spans="5:43">
      <c r="E149" s="2056" t="str">
        <f t="shared" si="41"/>
        <v/>
      </c>
      <c r="G149" s="2056" t="str">
        <f t="shared" si="41"/>
        <v/>
      </c>
      <c r="I149" s="2056" t="str">
        <f t="shared" si="42"/>
        <v/>
      </c>
      <c r="K149" s="2056" t="str">
        <f t="shared" si="43"/>
        <v/>
      </c>
      <c r="M149" s="2056" t="str">
        <f t="shared" si="44"/>
        <v/>
      </c>
      <c r="O149" s="2056" t="str">
        <f t="shared" si="45"/>
        <v/>
      </c>
      <c r="Q149" s="2056" t="str">
        <f t="shared" si="38"/>
        <v/>
      </c>
      <c r="S149" s="2056" t="str">
        <f t="shared" si="46"/>
        <v/>
      </c>
      <c r="U149" s="2056" t="str">
        <f t="shared" si="47"/>
        <v/>
      </c>
      <c r="W149" s="2056" t="str">
        <f t="shared" si="40"/>
        <v/>
      </c>
      <c r="Y149" s="2056" t="str">
        <f t="shared" si="48"/>
        <v/>
      </c>
      <c r="AA149" s="2056" t="str">
        <f t="shared" si="49"/>
        <v/>
      </c>
      <c r="AC149" s="2056" t="str">
        <f t="shared" si="50"/>
        <v/>
      </c>
      <c r="AE149" s="2056" t="str">
        <f t="shared" si="51"/>
        <v/>
      </c>
      <c r="AG149" s="2056" t="str">
        <f t="shared" si="52"/>
        <v/>
      </c>
      <c r="AI149" s="2056" t="str">
        <f t="shared" si="53"/>
        <v/>
      </c>
      <c r="AK149" s="2056" t="str">
        <f t="shared" si="54"/>
        <v/>
      </c>
      <c r="AM149" s="2056" t="str">
        <f t="shared" si="55"/>
        <v/>
      </c>
      <c r="AO149" s="2056" t="str">
        <f t="shared" si="56"/>
        <v/>
      </c>
      <c r="AQ149" s="2056" t="str">
        <f t="shared" si="57"/>
        <v/>
      </c>
    </row>
    <row r="150" spans="5:43">
      <c r="E150" s="2056" t="str">
        <f t="shared" si="41"/>
        <v/>
      </c>
      <c r="G150" s="2056" t="str">
        <f t="shared" si="41"/>
        <v/>
      </c>
      <c r="I150" s="2056" t="str">
        <f t="shared" si="42"/>
        <v/>
      </c>
      <c r="K150" s="2056" t="str">
        <f t="shared" si="43"/>
        <v/>
      </c>
      <c r="M150" s="2056" t="str">
        <f t="shared" si="44"/>
        <v/>
      </c>
      <c r="O150" s="2056" t="str">
        <f t="shared" si="45"/>
        <v/>
      </c>
      <c r="Q150" s="2056" t="str">
        <f t="shared" si="38"/>
        <v/>
      </c>
      <c r="S150" s="2056" t="str">
        <f t="shared" si="46"/>
        <v/>
      </c>
      <c r="U150" s="2056" t="str">
        <f t="shared" si="47"/>
        <v/>
      </c>
      <c r="W150" s="2056" t="str">
        <f t="shared" si="40"/>
        <v/>
      </c>
      <c r="Y150" s="2056" t="str">
        <f t="shared" si="48"/>
        <v/>
      </c>
      <c r="AA150" s="2056" t="str">
        <f t="shared" si="49"/>
        <v/>
      </c>
      <c r="AC150" s="2056" t="str">
        <f t="shared" si="50"/>
        <v/>
      </c>
      <c r="AE150" s="2056" t="str">
        <f t="shared" si="51"/>
        <v/>
      </c>
      <c r="AG150" s="2056" t="str">
        <f t="shared" si="52"/>
        <v/>
      </c>
      <c r="AI150" s="2056" t="str">
        <f t="shared" si="53"/>
        <v/>
      </c>
      <c r="AK150" s="2056" t="str">
        <f t="shared" si="54"/>
        <v/>
      </c>
      <c r="AM150" s="2056" t="str">
        <f t="shared" si="55"/>
        <v/>
      </c>
      <c r="AO150" s="2056" t="str">
        <f t="shared" si="56"/>
        <v/>
      </c>
      <c r="AQ150" s="2056" t="str">
        <f t="shared" si="57"/>
        <v/>
      </c>
    </row>
    <row r="151" spans="5:43">
      <c r="E151" s="2056" t="str">
        <f t="shared" si="41"/>
        <v/>
      </c>
      <c r="G151" s="2056" t="str">
        <f t="shared" si="41"/>
        <v/>
      </c>
      <c r="I151" s="2056" t="str">
        <f t="shared" si="42"/>
        <v/>
      </c>
      <c r="K151" s="2056" t="str">
        <f t="shared" si="43"/>
        <v/>
      </c>
      <c r="M151" s="2056" t="str">
        <f t="shared" si="44"/>
        <v/>
      </c>
      <c r="O151" s="2056" t="str">
        <f t="shared" si="45"/>
        <v/>
      </c>
      <c r="Q151" s="2056" t="str">
        <f t="shared" si="38"/>
        <v/>
      </c>
      <c r="S151" s="2056" t="str">
        <f t="shared" si="46"/>
        <v/>
      </c>
      <c r="U151" s="2056" t="str">
        <f t="shared" si="47"/>
        <v/>
      </c>
      <c r="W151" s="2056" t="str">
        <f t="shared" si="40"/>
        <v/>
      </c>
      <c r="Y151" s="2056" t="str">
        <f t="shared" si="48"/>
        <v/>
      </c>
      <c r="AA151" s="2056" t="str">
        <f t="shared" si="49"/>
        <v/>
      </c>
      <c r="AC151" s="2056" t="str">
        <f t="shared" si="50"/>
        <v/>
      </c>
      <c r="AE151" s="2056" t="str">
        <f t="shared" si="51"/>
        <v/>
      </c>
      <c r="AG151" s="2056" t="str">
        <f t="shared" si="52"/>
        <v/>
      </c>
      <c r="AI151" s="2056" t="str">
        <f t="shared" si="53"/>
        <v/>
      </c>
      <c r="AK151" s="2056" t="str">
        <f t="shared" si="54"/>
        <v/>
      </c>
      <c r="AM151" s="2056" t="str">
        <f t="shared" si="55"/>
        <v/>
      </c>
      <c r="AO151" s="2056" t="str">
        <f t="shared" si="56"/>
        <v/>
      </c>
      <c r="AQ151" s="2056" t="str">
        <f t="shared" si="57"/>
        <v/>
      </c>
    </row>
    <row r="152" spans="5:43">
      <c r="E152" s="2056" t="str">
        <f t="shared" si="41"/>
        <v/>
      </c>
      <c r="G152" s="2056" t="str">
        <f t="shared" si="41"/>
        <v/>
      </c>
      <c r="I152" s="2056" t="str">
        <f t="shared" si="42"/>
        <v/>
      </c>
      <c r="K152" s="2056" t="str">
        <f t="shared" si="43"/>
        <v/>
      </c>
      <c r="M152" s="2056" t="str">
        <f t="shared" si="44"/>
        <v/>
      </c>
      <c r="O152" s="2056" t="str">
        <f t="shared" si="45"/>
        <v/>
      </c>
      <c r="Q152" s="2056" t="str">
        <f t="shared" si="38"/>
        <v/>
      </c>
      <c r="S152" s="2056" t="str">
        <f t="shared" si="46"/>
        <v/>
      </c>
      <c r="U152" s="2056" t="str">
        <f t="shared" si="47"/>
        <v/>
      </c>
      <c r="W152" s="2056" t="str">
        <f t="shared" si="40"/>
        <v/>
      </c>
      <c r="Y152" s="2056" t="str">
        <f t="shared" si="48"/>
        <v/>
      </c>
      <c r="AA152" s="2056" t="str">
        <f t="shared" si="49"/>
        <v/>
      </c>
      <c r="AC152" s="2056" t="str">
        <f t="shared" si="50"/>
        <v/>
      </c>
      <c r="AE152" s="2056" t="str">
        <f t="shared" si="51"/>
        <v/>
      </c>
      <c r="AG152" s="2056" t="str">
        <f t="shared" si="52"/>
        <v/>
      </c>
      <c r="AI152" s="2056" t="str">
        <f t="shared" si="53"/>
        <v/>
      </c>
      <c r="AK152" s="2056" t="str">
        <f t="shared" si="54"/>
        <v/>
      </c>
      <c r="AM152" s="2056" t="str">
        <f t="shared" si="55"/>
        <v/>
      </c>
      <c r="AO152" s="2056" t="str">
        <f t="shared" si="56"/>
        <v/>
      </c>
      <c r="AQ152" s="2056" t="str">
        <f t="shared" si="57"/>
        <v/>
      </c>
    </row>
    <row r="153" spans="5:43">
      <c r="E153" s="2056" t="str">
        <f t="shared" si="41"/>
        <v/>
      </c>
      <c r="G153" s="2056" t="str">
        <f t="shared" si="41"/>
        <v/>
      </c>
      <c r="I153" s="2056" t="str">
        <f t="shared" si="42"/>
        <v/>
      </c>
      <c r="K153" s="2056" t="str">
        <f t="shared" si="43"/>
        <v/>
      </c>
      <c r="M153" s="2056" t="str">
        <f t="shared" si="44"/>
        <v/>
      </c>
      <c r="O153" s="2056" t="str">
        <f t="shared" si="45"/>
        <v/>
      </c>
      <c r="Q153" s="2056" t="str">
        <f t="shared" si="38"/>
        <v/>
      </c>
      <c r="S153" s="2056" t="str">
        <f t="shared" si="46"/>
        <v/>
      </c>
      <c r="U153" s="2056" t="str">
        <f t="shared" si="47"/>
        <v/>
      </c>
      <c r="W153" s="2056" t="str">
        <f t="shared" si="40"/>
        <v/>
      </c>
      <c r="Y153" s="2056" t="str">
        <f t="shared" si="48"/>
        <v/>
      </c>
      <c r="AA153" s="2056" t="str">
        <f t="shared" si="49"/>
        <v/>
      </c>
      <c r="AC153" s="2056" t="str">
        <f t="shared" si="50"/>
        <v/>
      </c>
      <c r="AE153" s="2056" t="str">
        <f t="shared" si="51"/>
        <v/>
      </c>
      <c r="AG153" s="2056" t="str">
        <f t="shared" si="52"/>
        <v/>
      </c>
      <c r="AI153" s="2056" t="str">
        <f t="shared" si="53"/>
        <v/>
      </c>
      <c r="AK153" s="2056" t="str">
        <f t="shared" si="54"/>
        <v/>
      </c>
      <c r="AM153" s="2056" t="str">
        <f t="shared" si="55"/>
        <v/>
      </c>
      <c r="AO153" s="2056" t="str">
        <f t="shared" si="56"/>
        <v/>
      </c>
      <c r="AQ153" s="2056" t="str">
        <f t="shared" si="57"/>
        <v/>
      </c>
    </row>
    <row r="154" spans="5:43">
      <c r="E154" s="2056" t="str">
        <f t="shared" si="41"/>
        <v/>
      </c>
      <c r="G154" s="2056" t="str">
        <f t="shared" si="41"/>
        <v/>
      </c>
      <c r="I154" s="2056" t="str">
        <f t="shared" si="42"/>
        <v/>
      </c>
      <c r="K154" s="2056" t="str">
        <f t="shared" si="43"/>
        <v/>
      </c>
      <c r="M154" s="2056" t="str">
        <f t="shared" si="44"/>
        <v/>
      </c>
      <c r="O154" s="2056" t="str">
        <f t="shared" si="45"/>
        <v/>
      </c>
      <c r="Q154" s="2056" t="str">
        <f t="shared" si="38"/>
        <v/>
      </c>
      <c r="S154" s="2056" t="str">
        <f t="shared" si="46"/>
        <v/>
      </c>
      <c r="U154" s="2056" t="str">
        <f t="shared" si="47"/>
        <v/>
      </c>
      <c r="W154" s="2056" t="str">
        <f t="shared" si="40"/>
        <v/>
      </c>
      <c r="Y154" s="2056" t="str">
        <f t="shared" si="48"/>
        <v/>
      </c>
      <c r="AA154" s="2056" t="str">
        <f t="shared" si="49"/>
        <v/>
      </c>
      <c r="AC154" s="2056" t="str">
        <f t="shared" si="50"/>
        <v/>
      </c>
      <c r="AE154" s="2056" t="str">
        <f t="shared" si="51"/>
        <v/>
      </c>
      <c r="AG154" s="2056" t="str">
        <f t="shared" si="52"/>
        <v/>
      </c>
      <c r="AI154" s="2056" t="str">
        <f t="shared" si="53"/>
        <v/>
      </c>
      <c r="AK154" s="2056" t="str">
        <f t="shared" si="54"/>
        <v/>
      </c>
      <c r="AM154" s="2056" t="str">
        <f t="shared" si="55"/>
        <v/>
      </c>
      <c r="AO154" s="2056" t="str">
        <f t="shared" si="56"/>
        <v/>
      </c>
      <c r="AQ154" s="2056" t="str">
        <f t="shared" si="57"/>
        <v/>
      </c>
    </row>
    <row r="155" spans="5:43">
      <c r="E155" s="2056" t="str">
        <f t="shared" si="41"/>
        <v/>
      </c>
      <c r="G155" s="2056" t="str">
        <f t="shared" si="41"/>
        <v/>
      </c>
      <c r="I155" s="2056" t="str">
        <f t="shared" si="42"/>
        <v/>
      </c>
      <c r="K155" s="2056" t="str">
        <f t="shared" si="43"/>
        <v/>
      </c>
      <c r="M155" s="2056" t="str">
        <f t="shared" si="44"/>
        <v/>
      </c>
      <c r="O155" s="2056" t="str">
        <f t="shared" si="45"/>
        <v/>
      </c>
      <c r="Q155" s="2056" t="str">
        <f t="shared" si="38"/>
        <v/>
      </c>
      <c r="S155" s="2056" t="str">
        <f t="shared" si="46"/>
        <v/>
      </c>
      <c r="U155" s="2056" t="str">
        <f t="shared" si="47"/>
        <v/>
      </c>
      <c r="W155" s="2056" t="str">
        <f t="shared" si="40"/>
        <v/>
      </c>
      <c r="Y155" s="2056" t="str">
        <f t="shared" si="48"/>
        <v/>
      </c>
      <c r="AA155" s="2056" t="str">
        <f t="shared" si="49"/>
        <v/>
      </c>
      <c r="AC155" s="2056" t="str">
        <f t="shared" si="50"/>
        <v/>
      </c>
      <c r="AE155" s="2056" t="str">
        <f t="shared" si="51"/>
        <v/>
      </c>
      <c r="AG155" s="2056" t="str">
        <f t="shared" si="52"/>
        <v/>
      </c>
      <c r="AI155" s="2056" t="str">
        <f t="shared" si="53"/>
        <v/>
      </c>
      <c r="AK155" s="2056" t="str">
        <f t="shared" si="54"/>
        <v/>
      </c>
      <c r="AM155" s="2056" t="str">
        <f t="shared" si="55"/>
        <v/>
      </c>
      <c r="AO155" s="2056" t="str">
        <f t="shared" si="56"/>
        <v/>
      </c>
      <c r="AQ155" s="2056" t="str">
        <f t="shared" si="57"/>
        <v/>
      </c>
    </row>
    <row r="156" spans="5:43">
      <c r="E156" s="2056" t="str">
        <f t="shared" si="41"/>
        <v/>
      </c>
      <c r="G156" s="2056" t="str">
        <f t="shared" si="41"/>
        <v/>
      </c>
      <c r="I156" s="2056" t="str">
        <f t="shared" si="42"/>
        <v/>
      </c>
      <c r="K156" s="2056" t="str">
        <f t="shared" si="43"/>
        <v/>
      </c>
      <c r="M156" s="2056" t="str">
        <f t="shared" si="44"/>
        <v/>
      </c>
      <c r="O156" s="2056" t="str">
        <f t="shared" si="45"/>
        <v/>
      </c>
      <c r="Q156" s="2056" t="str">
        <f t="shared" si="38"/>
        <v/>
      </c>
      <c r="S156" s="2056" t="str">
        <f t="shared" si="46"/>
        <v/>
      </c>
      <c r="U156" s="2056" t="str">
        <f t="shared" si="47"/>
        <v/>
      </c>
      <c r="W156" s="2056" t="str">
        <f t="shared" si="40"/>
        <v/>
      </c>
      <c r="Y156" s="2056" t="str">
        <f t="shared" si="48"/>
        <v/>
      </c>
      <c r="AA156" s="2056" t="str">
        <f t="shared" si="49"/>
        <v/>
      </c>
      <c r="AC156" s="2056" t="str">
        <f t="shared" si="50"/>
        <v/>
      </c>
      <c r="AE156" s="2056" t="str">
        <f t="shared" si="51"/>
        <v/>
      </c>
      <c r="AG156" s="2056" t="str">
        <f t="shared" si="52"/>
        <v/>
      </c>
      <c r="AI156" s="2056" t="str">
        <f t="shared" si="53"/>
        <v/>
      </c>
      <c r="AK156" s="2056" t="str">
        <f t="shared" si="54"/>
        <v/>
      </c>
      <c r="AM156" s="2056" t="str">
        <f t="shared" si="55"/>
        <v/>
      </c>
      <c r="AO156" s="2056" t="str">
        <f t="shared" si="56"/>
        <v/>
      </c>
      <c r="AQ156" s="2056" t="str">
        <f t="shared" si="57"/>
        <v/>
      </c>
    </row>
    <row r="157" spans="5:43">
      <c r="E157" s="2056" t="str">
        <f t="shared" si="41"/>
        <v/>
      </c>
      <c r="G157" s="2056" t="str">
        <f t="shared" si="41"/>
        <v/>
      </c>
      <c r="I157" s="2056" t="str">
        <f t="shared" si="42"/>
        <v/>
      </c>
      <c r="K157" s="2056" t="str">
        <f t="shared" si="43"/>
        <v/>
      </c>
      <c r="M157" s="2056" t="str">
        <f t="shared" si="44"/>
        <v/>
      </c>
      <c r="O157" s="2056" t="str">
        <f t="shared" si="45"/>
        <v/>
      </c>
      <c r="Q157" s="2056" t="str">
        <f t="shared" si="38"/>
        <v/>
      </c>
      <c r="S157" s="2056" t="str">
        <f t="shared" si="46"/>
        <v/>
      </c>
      <c r="U157" s="2056" t="str">
        <f t="shared" si="47"/>
        <v/>
      </c>
      <c r="W157" s="2056" t="str">
        <f t="shared" si="40"/>
        <v/>
      </c>
      <c r="Y157" s="2056" t="str">
        <f t="shared" si="48"/>
        <v/>
      </c>
      <c r="AA157" s="2056" t="str">
        <f t="shared" si="49"/>
        <v/>
      </c>
      <c r="AC157" s="2056" t="str">
        <f t="shared" si="50"/>
        <v/>
      </c>
      <c r="AE157" s="2056" t="str">
        <f t="shared" si="51"/>
        <v/>
      </c>
      <c r="AG157" s="2056" t="str">
        <f t="shared" si="52"/>
        <v/>
      </c>
      <c r="AI157" s="2056" t="str">
        <f t="shared" si="53"/>
        <v/>
      </c>
      <c r="AK157" s="2056" t="str">
        <f t="shared" si="54"/>
        <v/>
      </c>
      <c r="AM157" s="2056" t="str">
        <f t="shared" si="55"/>
        <v/>
      </c>
      <c r="AO157" s="2056" t="str">
        <f t="shared" si="56"/>
        <v/>
      </c>
      <c r="AQ157" s="2056" t="str">
        <f t="shared" si="57"/>
        <v/>
      </c>
    </row>
    <row r="158" spans="5:43">
      <c r="E158" s="2056" t="str">
        <f t="shared" si="41"/>
        <v/>
      </c>
      <c r="G158" s="2056" t="str">
        <f t="shared" si="41"/>
        <v/>
      </c>
      <c r="I158" s="2056" t="str">
        <f t="shared" si="42"/>
        <v/>
      </c>
      <c r="K158" s="2056" t="str">
        <f t="shared" si="43"/>
        <v/>
      </c>
      <c r="M158" s="2056" t="str">
        <f t="shared" si="44"/>
        <v/>
      </c>
      <c r="O158" s="2056" t="str">
        <f t="shared" si="45"/>
        <v/>
      </c>
      <c r="Q158" s="2056" t="str">
        <f t="shared" si="38"/>
        <v/>
      </c>
      <c r="S158" s="2056" t="str">
        <f t="shared" si="46"/>
        <v/>
      </c>
      <c r="U158" s="2056" t="str">
        <f t="shared" si="47"/>
        <v/>
      </c>
      <c r="W158" s="2056" t="str">
        <f t="shared" si="40"/>
        <v/>
      </c>
      <c r="Y158" s="2056" t="str">
        <f t="shared" si="48"/>
        <v/>
      </c>
      <c r="AA158" s="2056" t="str">
        <f t="shared" si="49"/>
        <v/>
      </c>
      <c r="AC158" s="2056" t="str">
        <f t="shared" si="50"/>
        <v/>
      </c>
      <c r="AE158" s="2056" t="str">
        <f t="shared" si="51"/>
        <v/>
      </c>
      <c r="AG158" s="2056" t="str">
        <f t="shared" si="52"/>
        <v/>
      </c>
      <c r="AI158" s="2056" t="str">
        <f t="shared" si="53"/>
        <v/>
      </c>
      <c r="AK158" s="2056" t="str">
        <f t="shared" si="54"/>
        <v/>
      </c>
      <c r="AM158" s="2056" t="str">
        <f t="shared" si="55"/>
        <v/>
      </c>
      <c r="AO158" s="2056" t="str">
        <f t="shared" si="56"/>
        <v/>
      </c>
      <c r="AQ158" s="2056" t="str">
        <f t="shared" si="57"/>
        <v/>
      </c>
    </row>
    <row r="159" spans="5:43">
      <c r="E159" s="2056" t="str">
        <f t="shared" si="41"/>
        <v/>
      </c>
      <c r="G159" s="2056" t="str">
        <f t="shared" si="41"/>
        <v/>
      </c>
      <c r="I159" s="2056" t="str">
        <f t="shared" si="42"/>
        <v/>
      </c>
      <c r="K159" s="2056" t="str">
        <f t="shared" si="43"/>
        <v/>
      </c>
      <c r="M159" s="2056" t="str">
        <f t="shared" si="44"/>
        <v/>
      </c>
      <c r="O159" s="2056" t="str">
        <f t="shared" si="45"/>
        <v/>
      </c>
      <c r="Q159" s="2056" t="str">
        <f t="shared" si="38"/>
        <v/>
      </c>
      <c r="S159" s="2056" t="str">
        <f t="shared" si="46"/>
        <v/>
      </c>
      <c r="U159" s="2056" t="str">
        <f t="shared" si="47"/>
        <v/>
      </c>
      <c r="W159" s="2056" t="str">
        <f t="shared" si="40"/>
        <v/>
      </c>
      <c r="Y159" s="2056" t="str">
        <f t="shared" si="48"/>
        <v/>
      </c>
      <c r="AA159" s="2056" t="str">
        <f t="shared" si="49"/>
        <v/>
      </c>
      <c r="AC159" s="2056" t="str">
        <f t="shared" si="50"/>
        <v/>
      </c>
      <c r="AE159" s="2056" t="str">
        <f t="shared" si="51"/>
        <v/>
      </c>
      <c r="AG159" s="2056" t="str">
        <f t="shared" si="52"/>
        <v/>
      </c>
      <c r="AI159" s="2056" t="str">
        <f t="shared" si="53"/>
        <v/>
      </c>
      <c r="AK159" s="2056" t="str">
        <f t="shared" si="54"/>
        <v/>
      </c>
      <c r="AM159" s="2056" t="str">
        <f t="shared" si="55"/>
        <v/>
      </c>
      <c r="AO159" s="2056" t="str">
        <f t="shared" si="56"/>
        <v/>
      </c>
      <c r="AQ159" s="2056" t="str">
        <f t="shared" si="57"/>
        <v/>
      </c>
    </row>
    <row r="160" spans="5:43">
      <c r="E160" s="2056" t="str">
        <f t="shared" si="41"/>
        <v/>
      </c>
      <c r="G160" s="2056" t="str">
        <f t="shared" si="41"/>
        <v/>
      </c>
      <c r="I160" s="2056" t="str">
        <f t="shared" si="42"/>
        <v/>
      </c>
      <c r="K160" s="2056" t="str">
        <f t="shared" si="43"/>
        <v/>
      </c>
      <c r="M160" s="2056" t="str">
        <f t="shared" si="44"/>
        <v/>
      </c>
      <c r="O160" s="2056" t="str">
        <f t="shared" si="45"/>
        <v/>
      </c>
      <c r="Q160" s="2056" t="str">
        <f t="shared" si="38"/>
        <v/>
      </c>
      <c r="S160" s="2056" t="str">
        <f t="shared" si="46"/>
        <v/>
      </c>
      <c r="U160" s="2056" t="str">
        <f t="shared" si="47"/>
        <v/>
      </c>
      <c r="W160" s="2056" t="str">
        <f t="shared" si="40"/>
        <v/>
      </c>
      <c r="Y160" s="2056" t="str">
        <f t="shared" si="48"/>
        <v/>
      </c>
      <c r="AA160" s="2056" t="str">
        <f t="shared" si="49"/>
        <v/>
      </c>
      <c r="AC160" s="2056" t="str">
        <f t="shared" si="50"/>
        <v/>
      </c>
      <c r="AE160" s="2056" t="str">
        <f t="shared" si="51"/>
        <v/>
      </c>
      <c r="AG160" s="2056" t="str">
        <f t="shared" si="52"/>
        <v/>
      </c>
      <c r="AI160" s="2056" t="str">
        <f t="shared" si="53"/>
        <v/>
      </c>
      <c r="AK160" s="2056" t="str">
        <f t="shared" si="54"/>
        <v/>
      </c>
      <c r="AM160" s="2056" t="str">
        <f t="shared" si="55"/>
        <v/>
      </c>
      <c r="AO160" s="2056" t="str">
        <f t="shared" si="56"/>
        <v/>
      </c>
      <c r="AQ160" s="2056" t="str">
        <f t="shared" si="57"/>
        <v/>
      </c>
    </row>
    <row r="161" spans="5:43">
      <c r="E161" s="2056" t="str">
        <f t="shared" si="41"/>
        <v/>
      </c>
      <c r="G161" s="2056" t="str">
        <f t="shared" si="41"/>
        <v/>
      </c>
      <c r="I161" s="2056" t="str">
        <f t="shared" si="42"/>
        <v/>
      </c>
      <c r="K161" s="2056" t="str">
        <f t="shared" si="43"/>
        <v/>
      </c>
      <c r="M161" s="2056" t="str">
        <f t="shared" si="44"/>
        <v/>
      </c>
      <c r="O161" s="2056" t="str">
        <f t="shared" si="45"/>
        <v/>
      </c>
      <c r="Q161" s="2056" t="str">
        <f t="shared" si="38"/>
        <v/>
      </c>
      <c r="S161" s="2056" t="str">
        <f t="shared" si="46"/>
        <v/>
      </c>
      <c r="U161" s="2056" t="str">
        <f t="shared" si="47"/>
        <v/>
      </c>
      <c r="W161" s="2056" t="str">
        <f t="shared" si="40"/>
        <v/>
      </c>
      <c r="Y161" s="2056" t="str">
        <f t="shared" si="48"/>
        <v/>
      </c>
      <c r="AA161" s="2056" t="str">
        <f t="shared" si="49"/>
        <v/>
      </c>
      <c r="AC161" s="2056" t="str">
        <f t="shared" si="50"/>
        <v/>
      </c>
      <c r="AE161" s="2056" t="str">
        <f t="shared" si="51"/>
        <v/>
      </c>
      <c r="AG161" s="2056" t="str">
        <f t="shared" si="52"/>
        <v/>
      </c>
      <c r="AI161" s="2056" t="str">
        <f t="shared" si="53"/>
        <v/>
      </c>
      <c r="AK161" s="2056" t="str">
        <f t="shared" si="54"/>
        <v/>
      </c>
      <c r="AM161" s="2056" t="str">
        <f t="shared" si="55"/>
        <v/>
      </c>
      <c r="AO161" s="2056" t="str">
        <f t="shared" si="56"/>
        <v/>
      </c>
      <c r="AQ161" s="2056" t="str">
        <f t="shared" si="57"/>
        <v/>
      </c>
    </row>
    <row r="162" spans="5:43">
      <c r="E162" s="2056" t="str">
        <f t="shared" si="41"/>
        <v/>
      </c>
      <c r="G162" s="2056" t="str">
        <f t="shared" si="41"/>
        <v/>
      </c>
      <c r="I162" s="2056" t="str">
        <f t="shared" si="42"/>
        <v/>
      </c>
      <c r="K162" s="2056" t="str">
        <f t="shared" si="43"/>
        <v/>
      </c>
      <c r="M162" s="2056" t="str">
        <f t="shared" si="44"/>
        <v/>
      </c>
      <c r="O162" s="2056" t="str">
        <f t="shared" si="45"/>
        <v/>
      </c>
      <c r="Q162" s="2056" t="str">
        <f t="shared" si="38"/>
        <v/>
      </c>
      <c r="S162" s="2056" t="str">
        <f t="shared" si="46"/>
        <v/>
      </c>
      <c r="U162" s="2056" t="str">
        <f t="shared" si="47"/>
        <v/>
      </c>
      <c r="W162" s="2056" t="str">
        <f t="shared" si="40"/>
        <v/>
      </c>
      <c r="Y162" s="2056" t="str">
        <f t="shared" si="48"/>
        <v/>
      </c>
      <c r="AA162" s="2056" t="str">
        <f t="shared" si="49"/>
        <v/>
      </c>
      <c r="AC162" s="2056" t="str">
        <f t="shared" si="50"/>
        <v/>
      </c>
      <c r="AE162" s="2056" t="str">
        <f t="shared" si="51"/>
        <v/>
      </c>
      <c r="AG162" s="2056" t="str">
        <f t="shared" si="52"/>
        <v/>
      </c>
      <c r="AI162" s="2056" t="str">
        <f t="shared" si="53"/>
        <v/>
      </c>
      <c r="AK162" s="2056" t="str">
        <f t="shared" si="54"/>
        <v/>
      </c>
      <c r="AM162" s="2056" t="str">
        <f t="shared" si="55"/>
        <v/>
      </c>
      <c r="AO162" s="2056" t="str">
        <f t="shared" si="56"/>
        <v/>
      </c>
      <c r="AQ162" s="2056" t="str">
        <f t="shared" si="57"/>
        <v/>
      </c>
    </row>
    <row r="163" spans="5:43">
      <c r="E163" s="2056" t="str">
        <f t="shared" si="41"/>
        <v/>
      </c>
      <c r="G163" s="2056" t="str">
        <f t="shared" si="41"/>
        <v/>
      </c>
      <c r="I163" s="2056" t="str">
        <f t="shared" si="42"/>
        <v/>
      </c>
      <c r="K163" s="2056" t="str">
        <f t="shared" si="43"/>
        <v/>
      </c>
      <c r="M163" s="2056" t="str">
        <f t="shared" si="44"/>
        <v/>
      </c>
      <c r="O163" s="2056" t="str">
        <f t="shared" si="45"/>
        <v/>
      </c>
      <c r="Q163" s="2056" t="str">
        <f t="shared" si="38"/>
        <v/>
      </c>
      <c r="S163" s="2056" t="str">
        <f t="shared" si="46"/>
        <v/>
      </c>
      <c r="U163" s="2056" t="str">
        <f t="shared" si="47"/>
        <v/>
      </c>
      <c r="W163" s="2056" t="str">
        <f t="shared" si="40"/>
        <v/>
      </c>
      <c r="Y163" s="2056" t="str">
        <f t="shared" si="48"/>
        <v/>
      </c>
      <c r="AA163" s="2056" t="str">
        <f t="shared" si="49"/>
        <v/>
      </c>
      <c r="AC163" s="2056" t="str">
        <f t="shared" si="50"/>
        <v/>
      </c>
      <c r="AE163" s="2056" t="str">
        <f t="shared" si="51"/>
        <v/>
      </c>
      <c r="AG163" s="2056" t="str">
        <f t="shared" si="52"/>
        <v/>
      </c>
      <c r="AI163" s="2056" t="str">
        <f t="shared" si="53"/>
        <v/>
      </c>
      <c r="AK163" s="2056" t="str">
        <f t="shared" si="54"/>
        <v/>
      </c>
      <c r="AM163" s="2056" t="str">
        <f t="shared" si="55"/>
        <v/>
      </c>
      <c r="AO163" s="2056" t="str">
        <f t="shared" si="56"/>
        <v/>
      </c>
      <c r="AQ163" s="2056" t="str">
        <f t="shared" si="57"/>
        <v/>
      </c>
    </row>
    <row r="164" spans="5:43">
      <c r="E164" s="2056" t="str">
        <f t="shared" si="41"/>
        <v/>
      </c>
      <c r="G164" s="2056" t="str">
        <f t="shared" si="41"/>
        <v/>
      </c>
      <c r="I164" s="2056" t="str">
        <f t="shared" si="42"/>
        <v/>
      </c>
      <c r="K164" s="2056" t="str">
        <f t="shared" si="43"/>
        <v/>
      </c>
      <c r="M164" s="2056" t="str">
        <f t="shared" si="44"/>
        <v/>
      </c>
      <c r="O164" s="2056" t="str">
        <f t="shared" si="45"/>
        <v/>
      </c>
      <c r="Q164" s="2056" t="str">
        <f t="shared" si="38"/>
        <v/>
      </c>
      <c r="S164" s="2056" t="str">
        <f t="shared" si="46"/>
        <v/>
      </c>
      <c r="U164" s="2056" t="str">
        <f t="shared" si="47"/>
        <v/>
      </c>
      <c r="W164" s="2056" t="str">
        <f t="shared" si="40"/>
        <v/>
      </c>
      <c r="Y164" s="2056" t="str">
        <f t="shared" si="48"/>
        <v/>
      </c>
      <c r="AA164" s="2056" t="str">
        <f t="shared" si="49"/>
        <v/>
      </c>
      <c r="AC164" s="2056" t="str">
        <f t="shared" si="50"/>
        <v/>
      </c>
      <c r="AE164" s="2056" t="str">
        <f t="shared" si="51"/>
        <v/>
      </c>
      <c r="AG164" s="2056" t="str">
        <f t="shared" si="52"/>
        <v/>
      </c>
      <c r="AI164" s="2056" t="str">
        <f t="shared" si="53"/>
        <v/>
      </c>
      <c r="AK164" s="2056" t="str">
        <f t="shared" si="54"/>
        <v/>
      </c>
      <c r="AM164" s="2056" t="str">
        <f t="shared" si="55"/>
        <v/>
      </c>
      <c r="AO164" s="2056" t="str">
        <f t="shared" si="56"/>
        <v/>
      </c>
      <c r="AQ164" s="2056" t="str">
        <f t="shared" si="57"/>
        <v/>
      </c>
    </row>
    <row r="165" spans="5:43">
      <c r="E165" s="2056" t="str">
        <f t="shared" si="41"/>
        <v/>
      </c>
      <c r="G165" s="2056" t="str">
        <f t="shared" si="41"/>
        <v/>
      </c>
      <c r="I165" s="2056" t="str">
        <f t="shared" si="42"/>
        <v/>
      </c>
      <c r="K165" s="2056" t="str">
        <f t="shared" si="43"/>
        <v/>
      </c>
      <c r="M165" s="2056" t="str">
        <f t="shared" si="44"/>
        <v/>
      </c>
      <c r="O165" s="2056" t="str">
        <f t="shared" si="45"/>
        <v/>
      </c>
      <c r="Q165" s="2056" t="str">
        <f t="shared" si="38"/>
        <v/>
      </c>
      <c r="S165" s="2056" t="str">
        <f t="shared" si="46"/>
        <v/>
      </c>
      <c r="U165" s="2056" t="str">
        <f t="shared" si="47"/>
        <v/>
      </c>
      <c r="W165" s="2056" t="str">
        <f t="shared" si="40"/>
        <v/>
      </c>
      <c r="Y165" s="2056" t="str">
        <f t="shared" si="48"/>
        <v/>
      </c>
      <c r="AA165" s="2056" t="str">
        <f t="shared" si="49"/>
        <v/>
      </c>
      <c r="AC165" s="2056" t="str">
        <f t="shared" si="50"/>
        <v/>
      </c>
      <c r="AE165" s="2056" t="str">
        <f t="shared" si="51"/>
        <v/>
      </c>
      <c r="AG165" s="2056" t="str">
        <f t="shared" si="52"/>
        <v/>
      </c>
      <c r="AI165" s="2056" t="str">
        <f t="shared" si="53"/>
        <v/>
      </c>
      <c r="AK165" s="2056" t="str">
        <f t="shared" si="54"/>
        <v/>
      </c>
      <c r="AM165" s="2056" t="str">
        <f t="shared" si="55"/>
        <v/>
      </c>
      <c r="AO165" s="2056" t="str">
        <f t="shared" si="56"/>
        <v/>
      </c>
      <c r="AQ165" s="2056" t="str">
        <f t="shared" si="57"/>
        <v/>
      </c>
    </row>
    <row r="166" spans="5:43">
      <c r="E166" s="2056" t="str">
        <f t="shared" si="41"/>
        <v/>
      </c>
      <c r="G166" s="2056" t="str">
        <f t="shared" si="41"/>
        <v/>
      </c>
      <c r="I166" s="2056" t="str">
        <f t="shared" si="42"/>
        <v/>
      </c>
      <c r="K166" s="2056" t="str">
        <f t="shared" si="43"/>
        <v/>
      </c>
      <c r="M166" s="2056" t="str">
        <f t="shared" si="44"/>
        <v/>
      </c>
      <c r="O166" s="2056" t="str">
        <f t="shared" si="45"/>
        <v/>
      </c>
      <c r="Q166" s="2056" t="str">
        <f t="shared" si="38"/>
        <v/>
      </c>
      <c r="S166" s="2056" t="str">
        <f t="shared" si="46"/>
        <v/>
      </c>
      <c r="U166" s="2056" t="str">
        <f t="shared" si="47"/>
        <v/>
      </c>
      <c r="W166" s="2056" t="str">
        <f t="shared" si="40"/>
        <v/>
      </c>
      <c r="Y166" s="2056" t="str">
        <f t="shared" si="48"/>
        <v/>
      </c>
      <c r="AA166" s="2056" t="str">
        <f t="shared" si="49"/>
        <v/>
      </c>
      <c r="AC166" s="2056" t="str">
        <f t="shared" si="50"/>
        <v/>
      </c>
      <c r="AE166" s="2056" t="str">
        <f t="shared" si="51"/>
        <v/>
      </c>
      <c r="AG166" s="2056" t="str">
        <f t="shared" si="52"/>
        <v/>
      </c>
      <c r="AI166" s="2056" t="str">
        <f t="shared" si="53"/>
        <v/>
      </c>
      <c r="AK166" s="2056" t="str">
        <f t="shared" si="54"/>
        <v/>
      </c>
      <c r="AM166" s="2056" t="str">
        <f t="shared" si="55"/>
        <v/>
      </c>
      <c r="AO166" s="2056" t="str">
        <f t="shared" si="56"/>
        <v/>
      </c>
      <c r="AQ166" s="2056" t="str">
        <f t="shared" si="57"/>
        <v/>
      </c>
    </row>
    <row r="167" spans="5:43">
      <c r="E167" s="2056" t="str">
        <f t="shared" si="41"/>
        <v/>
      </c>
      <c r="G167" s="2056" t="str">
        <f t="shared" si="41"/>
        <v/>
      </c>
      <c r="I167" s="2056" t="str">
        <f t="shared" si="42"/>
        <v/>
      </c>
      <c r="K167" s="2056" t="str">
        <f t="shared" si="43"/>
        <v/>
      </c>
      <c r="M167" s="2056" t="str">
        <f t="shared" si="44"/>
        <v/>
      </c>
      <c r="O167" s="2056" t="str">
        <f t="shared" si="45"/>
        <v/>
      </c>
      <c r="Q167" s="2056" t="str">
        <f t="shared" si="38"/>
        <v/>
      </c>
      <c r="S167" s="2056" t="str">
        <f t="shared" si="46"/>
        <v/>
      </c>
      <c r="U167" s="2056" t="str">
        <f t="shared" si="47"/>
        <v/>
      </c>
      <c r="W167" s="2056" t="str">
        <f t="shared" si="40"/>
        <v/>
      </c>
      <c r="Y167" s="2056" t="str">
        <f t="shared" si="48"/>
        <v/>
      </c>
      <c r="AA167" s="2056" t="str">
        <f t="shared" si="49"/>
        <v/>
      </c>
      <c r="AC167" s="2056" t="str">
        <f t="shared" si="50"/>
        <v/>
      </c>
      <c r="AE167" s="2056" t="str">
        <f t="shared" si="51"/>
        <v/>
      </c>
      <c r="AG167" s="2056" t="str">
        <f t="shared" si="52"/>
        <v/>
      </c>
      <c r="AI167" s="2056" t="str">
        <f t="shared" si="53"/>
        <v/>
      </c>
      <c r="AK167" s="2056" t="str">
        <f t="shared" si="54"/>
        <v/>
      </c>
      <c r="AM167" s="2056" t="str">
        <f t="shared" si="55"/>
        <v/>
      </c>
      <c r="AO167" s="2056" t="str">
        <f t="shared" si="56"/>
        <v/>
      </c>
      <c r="AQ167" s="2056" t="str">
        <f t="shared" si="57"/>
        <v/>
      </c>
    </row>
    <row r="168" spans="5:43">
      <c r="E168" s="2056" t="str">
        <f t="shared" si="41"/>
        <v/>
      </c>
      <c r="G168" s="2056" t="str">
        <f t="shared" si="41"/>
        <v/>
      </c>
      <c r="I168" s="2056" t="str">
        <f t="shared" si="42"/>
        <v/>
      </c>
      <c r="K168" s="2056" t="str">
        <f t="shared" si="43"/>
        <v/>
      </c>
      <c r="M168" s="2056" t="str">
        <f t="shared" si="44"/>
        <v/>
      </c>
      <c r="O168" s="2056" t="str">
        <f t="shared" si="45"/>
        <v/>
      </c>
      <c r="Q168" s="2056" t="str">
        <f t="shared" si="38"/>
        <v/>
      </c>
      <c r="S168" s="2056" t="str">
        <f t="shared" si="46"/>
        <v/>
      </c>
      <c r="U168" s="2056" t="str">
        <f t="shared" si="47"/>
        <v/>
      </c>
      <c r="W168" s="2056" t="str">
        <f t="shared" si="40"/>
        <v/>
      </c>
      <c r="Y168" s="2056" t="str">
        <f t="shared" si="48"/>
        <v/>
      </c>
      <c r="AA168" s="2056" t="str">
        <f t="shared" si="49"/>
        <v/>
      </c>
      <c r="AC168" s="2056" t="str">
        <f t="shared" si="50"/>
        <v/>
      </c>
      <c r="AE168" s="2056" t="str">
        <f t="shared" si="51"/>
        <v/>
      </c>
      <c r="AG168" s="2056" t="str">
        <f t="shared" si="52"/>
        <v/>
      </c>
      <c r="AI168" s="2056" t="str">
        <f t="shared" si="53"/>
        <v/>
      </c>
      <c r="AK168" s="2056" t="str">
        <f t="shared" si="54"/>
        <v/>
      </c>
      <c r="AM168" s="2056" t="str">
        <f t="shared" si="55"/>
        <v/>
      </c>
      <c r="AO168" s="2056" t="str">
        <f t="shared" si="56"/>
        <v/>
      </c>
      <c r="AQ168" s="2056" t="str">
        <f t="shared" si="57"/>
        <v/>
      </c>
    </row>
    <row r="169" spans="5:43">
      <c r="E169" s="2056" t="str">
        <f t="shared" si="41"/>
        <v/>
      </c>
      <c r="G169" s="2056" t="str">
        <f t="shared" si="41"/>
        <v/>
      </c>
      <c r="I169" s="2056" t="str">
        <f t="shared" si="42"/>
        <v/>
      </c>
      <c r="K169" s="2056" t="str">
        <f t="shared" si="43"/>
        <v/>
      </c>
      <c r="M169" s="2056" t="str">
        <f t="shared" si="44"/>
        <v/>
      </c>
      <c r="O169" s="2056" t="str">
        <f t="shared" si="45"/>
        <v/>
      </c>
      <c r="Q169" s="2056" t="str">
        <f t="shared" si="38"/>
        <v/>
      </c>
      <c r="S169" s="2056" t="str">
        <f t="shared" si="46"/>
        <v/>
      </c>
      <c r="U169" s="2056" t="str">
        <f t="shared" si="47"/>
        <v/>
      </c>
      <c r="W169" s="2056" t="str">
        <f t="shared" si="40"/>
        <v/>
      </c>
      <c r="Y169" s="2056" t="str">
        <f t="shared" si="48"/>
        <v/>
      </c>
      <c r="AA169" s="2056" t="str">
        <f t="shared" si="49"/>
        <v/>
      </c>
      <c r="AC169" s="2056" t="str">
        <f t="shared" si="50"/>
        <v/>
      </c>
      <c r="AE169" s="2056" t="str">
        <f t="shared" si="51"/>
        <v/>
      </c>
      <c r="AG169" s="2056" t="str">
        <f t="shared" si="52"/>
        <v/>
      </c>
      <c r="AI169" s="2056" t="str">
        <f t="shared" si="53"/>
        <v/>
      </c>
      <c r="AK169" s="2056" t="str">
        <f t="shared" si="54"/>
        <v/>
      </c>
      <c r="AM169" s="2056" t="str">
        <f t="shared" si="55"/>
        <v/>
      </c>
      <c r="AO169" s="2056" t="str">
        <f t="shared" si="56"/>
        <v/>
      </c>
      <c r="AQ169" s="2056" t="str">
        <f t="shared" si="57"/>
        <v/>
      </c>
    </row>
    <row r="170" spans="5:43">
      <c r="E170" s="2056" t="str">
        <f t="shared" si="41"/>
        <v/>
      </c>
      <c r="G170" s="2056" t="str">
        <f t="shared" si="41"/>
        <v/>
      </c>
      <c r="I170" s="2056" t="str">
        <f t="shared" si="42"/>
        <v/>
      </c>
      <c r="K170" s="2056" t="str">
        <f t="shared" si="43"/>
        <v/>
      </c>
      <c r="M170" s="2056" t="str">
        <f t="shared" si="44"/>
        <v/>
      </c>
      <c r="O170" s="2056" t="str">
        <f t="shared" si="45"/>
        <v/>
      </c>
      <c r="Q170" s="2056" t="str">
        <f t="shared" si="38"/>
        <v/>
      </c>
      <c r="S170" s="2056" t="str">
        <f t="shared" si="46"/>
        <v/>
      </c>
      <c r="U170" s="2056" t="str">
        <f t="shared" si="47"/>
        <v/>
      </c>
      <c r="W170" s="2056" t="str">
        <f t="shared" si="40"/>
        <v/>
      </c>
      <c r="Y170" s="2056" t="str">
        <f t="shared" si="48"/>
        <v/>
      </c>
      <c r="AA170" s="2056" t="str">
        <f t="shared" si="49"/>
        <v/>
      </c>
      <c r="AC170" s="2056" t="str">
        <f t="shared" si="50"/>
        <v/>
      </c>
      <c r="AE170" s="2056" t="str">
        <f t="shared" si="51"/>
        <v/>
      </c>
      <c r="AG170" s="2056" t="str">
        <f t="shared" si="52"/>
        <v/>
      </c>
      <c r="AI170" s="2056" t="str">
        <f t="shared" si="53"/>
        <v/>
      </c>
      <c r="AK170" s="2056" t="str">
        <f t="shared" si="54"/>
        <v/>
      </c>
      <c r="AM170" s="2056" t="str">
        <f t="shared" si="55"/>
        <v/>
      </c>
      <c r="AO170" s="2056" t="str">
        <f t="shared" si="56"/>
        <v/>
      </c>
      <c r="AQ170" s="2056" t="str">
        <f t="shared" si="57"/>
        <v/>
      </c>
    </row>
    <row r="171" spans="5:43">
      <c r="E171" s="2056" t="str">
        <f t="shared" si="41"/>
        <v/>
      </c>
      <c r="G171" s="2056" t="str">
        <f t="shared" si="41"/>
        <v/>
      </c>
      <c r="I171" s="2056" t="str">
        <f t="shared" si="42"/>
        <v/>
      </c>
      <c r="K171" s="2056" t="str">
        <f t="shared" si="43"/>
        <v/>
      </c>
      <c r="M171" s="2056" t="str">
        <f t="shared" si="44"/>
        <v/>
      </c>
      <c r="O171" s="2056" t="str">
        <f t="shared" si="45"/>
        <v/>
      </c>
      <c r="Q171" s="2056" t="str">
        <f t="shared" si="38"/>
        <v/>
      </c>
      <c r="S171" s="2056" t="str">
        <f t="shared" si="46"/>
        <v/>
      </c>
      <c r="U171" s="2056" t="str">
        <f t="shared" si="47"/>
        <v/>
      </c>
      <c r="W171" s="2056" t="str">
        <f t="shared" si="40"/>
        <v/>
      </c>
      <c r="Y171" s="2056" t="str">
        <f t="shared" si="48"/>
        <v/>
      </c>
      <c r="AA171" s="2056" t="str">
        <f t="shared" si="49"/>
        <v/>
      </c>
      <c r="AC171" s="2056" t="str">
        <f t="shared" si="50"/>
        <v/>
      </c>
      <c r="AE171" s="2056" t="str">
        <f t="shared" si="51"/>
        <v/>
      </c>
      <c r="AG171" s="2056" t="str">
        <f t="shared" si="52"/>
        <v/>
      </c>
      <c r="AI171" s="2056" t="str">
        <f t="shared" si="53"/>
        <v/>
      </c>
      <c r="AK171" s="2056" t="str">
        <f t="shared" si="54"/>
        <v/>
      </c>
      <c r="AM171" s="2056" t="str">
        <f t="shared" si="55"/>
        <v/>
      </c>
      <c r="AO171" s="2056" t="str">
        <f t="shared" si="56"/>
        <v/>
      </c>
      <c r="AQ171" s="2056" t="str">
        <f t="shared" si="57"/>
        <v/>
      </c>
    </row>
    <row r="172" spans="5:43">
      <c r="E172" s="2056" t="str">
        <f t="shared" si="41"/>
        <v/>
      </c>
      <c r="G172" s="2056" t="str">
        <f t="shared" si="41"/>
        <v/>
      </c>
      <c r="I172" s="2056" t="str">
        <f t="shared" si="42"/>
        <v/>
      </c>
      <c r="K172" s="2056" t="str">
        <f t="shared" si="43"/>
        <v/>
      </c>
      <c r="M172" s="2056" t="str">
        <f t="shared" si="44"/>
        <v/>
      </c>
      <c r="O172" s="2056" t="str">
        <f t="shared" si="45"/>
        <v/>
      </c>
      <c r="Q172" s="2056" t="str">
        <f t="shared" si="38"/>
        <v/>
      </c>
      <c r="S172" s="2056" t="str">
        <f t="shared" si="46"/>
        <v/>
      </c>
      <c r="U172" s="2056" t="str">
        <f t="shared" si="47"/>
        <v/>
      </c>
      <c r="W172" s="2056" t="str">
        <f t="shared" si="40"/>
        <v/>
      </c>
      <c r="Y172" s="2056" t="str">
        <f t="shared" si="48"/>
        <v/>
      </c>
      <c r="AA172" s="2056" t="str">
        <f t="shared" si="49"/>
        <v/>
      </c>
      <c r="AC172" s="2056" t="str">
        <f t="shared" si="50"/>
        <v/>
      </c>
      <c r="AE172" s="2056" t="str">
        <f t="shared" si="51"/>
        <v/>
      </c>
      <c r="AG172" s="2056" t="str">
        <f t="shared" si="52"/>
        <v/>
      </c>
      <c r="AI172" s="2056" t="str">
        <f t="shared" si="53"/>
        <v/>
      </c>
      <c r="AK172" s="2056" t="str">
        <f t="shared" si="54"/>
        <v/>
      </c>
      <c r="AM172" s="2056" t="str">
        <f t="shared" si="55"/>
        <v/>
      </c>
      <c r="AO172" s="2056" t="str">
        <f t="shared" si="56"/>
        <v/>
      </c>
      <c r="AQ172" s="2056" t="str">
        <f t="shared" si="57"/>
        <v/>
      </c>
    </row>
    <row r="173" spans="5:43">
      <c r="E173" s="2056" t="str">
        <f t="shared" si="41"/>
        <v/>
      </c>
      <c r="G173" s="2056" t="str">
        <f t="shared" si="41"/>
        <v/>
      </c>
      <c r="I173" s="2056" t="str">
        <f t="shared" si="42"/>
        <v/>
      </c>
      <c r="K173" s="2056" t="str">
        <f t="shared" si="43"/>
        <v/>
      </c>
      <c r="M173" s="2056" t="str">
        <f t="shared" si="44"/>
        <v/>
      </c>
      <c r="O173" s="2056" t="str">
        <f t="shared" si="45"/>
        <v/>
      </c>
      <c r="Q173" s="2056" t="str">
        <f t="shared" si="38"/>
        <v/>
      </c>
      <c r="S173" s="2056" t="str">
        <f t="shared" si="46"/>
        <v/>
      </c>
      <c r="U173" s="2056" t="str">
        <f t="shared" si="47"/>
        <v/>
      </c>
      <c r="W173" s="2056" t="str">
        <f t="shared" si="40"/>
        <v/>
      </c>
      <c r="Y173" s="2056" t="str">
        <f t="shared" si="48"/>
        <v/>
      </c>
      <c r="AA173" s="2056" t="str">
        <f t="shared" si="49"/>
        <v/>
      </c>
      <c r="AC173" s="2056" t="str">
        <f t="shared" si="50"/>
        <v/>
      </c>
      <c r="AE173" s="2056" t="str">
        <f t="shared" si="51"/>
        <v/>
      </c>
      <c r="AG173" s="2056" t="str">
        <f t="shared" si="52"/>
        <v/>
      </c>
      <c r="AI173" s="2056" t="str">
        <f t="shared" si="53"/>
        <v/>
      </c>
      <c r="AK173" s="2056" t="str">
        <f t="shared" si="54"/>
        <v/>
      </c>
      <c r="AM173" s="2056" t="str">
        <f t="shared" si="55"/>
        <v/>
      </c>
      <c r="AO173" s="2056" t="str">
        <f t="shared" si="56"/>
        <v/>
      </c>
      <c r="AQ173" s="2056" t="str">
        <f t="shared" si="57"/>
        <v/>
      </c>
    </row>
    <row r="174" spans="5:43">
      <c r="E174" s="2056" t="str">
        <f t="shared" si="41"/>
        <v/>
      </c>
      <c r="G174" s="2056" t="str">
        <f t="shared" si="41"/>
        <v/>
      </c>
      <c r="I174" s="2056" t="str">
        <f t="shared" si="42"/>
        <v/>
      </c>
      <c r="K174" s="2056" t="str">
        <f t="shared" si="43"/>
        <v/>
      </c>
      <c r="M174" s="2056" t="str">
        <f t="shared" si="44"/>
        <v/>
      </c>
      <c r="O174" s="2056" t="str">
        <f t="shared" si="45"/>
        <v/>
      </c>
      <c r="Q174" s="2056" t="str">
        <f t="shared" si="38"/>
        <v/>
      </c>
      <c r="S174" s="2056" t="str">
        <f t="shared" si="46"/>
        <v/>
      </c>
      <c r="U174" s="2056" t="str">
        <f t="shared" si="47"/>
        <v/>
      </c>
      <c r="W174" s="2056" t="str">
        <f t="shared" si="40"/>
        <v/>
      </c>
      <c r="Y174" s="2056" t="str">
        <f t="shared" si="48"/>
        <v/>
      </c>
      <c r="AA174" s="2056" t="str">
        <f t="shared" si="49"/>
        <v/>
      </c>
      <c r="AC174" s="2056" t="str">
        <f t="shared" si="50"/>
        <v/>
      </c>
      <c r="AE174" s="2056" t="str">
        <f t="shared" si="51"/>
        <v/>
      </c>
      <c r="AG174" s="2056" t="str">
        <f t="shared" si="52"/>
        <v/>
      </c>
      <c r="AI174" s="2056" t="str">
        <f t="shared" si="53"/>
        <v/>
      </c>
      <c r="AK174" s="2056" t="str">
        <f t="shared" si="54"/>
        <v/>
      </c>
      <c r="AM174" s="2056" t="str">
        <f t="shared" si="55"/>
        <v/>
      </c>
      <c r="AO174" s="2056" t="str">
        <f t="shared" si="56"/>
        <v/>
      </c>
      <c r="AQ174" s="2056" t="str">
        <f t="shared" si="57"/>
        <v/>
      </c>
    </row>
    <row r="175" spans="5:43">
      <c r="E175" s="2056" t="str">
        <f t="shared" si="41"/>
        <v/>
      </c>
      <c r="G175" s="2056" t="str">
        <f t="shared" si="41"/>
        <v/>
      </c>
      <c r="I175" s="2056" t="str">
        <f t="shared" si="42"/>
        <v/>
      </c>
      <c r="K175" s="2056" t="str">
        <f t="shared" si="43"/>
        <v/>
      </c>
      <c r="M175" s="2056" t="str">
        <f t="shared" si="44"/>
        <v/>
      </c>
      <c r="O175" s="2056" t="str">
        <f t="shared" si="45"/>
        <v/>
      </c>
      <c r="Q175" s="2056" t="str">
        <f t="shared" si="38"/>
        <v/>
      </c>
      <c r="S175" s="2056" t="str">
        <f t="shared" si="46"/>
        <v/>
      </c>
      <c r="U175" s="2056" t="str">
        <f t="shared" si="47"/>
        <v/>
      </c>
      <c r="W175" s="2056" t="str">
        <f t="shared" si="40"/>
        <v/>
      </c>
      <c r="Y175" s="2056" t="str">
        <f t="shared" si="48"/>
        <v/>
      </c>
      <c r="AA175" s="2056" t="str">
        <f t="shared" si="49"/>
        <v/>
      </c>
      <c r="AC175" s="2056" t="str">
        <f t="shared" si="50"/>
        <v/>
      </c>
      <c r="AE175" s="2056" t="str">
        <f t="shared" si="51"/>
        <v/>
      </c>
      <c r="AG175" s="2056" t="str">
        <f t="shared" si="52"/>
        <v/>
      </c>
      <c r="AI175" s="2056" t="str">
        <f t="shared" si="53"/>
        <v/>
      </c>
      <c r="AK175" s="2056" t="str">
        <f t="shared" si="54"/>
        <v/>
      </c>
      <c r="AM175" s="2056" t="str">
        <f t="shared" si="55"/>
        <v/>
      </c>
      <c r="AO175" s="2056" t="str">
        <f t="shared" si="56"/>
        <v/>
      </c>
      <c r="AQ175" s="2056" t="str">
        <f t="shared" si="57"/>
        <v/>
      </c>
    </row>
    <row r="176" spans="5:43">
      <c r="E176" s="2056" t="str">
        <f t="shared" si="41"/>
        <v/>
      </c>
      <c r="G176" s="2056" t="str">
        <f t="shared" si="41"/>
        <v/>
      </c>
      <c r="I176" s="2056" t="str">
        <f t="shared" si="42"/>
        <v/>
      </c>
      <c r="K176" s="2056" t="str">
        <f t="shared" si="43"/>
        <v/>
      </c>
      <c r="M176" s="2056" t="str">
        <f t="shared" si="44"/>
        <v/>
      </c>
      <c r="O176" s="2056" t="str">
        <f t="shared" si="45"/>
        <v/>
      </c>
      <c r="Q176" s="2056" t="str">
        <f t="shared" si="38"/>
        <v/>
      </c>
      <c r="S176" s="2056" t="str">
        <f t="shared" si="46"/>
        <v/>
      </c>
      <c r="U176" s="2056" t="str">
        <f t="shared" si="47"/>
        <v/>
      </c>
      <c r="W176" s="2056" t="str">
        <f t="shared" si="40"/>
        <v/>
      </c>
      <c r="Y176" s="2056" t="str">
        <f t="shared" si="48"/>
        <v/>
      </c>
      <c r="AA176" s="2056" t="str">
        <f t="shared" si="49"/>
        <v/>
      </c>
      <c r="AC176" s="2056" t="str">
        <f t="shared" si="50"/>
        <v/>
      </c>
      <c r="AE176" s="2056" t="str">
        <f t="shared" si="51"/>
        <v/>
      </c>
      <c r="AG176" s="2056" t="str">
        <f t="shared" si="52"/>
        <v/>
      </c>
      <c r="AI176" s="2056" t="str">
        <f t="shared" si="53"/>
        <v/>
      </c>
      <c r="AK176" s="2056" t="str">
        <f t="shared" si="54"/>
        <v/>
      </c>
      <c r="AM176" s="2056" t="str">
        <f t="shared" si="55"/>
        <v/>
      </c>
      <c r="AO176" s="2056" t="str">
        <f t="shared" si="56"/>
        <v/>
      </c>
      <c r="AQ176" s="2056" t="str">
        <f t="shared" si="57"/>
        <v/>
      </c>
    </row>
    <row r="177" spans="5:43">
      <c r="E177" s="2056" t="str">
        <f t="shared" si="41"/>
        <v/>
      </c>
      <c r="G177" s="2056" t="str">
        <f t="shared" si="41"/>
        <v/>
      </c>
      <c r="I177" s="2056" t="str">
        <f t="shared" si="42"/>
        <v/>
      </c>
      <c r="K177" s="2056" t="str">
        <f t="shared" si="43"/>
        <v/>
      </c>
      <c r="M177" s="2056" t="str">
        <f t="shared" si="44"/>
        <v/>
      </c>
      <c r="O177" s="2056" t="str">
        <f t="shared" si="45"/>
        <v/>
      </c>
      <c r="Q177" s="2056" t="str">
        <f t="shared" si="38"/>
        <v/>
      </c>
      <c r="S177" s="2056" t="str">
        <f t="shared" si="46"/>
        <v/>
      </c>
      <c r="U177" s="2056" t="str">
        <f t="shared" si="47"/>
        <v/>
      </c>
      <c r="W177" s="2056" t="str">
        <f t="shared" si="40"/>
        <v/>
      </c>
      <c r="Y177" s="2056" t="str">
        <f t="shared" si="48"/>
        <v/>
      </c>
      <c r="AA177" s="2056" t="str">
        <f t="shared" si="49"/>
        <v/>
      </c>
      <c r="AC177" s="2056" t="str">
        <f t="shared" si="50"/>
        <v/>
      </c>
      <c r="AE177" s="2056" t="str">
        <f t="shared" si="51"/>
        <v/>
      </c>
      <c r="AG177" s="2056" t="str">
        <f t="shared" si="52"/>
        <v/>
      </c>
      <c r="AI177" s="2056" t="str">
        <f t="shared" si="53"/>
        <v/>
      </c>
      <c r="AK177" s="2056" t="str">
        <f t="shared" si="54"/>
        <v/>
      </c>
      <c r="AM177" s="2056" t="str">
        <f t="shared" si="55"/>
        <v/>
      </c>
      <c r="AO177" s="2056" t="str">
        <f t="shared" si="56"/>
        <v/>
      </c>
      <c r="AQ177" s="2056" t="str">
        <f t="shared" si="57"/>
        <v/>
      </c>
    </row>
    <row r="178" spans="5:43">
      <c r="E178" s="2056" t="str">
        <f t="shared" si="41"/>
        <v/>
      </c>
      <c r="G178" s="2056" t="str">
        <f t="shared" si="41"/>
        <v/>
      </c>
      <c r="I178" s="2056" t="str">
        <f t="shared" si="42"/>
        <v/>
      </c>
      <c r="K178" s="2056" t="str">
        <f t="shared" si="43"/>
        <v/>
      </c>
      <c r="M178" s="2056" t="str">
        <f t="shared" si="44"/>
        <v/>
      </c>
      <c r="O178" s="2056" t="str">
        <f t="shared" si="45"/>
        <v/>
      </c>
      <c r="Q178" s="2056" t="str">
        <f t="shared" si="38"/>
        <v/>
      </c>
      <c r="S178" s="2056" t="str">
        <f t="shared" si="46"/>
        <v/>
      </c>
      <c r="U178" s="2056" t="str">
        <f t="shared" si="47"/>
        <v/>
      </c>
      <c r="W178" s="2056" t="str">
        <f t="shared" si="40"/>
        <v/>
      </c>
      <c r="Y178" s="2056" t="str">
        <f t="shared" si="48"/>
        <v/>
      </c>
      <c r="AA178" s="2056" t="str">
        <f t="shared" si="49"/>
        <v/>
      </c>
      <c r="AC178" s="2056" t="str">
        <f t="shared" si="50"/>
        <v/>
      </c>
      <c r="AE178" s="2056" t="str">
        <f t="shared" si="51"/>
        <v/>
      </c>
      <c r="AG178" s="2056" t="str">
        <f t="shared" si="52"/>
        <v/>
      </c>
      <c r="AI178" s="2056" t="str">
        <f t="shared" si="53"/>
        <v/>
      </c>
      <c r="AK178" s="2056" t="str">
        <f t="shared" si="54"/>
        <v/>
      </c>
      <c r="AM178" s="2056" t="str">
        <f t="shared" si="55"/>
        <v/>
      </c>
      <c r="AO178" s="2056" t="str">
        <f t="shared" si="56"/>
        <v/>
      </c>
      <c r="AQ178" s="2056" t="str">
        <f t="shared" si="57"/>
        <v/>
      </c>
    </row>
    <row r="179" spans="5:43">
      <c r="E179" s="2056" t="str">
        <f t="shared" si="41"/>
        <v/>
      </c>
      <c r="G179" s="2056" t="str">
        <f t="shared" si="41"/>
        <v/>
      </c>
      <c r="I179" s="2056" t="str">
        <f t="shared" si="42"/>
        <v/>
      </c>
      <c r="K179" s="2056" t="str">
        <f t="shared" si="43"/>
        <v/>
      </c>
      <c r="M179" s="2056" t="str">
        <f t="shared" si="44"/>
        <v/>
      </c>
      <c r="O179" s="2056" t="str">
        <f t="shared" si="45"/>
        <v/>
      </c>
      <c r="Q179" s="2056" t="str">
        <f t="shared" si="38"/>
        <v/>
      </c>
      <c r="S179" s="2056" t="str">
        <f t="shared" si="46"/>
        <v/>
      </c>
      <c r="U179" s="2056" t="str">
        <f t="shared" si="47"/>
        <v/>
      </c>
      <c r="W179" s="2056" t="str">
        <f t="shared" si="40"/>
        <v/>
      </c>
      <c r="Y179" s="2056" t="str">
        <f t="shared" si="48"/>
        <v/>
      </c>
      <c r="AA179" s="2056" t="str">
        <f t="shared" si="49"/>
        <v/>
      </c>
      <c r="AC179" s="2056" t="str">
        <f t="shared" si="50"/>
        <v/>
      </c>
      <c r="AE179" s="2056" t="str">
        <f t="shared" si="51"/>
        <v/>
      </c>
      <c r="AG179" s="2056" t="str">
        <f t="shared" si="52"/>
        <v/>
      </c>
      <c r="AI179" s="2056" t="str">
        <f t="shared" si="53"/>
        <v/>
      </c>
      <c r="AK179" s="2056" t="str">
        <f t="shared" si="54"/>
        <v/>
      </c>
      <c r="AM179" s="2056" t="str">
        <f t="shared" si="55"/>
        <v/>
      </c>
      <c r="AO179" s="2056" t="str">
        <f t="shared" si="56"/>
        <v/>
      </c>
      <c r="AQ179" s="2056" t="str">
        <f t="shared" si="57"/>
        <v/>
      </c>
    </row>
    <row r="180" spans="5:43">
      <c r="E180" s="2056" t="str">
        <f t="shared" si="41"/>
        <v/>
      </c>
      <c r="G180" s="2056" t="str">
        <f t="shared" si="41"/>
        <v/>
      </c>
      <c r="I180" s="2056" t="str">
        <f t="shared" si="42"/>
        <v/>
      </c>
      <c r="K180" s="2056" t="str">
        <f t="shared" si="43"/>
        <v/>
      </c>
      <c r="M180" s="2056" t="str">
        <f t="shared" si="44"/>
        <v/>
      </c>
      <c r="O180" s="2056" t="str">
        <f t="shared" si="45"/>
        <v/>
      </c>
      <c r="Q180" s="2056" t="str">
        <f t="shared" si="38"/>
        <v/>
      </c>
      <c r="S180" s="2056" t="str">
        <f t="shared" si="46"/>
        <v/>
      </c>
      <c r="U180" s="2056" t="str">
        <f t="shared" si="47"/>
        <v/>
      </c>
      <c r="W180" s="2056" t="str">
        <f t="shared" si="40"/>
        <v/>
      </c>
      <c r="Y180" s="2056" t="str">
        <f t="shared" si="48"/>
        <v/>
      </c>
      <c r="AA180" s="2056" t="str">
        <f t="shared" si="49"/>
        <v/>
      </c>
      <c r="AC180" s="2056" t="str">
        <f t="shared" si="50"/>
        <v/>
      </c>
      <c r="AE180" s="2056" t="str">
        <f t="shared" si="51"/>
        <v/>
      </c>
      <c r="AG180" s="2056" t="str">
        <f t="shared" si="52"/>
        <v/>
      </c>
      <c r="AI180" s="2056" t="str">
        <f t="shared" si="53"/>
        <v/>
      </c>
      <c r="AK180" s="2056" t="str">
        <f t="shared" si="54"/>
        <v/>
      </c>
      <c r="AM180" s="2056" t="str">
        <f t="shared" si="55"/>
        <v/>
      </c>
      <c r="AO180" s="2056" t="str">
        <f t="shared" si="56"/>
        <v/>
      </c>
      <c r="AQ180" s="2056" t="str">
        <f t="shared" si="57"/>
        <v/>
      </c>
    </row>
    <row r="181" spans="5:43">
      <c r="E181" s="2056" t="str">
        <f t="shared" si="41"/>
        <v/>
      </c>
      <c r="G181" s="2056" t="str">
        <f t="shared" si="41"/>
        <v/>
      </c>
      <c r="I181" s="2056" t="str">
        <f t="shared" si="42"/>
        <v/>
      </c>
      <c r="K181" s="2056" t="str">
        <f t="shared" si="43"/>
        <v/>
      </c>
      <c r="M181" s="2056" t="str">
        <f t="shared" si="44"/>
        <v/>
      </c>
      <c r="O181" s="2056" t="str">
        <f t="shared" si="45"/>
        <v/>
      </c>
      <c r="Q181" s="2056" t="str">
        <f t="shared" si="38"/>
        <v/>
      </c>
      <c r="S181" s="2056" t="str">
        <f t="shared" si="46"/>
        <v/>
      </c>
      <c r="U181" s="2056" t="str">
        <f t="shared" si="47"/>
        <v/>
      </c>
      <c r="W181" s="2056" t="str">
        <f t="shared" si="40"/>
        <v/>
      </c>
      <c r="Y181" s="2056" t="str">
        <f t="shared" si="48"/>
        <v/>
      </c>
      <c r="AA181" s="2056" t="str">
        <f t="shared" si="49"/>
        <v/>
      </c>
      <c r="AC181" s="2056" t="str">
        <f t="shared" si="50"/>
        <v/>
      </c>
      <c r="AE181" s="2056" t="str">
        <f t="shared" si="51"/>
        <v/>
      </c>
      <c r="AG181" s="2056" t="str">
        <f t="shared" si="52"/>
        <v/>
      </c>
      <c r="AI181" s="2056" t="str">
        <f t="shared" si="53"/>
        <v/>
      </c>
      <c r="AK181" s="2056" t="str">
        <f t="shared" si="54"/>
        <v/>
      </c>
      <c r="AM181" s="2056" t="str">
        <f t="shared" si="55"/>
        <v/>
      </c>
      <c r="AO181" s="2056" t="str">
        <f t="shared" si="56"/>
        <v/>
      </c>
      <c r="AQ181" s="2056" t="str">
        <f t="shared" si="57"/>
        <v/>
      </c>
    </row>
    <row r="182" spans="5:43">
      <c r="E182" s="2056" t="str">
        <f t="shared" si="41"/>
        <v/>
      </c>
      <c r="G182" s="2056" t="str">
        <f t="shared" si="41"/>
        <v/>
      </c>
      <c r="I182" s="2056" t="str">
        <f t="shared" si="42"/>
        <v/>
      </c>
      <c r="K182" s="2056" t="str">
        <f t="shared" si="43"/>
        <v/>
      </c>
      <c r="M182" s="2056" t="str">
        <f t="shared" si="44"/>
        <v/>
      </c>
      <c r="O182" s="2056" t="str">
        <f t="shared" si="45"/>
        <v/>
      </c>
      <c r="Q182" s="2056" t="str">
        <f t="shared" ref="Q182:Q245" si="58">IF(OR($B182=0,P182=0),"",P182/$B182)</f>
        <v/>
      </c>
      <c r="S182" s="2056" t="str">
        <f t="shared" si="46"/>
        <v/>
      </c>
      <c r="U182" s="2056" t="str">
        <f t="shared" si="47"/>
        <v/>
      </c>
      <c r="W182" s="2056" t="str">
        <f t="shared" si="40"/>
        <v/>
      </c>
      <c r="Y182" s="2056" t="str">
        <f t="shared" si="48"/>
        <v/>
      </c>
      <c r="AA182" s="2056" t="str">
        <f t="shared" si="49"/>
        <v/>
      </c>
      <c r="AC182" s="2056" t="str">
        <f t="shared" si="50"/>
        <v/>
      </c>
      <c r="AE182" s="2056" t="str">
        <f t="shared" si="51"/>
        <v/>
      </c>
      <c r="AG182" s="2056" t="str">
        <f t="shared" si="52"/>
        <v/>
      </c>
      <c r="AI182" s="2056" t="str">
        <f t="shared" si="53"/>
        <v/>
      </c>
      <c r="AK182" s="2056" t="str">
        <f t="shared" si="54"/>
        <v/>
      </c>
      <c r="AM182" s="2056" t="str">
        <f t="shared" si="55"/>
        <v/>
      </c>
      <c r="AO182" s="2056" t="str">
        <f t="shared" si="56"/>
        <v/>
      </c>
      <c r="AQ182" s="2056" t="str">
        <f t="shared" si="57"/>
        <v/>
      </c>
    </row>
    <row r="183" spans="5:43">
      <c r="E183" s="2056" t="str">
        <f t="shared" si="41"/>
        <v/>
      </c>
      <c r="G183" s="2056" t="str">
        <f t="shared" si="41"/>
        <v/>
      </c>
      <c r="I183" s="2056" t="str">
        <f t="shared" si="42"/>
        <v/>
      </c>
      <c r="K183" s="2056" t="str">
        <f t="shared" si="43"/>
        <v/>
      </c>
      <c r="M183" s="2056" t="str">
        <f t="shared" si="44"/>
        <v/>
      </c>
      <c r="O183" s="2056" t="str">
        <f t="shared" si="45"/>
        <v/>
      </c>
      <c r="Q183" s="2056" t="str">
        <f t="shared" si="58"/>
        <v/>
      </c>
      <c r="S183" s="2056" t="str">
        <f t="shared" si="46"/>
        <v/>
      </c>
      <c r="U183" s="2056" t="str">
        <f t="shared" si="47"/>
        <v/>
      </c>
      <c r="W183" s="2056" t="str">
        <f t="shared" si="40"/>
        <v/>
      </c>
      <c r="Y183" s="2056" t="str">
        <f t="shared" si="48"/>
        <v/>
      </c>
      <c r="AA183" s="2056" t="str">
        <f t="shared" si="49"/>
        <v/>
      </c>
      <c r="AC183" s="2056" t="str">
        <f t="shared" si="50"/>
        <v/>
      </c>
      <c r="AE183" s="2056" t="str">
        <f t="shared" si="51"/>
        <v/>
      </c>
      <c r="AG183" s="2056" t="str">
        <f t="shared" si="52"/>
        <v/>
      </c>
      <c r="AI183" s="2056" t="str">
        <f t="shared" si="53"/>
        <v/>
      </c>
      <c r="AK183" s="2056" t="str">
        <f t="shared" si="54"/>
        <v/>
      </c>
      <c r="AM183" s="2056" t="str">
        <f t="shared" si="55"/>
        <v/>
      </c>
      <c r="AO183" s="2056" t="str">
        <f t="shared" si="56"/>
        <v/>
      </c>
      <c r="AQ183" s="2056" t="str">
        <f t="shared" si="57"/>
        <v/>
      </c>
    </row>
    <row r="184" spans="5:43">
      <c r="E184" s="2056" t="str">
        <f t="shared" si="41"/>
        <v/>
      </c>
      <c r="G184" s="2056" t="str">
        <f t="shared" si="41"/>
        <v/>
      </c>
      <c r="I184" s="2056" t="str">
        <f t="shared" si="42"/>
        <v/>
      </c>
      <c r="K184" s="2056" t="str">
        <f t="shared" si="43"/>
        <v/>
      </c>
      <c r="M184" s="2056" t="str">
        <f t="shared" si="44"/>
        <v/>
      </c>
      <c r="O184" s="2056" t="str">
        <f t="shared" si="45"/>
        <v/>
      </c>
      <c r="Q184" s="2056" t="str">
        <f t="shared" si="58"/>
        <v/>
      </c>
      <c r="S184" s="2056" t="str">
        <f t="shared" si="46"/>
        <v/>
      </c>
      <c r="U184" s="2056" t="str">
        <f t="shared" si="47"/>
        <v/>
      </c>
      <c r="W184" s="2056" t="str">
        <f t="shared" si="40"/>
        <v/>
      </c>
      <c r="Y184" s="2056" t="str">
        <f t="shared" si="48"/>
        <v/>
      </c>
      <c r="AA184" s="2056" t="str">
        <f t="shared" si="49"/>
        <v/>
      </c>
      <c r="AC184" s="2056" t="str">
        <f t="shared" si="50"/>
        <v/>
      </c>
      <c r="AE184" s="2056" t="str">
        <f t="shared" si="51"/>
        <v/>
      </c>
      <c r="AG184" s="2056" t="str">
        <f t="shared" si="52"/>
        <v/>
      </c>
      <c r="AI184" s="2056" t="str">
        <f t="shared" si="53"/>
        <v/>
      </c>
      <c r="AK184" s="2056" t="str">
        <f t="shared" si="54"/>
        <v/>
      </c>
      <c r="AM184" s="2056" t="str">
        <f t="shared" si="55"/>
        <v/>
      </c>
      <c r="AO184" s="2056" t="str">
        <f t="shared" si="56"/>
        <v/>
      </c>
      <c r="AQ184" s="2056" t="str">
        <f t="shared" si="57"/>
        <v/>
      </c>
    </row>
    <row r="185" spans="5:43">
      <c r="E185" s="2056" t="str">
        <f t="shared" si="41"/>
        <v/>
      </c>
      <c r="G185" s="2056" t="str">
        <f t="shared" si="41"/>
        <v/>
      </c>
      <c r="I185" s="2056" t="str">
        <f t="shared" si="42"/>
        <v/>
      </c>
      <c r="K185" s="2056" t="str">
        <f t="shared" si="43"/>
        <v/>
      </c>
      <c r="M185" s="2056" t="str">
        <f t="shared" si="44"/>
        <v/>
      </c>
      <c r="O185" s="2056" t="str">
        <f t="shared" si="45"/>
        <v/>
      </c>
      <c r="Q185" s="2056" t="str">
        <f t="shared" si="58"/>
        <v/>
      </c>
      <c r="S185" s="2056" t="str">
        <f t="shared" si="46"/>
        <v/>
      </c>
      <c r="U185" s="2056" t="str">
        <f t="shared" si="47"/>
        <v/>
      </c>
      <c r="W185" s="2056" t="str">
        <f t="shared" si="40"/>
        <v/>
      </c>
      <c r="Y185" s="2056" t="str">
        <f t="shared" si="48"/>
        <v/>
      </c>
      <c r="AA185" s="2056" t="str">
        <f t="shared" si="49"/>
        <v/>
      </c>
      <c r="AC185" s="2056" t="str">
        <f t="shared" si="50"/>
        <v/>
      </c>
      <c r="AE185" s="2056" t="str">
        <f t="shared" si="51"/>
        <v/>
      </c>
      <c r="AG185" s="2056" t="str">
        <f t="shared" si="52"/>
        <v/>
      </c>
      <c r="AI185" s="2056" t="str">
        <f t="shared" si="53"/>
        <v/>
      </c>
      <c r="AK185" s="2056" t="str">
        <f t="shared" si="54"/>
        <v/>
      </c>
      <c r="AM185" s="2056" t="str">
        <f t="shared" si="55"/>
        <v/>
      </c>
      <c r="AO185" s="2056" t="str">
        <f t="shared" si="56"/>
        <v/>
      </c>
      <c r="AQ185" s="2056" t="str">
        <f t="shared" si="57"/>
        <v/>
      </c>
    </row>
    <row r="186" spans="5:43">
      <c r="E186" s="2056" t="str">
        <f t="shared" si="41"/>
        <v/>
      </c>
      <c r="G186" s="2056" t="str">
        <f t="shared" si="41"/>
        <v/>
      </c>
      <c r="I186" s="2056" t="str">
        <f t="shared" si="42"/>
        <v/>
      </c>
      <c r="K186" s="2056" t="str">
        <f t="shared" si="43"/>
        <v/>
      </c>
      <c r="M186" s="2056" t="str">
        <f t="shared" si="44"/>
        <v/>
      </c>
      <c r="O186" s="2056" t="str">
        <f t="shared" si="45"/>
        <v/>
      </c>
      <c r="Q186" s="2056" t="str">
        <f t="shared" si="58"/>
        <v/>
      </c>
      <c r="S186" s="2056" t="str">
        <f t="shared" si="46"/>
        <v/>
      </c>
      <c r="U186" s="2056" t="str">
        <f t="shared" si="47"/>
        <v/>
      </c>
      <c r="W186" s="2056" t="str">
        <f t="shared" si="40"/>
        <v/>
      </c>
      <c r="Y186" s="2056" t="str">
        <f t="shared" si="48"/>
        <v/>
      </c>
      <c r="AA186" s="2056" t="str">
        <f t="shared" si="49"/>
        <v/>
      </c>
      <c r="AC186" s="2056" t="str">
        <f t="shared" si="50"/>
        <v/>
      </c>
      <c r="AE186" s="2056" t="str">
        <f t="shared" si="51"/>
        <v/>
      </c>
      <c r="AG186" s="2056" t="str">
        <f t="shared" si="52"/>
        <v/>
      </c>
      <c r="AI186" s="2056" t="str">
        <f t="shared" si="53"/>
        <v/>
      </c>
      <c r="AK186" s="2056" t="str">
        <f t="shared" si="54"/>
        <v/>
      </c>
      <c r="AM186" s="2056" t="str">
        <f t="shared" si="55"/>
        <v/>
      </c>
      <c r="AO186" s="2056" t="str">
        <f t="shared" si="56"/>
        <v/>
      </c>
      <c r="AQ186" s="2056" t="str">
        <f t="shared" si="57"/>
        <v/>
      </c>
    </row>
    <row r="187" spans="5:43">
      <c r="E187" s="2056" t="str">
        <f t="shared" si="41"/>
        <v/>
      </c>
      <c r="G187" s="2056" t="str">
        <f t="shared" si="41"/>
        <v/>
      </c>
      <c r="I187" s="2056" t="str">
        <f t="shared" si="42"/>
        <v/>
      </c>
      <c r="K187" s="2056" t="str">
        <f t="shared" si="43"/>
        <v/>
      </c>
      <c r="M187" s="2056" t="str">
        <f t="shared" si="44"/>
        <v/>
      </c>
      <c r="O187" s="2056" t="str">
        <f t="shared" si="45"/>
        <v/>
      </c>
      <c r="Q187" s="2056" t="str">
        <f t="shared" si="58"/>
        <v/>
      </c>
      <c r="S187" s="2056" t="str">
        <f t="shared" si="46"/>
        <v/>
      </c>
      <c r="U187" s="2056" t="str">
        <f t="shared" si="47"/>
        <v/>
      </c>
      <c r="W187" s="2056" t="str">
        <f t="shared" si="40"/>
        <v/>
      </c>
      <c r="Y187" s="2056" t="str">
        <f t="shared" si="48"/>
        <v/>
      </c>
      <c r="AA187" s="2056" t="str">
        <f t="shared" si="49"/>
        <v/>
      </c>
      <c r="AC187" s="2056" t="str">
        <f t="shared" si="50"/>
        <v/>
      </c>
      <c r="AE187" s="2056" t="str">
        <f t="shared" si="51"/>
        <v/>
      </c>
      <c r="AG187" s="2056" t="str">
        <f t="shared" si="52"/>
        <v/>
      </c>
      <c r="AI187" s="2056" t="str">
        <f t="shared" si="53"/>
        <v/>
      </c>
      <c r="AK187" s="2056" t="str">
        <f t="shared" si="54"/>
        <v/>
      </c>
      <c r="AM187" s="2056" t="str">
        <f t="shared" si="55"/>
        <v/>
      </c>
      <c r="AO187" s="2056" t="str">
        <f t="shared" si="56"/>
        <v/>
      </c>
      <c r="AQ187" s="2056" t="str">
        <f t="shared" si="57"/>
        <v/>
      </c>
    </row>
    <row r="188" spans="5:43">
      <c r="E188" s="2056" t="str">
        <f t="shared" si="41"/>
        <v/>
      </c>
      <c r="G188" s="2056" t="str">
        <f t="shared" si="41"/>
        <v/>
      </c>
      <c r="I188" s="2056" t="str">
        <f t="shared" si="42"/>
        <v/>
      </c>
      <c r="K188" s="2056" t="str">
        <f t="shared" si="43"/>
        <v/>
      </c>
      <c r="M188" s="2056" t="str">
        <f t="shared" si="44"/>
        <v/>
      </c>
      <c r="O188" s="2056" t="str">
        <f t="shared" si="45"/>
        <v/>
      </c>
      <c r="Q188" s="2056" t="str">
        <f t="shared" si="58"/>
        <v/>
      </c>
      <c r="S188" s="2056" t="str">
        <f t="shared" si="46"/>
        <v/>
      </c>
      <c r="U188" s="2056" t="str">
        <f t="shared" si="47"/>
        <v/>
      </c>
      <c r="W188" s="2056" t="str">
        <f t="shared" si="40"/>
        <v/>
      </c>
      <c r="Y188" s="2056" t="str">
        <f t="shared" si="48"/>
        <v/>
      </c>
      <c r="AA188" s="2056" t="str">
        <f t="shared" si="49"/>
        <v/>
      </c>
      <c r="AC188" s="2056" t="str">
        <f t="shared" si="50"/>
        <v/>
      </c>
      <c r="AE188" s="2056" t="str">
        <f t="shared" si="51"/>
        <v/>
      </c>
      <c r="AG188" s="2056" t="str">
        <f t="shared" si="52"/>
        <v/>
      </c>
      <c r="AI188" s="2056" t="str">
        <f t="shared" si="53"/>
        <v/>
      </c>
      <c r="AK188" s="2056" t="str">
        <f t="shared" si="54"/>
        <v/>
      </c>
      <c r="AM188" s="2056" t="str">
        <f t="shared" si="55"/>
        <v/>
      </c>
      <c r="AO188" s="2056" t="str">
        <f t="shared" si="56"/>
        <v/>
      </c>
      <c r="AQ188" s="2056" t="str">
        <f t="shared" si="57"/>
        <v/>
      </c>
    </row>
    <row r="189" spans="5:43">
      <c r="E189" s="2056" t="str">
        <f t="shared" si="41"/>
        <v/>
      </c>
      <c r="G189" s="2056" t="str">
        <f t="shared" si="41"/>
        <v/>
      </c>
      <c r="I189" s="2056" t="str">
        <f t="shared" si="42"/>
        <v/>
      </c>
      <c r="K189" s="2056" t="str">
        <f t="shared" si="43"/>
        <v/>
      </c>
      <c r="M189" s="2056" t="str">
        <f t="shared" si="44"/>
        <v/>
      </c>
      <c r="O189" s="2056" t="str">
        <f t="shared" si="45"/>
        <v/>
      </c>
      <c r="Q189" s="2056" t="str">
        <f t="shared" si="58"/>
        <v/>
      </c>
      <c r="S189" s="2056" t="str">
        <f t="shared" si="46"/>
        <v/>
      </c>
      <c r="U189" s="2056" t="str">
        <f t="shared" si="47"/>
        <v/>
      </c>
      <c r="W189" s="2056" t="str">
        <f t="shared" si="40"/>
        <v/>
      </c>
      <c r="Y189" s="2056" t="str">
        <f t="shared" si="48"/>
        <v/>
      </c>
      <c r="AA189" s="2056" t="str">
        <f t="shared" si="49"/>
        <v/>
      </c>
      <c r="AC189" s="2056" t="str">
        <f t="shared" si="50"/>
        <v/>
      </c>
      <c r="AE189" s="2056" t="str">
        <f t="shared" si="51"/>
        <v/>
      </c>
      <c r="AG189" s="2056" t="str">
        <f t="shared" si="52"/>
        <v/>
      </c>
      <c r="AI189" s="2056" t="str">
        <f t="shared" si="53"/>
        <v/>
      </c>
      <c r="AK189" s="2056" t="str">
        <f t="shared" si="54"/>
        <v/>
      </c>
      <c r="AM189" s="2056" t="str">
        <f t="shared" si="55"/>
        <v/>
      </c>
      <c r="AO189" s="2056" t="str">
        <f t="shared" si="56"/>
        <v/>
      </c>
      <c r="AQ189" s="2056" t="str">
        <f t="shared" si="57"/>
        <v/>
      </c>
    </row>
    <row r="190" spans="5:43">
      <c r="E190" s="2056" t="str">
        <f t="shared" si="41"/>
        <v/>
      </c>
      <c r="G190" s="2056" t="str">
        <f t="shared" si="41"/>
        <v/>
      </c>
      <c r="I190" s="2056" t="str">
        <f t="shared" si="42"/>
        <v/>
      </c>
      <c r="K190" s="2056" t="str">
        <f t="shared" si="43"/>
        <v/>
      </c>
      <c r="M190" s="2056" t="str">
        <f t="shared" si="44"/>
        <v/>
      </c>
      <c r="O190" s="2056" t="str">
        <f t="shared" si="45"/>
        <v/>
      </c>
      <c r="Q190" s="2056" t="str">
        <f t="shared" si="58"/>
        <v/>
      </c>
      <c r="S190" s="2056" t="str">
        <f t="shared" si="46"/>
        <v/>
      </c>
      <c r="U190" s="2056" t="str">
        <f t="shared" si="47"/>
        <v/>
      </c>
      <c r="W190" s="2056" t="str">
        <f t="shared" si="40"/>
        <v/>
      </c>
      <c r="Y190" s="2056" t="str">
        <f t="shared" si="48"/>
        <v/>
      </c>
      <c r="AA190" s="2056" t="str">
        <f t="shared" si="49"/>
        <v/>
      </c>
      <c r="AC190" s="2056" t="str">
        <f t="shared" si="50"/>
        <v/>
      </c>
      <c r="AE190" s="2056" t="str">
        <f t="shared" si="51"/>
        <v/>
      </c>
      <c r="AG190" s="2056" t="str">
        <f t="shared" si="52"/>
        <v/>
      </c>
      <c r="AI190" s="2056" t="str">
        <f t="shared" si="53"/>
        <v/>
      </c>
      <c r="AK190" s="2056" t="str">
        <f t="shared" si="54"/>
        <v/>
      </c>
      <c r="AM190" s="2056" t="str">
        <f t="shared" si="55"/>
        <v/>
      </c>
      <c r="AO190" s="2056" t="str">
        <f t="shared" si="56"/>
        <v/>
      </c>
      <c r="AQ190" s="2056" t="str">
        <f t="shared" si="57"/>
        <v/>
      </c>
    </row>
    <row r="191" spans="5:43">
      <c r="E191" s="2056" t="str">
        <f t="shared" si="41"/>
        <v/>
      </c>
      <c r="G191" s="2056" t="str">
        <f t="shared" si="41"/>
        <v/>
      </c>
      <c r="I191" s="2056" t="str">
        <f t="shared" si="42"/>
        <v/>
      </c>
      <c r="K191" s="2056" t="str">
        <f t="shared" si="43"/>
        <v/>
      </c>
      <c r="M191" s="2056" t="str">
        <f t="shared" si="44"/>
        <v/>
      </c>
      <c r="O191" s="2056" t="str">
        <f t="shared" si="45"/>
        <v/>
      </c>
      <c r="Q191" s="2056" t="str">
        <f t="shared" si="58"/>
        <v/>
      </c>
      <c r="S191" s="2056" t="str">
        <f t="shared" si="46"/>
        <v/>
      </c>
      <c r="U191" s="2056" t="str">
        <f t="shared" si="47"/>
        <v/>
      </c>
      <c r="W191" s="2056" t="str">
        <f t="shared" ref="W191:W254" si="59">IF(OR($B191=0,V191=0),"",V191/$B191)</f>
        <v/>
      </c>
      <c r="Y191" s="2056" t="str">
        <f t="shared" si="48"/>
        <v/>
      </c>
      <c r="AA191" s="2056" t="str">
        <f t="shared" si="49"/>
        <v/>
      </c>
      <c r="AC191" s="2056" t="str">
        <f t="shared" si="50"/>
        <v/>
      </c>
      <c r="AE191" s="2056" t="str">
        <f t="shared" si="51"/>
        <v/>
      </c>
      <c r="AG191" s="2056" t="str">
        <f t="shared" si="52"/>
        <v/>
      </c>
      <c r="AI191" s="2056" t="str">
        <f t="shared" si="53"/>
        <v/>
      </c>
      <c r="AK191" s="2056" t="str">
        <f t="shared" si="54"/>
        <v/>
      </c>
      <c r="AM191" s="2056" t="str">
        <f t="shared" si="55"/>
        <v/>
      </c>
      <c r="AO191" s="2056" t="str">
        <f t="shared" si="56"/>
        <v/>
      </c>
      <c r="AQ191" s="2056" t="str">
        <f t="shared" si="57"/>
        <v/>
      </c>
    </row>
    <row r="192" spans="5:43">
      <c r="E192" s="2056" t="str">
        <f t="shared" si="41"/>
        <v/>
      </c>
      <c r="G192" s="2056" t="str">
        <f t="shared" si="41"/>
        <v/>
      </c>
      <c r="I192" s="2056" t="str">
        <f t="shared" si="42"/>
        <v/>
      </c>
      <c r="K192" s="2056" t="str">
        <f t="shared" si="43"/>
        <v/>
      </c>
      <c r="M192" s="2056" t="str">
        <f t="shared" si="44"/>
        <v/>
      </c>
      <c r="O192" s="2056" t="str">
        <f t="shared" si="45"/>
        <v/>
      </c>
      <c r="Q192" s="2056" t="str">
        <f t="shared" si="58"/>
        <v/>
      </c>
      <c r="S192" s="2056" t="str">
        <f t="shared" si="46"/>
        <v/>
      </c>
      <c r="U192" s="2056" t="str">
        <f t="shared" si="47"/>
        <v/>
      </c>
      <c r="W192" s="2056" t="str">
        <f t="shared" si="59"/>
        <v/>
      </c>
      <c r="Y192" s="2056" t="str">
        <f t="shared" si="48"/>
        <v/>
      </c>
      <c r="AA192" s="2056" t="str">
        <f t="shared" si="49"/>
        <v/>
      </c>
      <c r="AC192" s="2056" t="str">
        <f t="shared" si="50"/>
        <v/>
      </c>
      <c r="AE192" s="2056" t="str">
        <f t="shared" si="51"/>
        <v/>
      </c>
      <c r="AG192" s="2056" t="str">
        <f t="shared" si="52"/>
        <v/>
      </c>
      <c r="AI192" s="2056" t="str">
        <f t="shared" si="53"/>
        <v/>
      </c>
      <c r="AK192" s="2056" t="str">
        <f t="shared" si="54"/>
        <v/>
      </c>
      <c r="AM192" s="2056" t="str">
        <f t="shared" si="55"/>
        <v/>
      </c>
      <c r="AO192" s="2056" t="str">
        <f t="shared" si="56"/>
        <v/>
      </c>
      <c r="AQ192" s="2056" t="str">
        <f t="shared" si="57"/>
        <v/>
      </c>
    </row>
    <row r="193" spans="5:43">
      <c r="E193" s="2056" t="str">
        <f t="shared" si="41"/>
        <v/>
      </c>
      <c r="G193" s="2056" t="str">
        <f t="shared" si="41"/>
        <v/>
      </c>
      <c r="I193" s="2056" t="str">
        <f t="shared" si="42"/>
        <v/>
      </c>
      <c r="K193" s="2056" t="str">
        <f t="shared" si="43"/>
        <v/>
      </c>
      <c r="M193" s="2056" t="str">
        <f t="shared" si="44"/>
        <v/>
      </c>
      <c r="O193" s="2056" t="str">
        <f t="shared" si="45"/>
        <v/>
      </c>
      <c r="Q193" s="2056" t="str">
        <f t="shared" si="58"/>
        <v/>
      </c>
      <c r="S193" s="2056" t="str">
        <f t="shared" si="46"/>
        <v/>
      </c>
      <c r="U193" s="2056" t="str">
        <f t="shared" si="47"/>
        <v/>
      </c>
      <c r="W193" s="2056" t="str">
        <f t="shared" si="59"/>
        <v/>
      </c>
      <c r="Y193" s="2056" t="str">
        <f t="shared" si="48"/>
        <v/>
      </c>
      <c r="AA193" s="2056" t="str">
        <f t="shared" si="49"/>
        <v/>
      </c>
      <c r="AC193" s="2056" t="str">
        <f t="shared" si="50"/>
        <v/>
      </c>
      <c r="AE193" s="2056" t="str">
        <f t="shared" si="51"/>
        <v/>
      </c>
      <c r="AG193" s="2056" t="str">
        <f t="shared" si="52"/>
        <v/>
      </c>
      <c r="AI193" s="2056" t="str">
        <f t="shared" si="53"/>
        <v/>
      </c>
      <c r="AK193" s="2056" t="str">
        <f t="shared" si="54"/>
        <v/>
      </c>
      <c r="AM193" s="2056" t="str">
        <f t="shared" si="55"/>
        <v/>
      </c>
      <c r="AO193" s="2056" t="str">
        <f t="shared" si="56"/>
        <v/>
      </c>
      <c r="AQ193" s="2056" t="str">
        <f t="shared" si="57"/>
        <v/>
      </c>
    </row>
    <row r="194" spans="5:43">
      <c r="E194" s="2056" t="str">
        <f t="shared" si="41"/>
        <v/>
      </c>
      <c r="G194" s="2056" t="str">
        <f t="shared" si="41"/>
        <v/>
      </c>
      <c r="I194" s="2056" t="str">
        <f t="shared" si="42"/>
        <v/>
      </c>
      <c r="K194" s="2056" t="str">
        <f t="shared" si="43"/>
        <v/>
      </c>
      <c r="M194" s="2056" t="str">
        <f t="shared" si="44"/>
        <v/>
      </c>
      <c r="O194" s="2056" t="str">
        <f t="shared" si="45"/>
        <v/>
      </c>
      <c r="Q194" s="2056" t="str">
        <f t="shared" si="58"/>
        <v/>
      </c>
      <c r="S194" s="2056" t="str">
        <f t="shared" si="46"/>
        <v/>
      </c>
      <c r="U194" s="2056" t="str">
        <f t="shared" si="47"/>
        <v/>
      </c>
      <c r="W194" s="2056" t="str">
        <f t="shared" si="59"/>
        <v/>
      </c>
      <c r="Y194" s="2056" t="str">
        <f t="shared" si="48"/>
        <v/>
      </c>
      <c r="AA194" s="2056" t="str">
        <f t="shared" si="49"/>
        <v/>
      </c>
      <c r="AC194" s="2056" t="str">
        <f t="shared" si="50"/>
        <v/>
      </c>
      <c r="AE194" s="2056" t="str">
        <f t="shared" si="51"/>
        <v/>
      </c>
      <c r="AG194" s="2056" t="str">
        <f t="shared" si="52"/>
        <v/>
      </c>
      <c r="AI194" s="2056" t="str">
        <f t="shared" si="53"/>
        <v/>
      </c>
      <c r="AK194" s="2056" t="str">
        <f t="shared" si="54"/>
        <v/>
      </c>
      <c r="AM194" s="2056" t="str">
        <f t="shared" si="55"/>
        <v/>
      </c>
      <c r="AO194" s="2056" t="str">
        <f t="shared" si="56"/>
        <v/>
      </c>
      <c r="AQ194" s="2056" t="str">
        <f t="shared" si="57"/>
        <v/>
      </c>
    </row>
    <row r="195" spans="5:43">
      <c r="E195" s="2056" t="str">
        <f t="shared" si="41"/>
        <v/>
      </c>
      <c r="G195" s="2056" t="str">
        <f t="shared" si="41"/>
        <v/>
      </c>
      <c r="I195" s="2056" t="str">
        <f t="shared" si="42"/>
        <v/>
      </c>
      <c r="K195" s="2056" t="str">
        <f t="shared" si="43"/>
        <v/>
      </c>
      <c r="M195" s="2056" t="str">
        <f t="shared" si="44"/>
        <v/>
      </c>
      <c r="O195" s="2056" t="str">
        <f t="shared" si="45"/>
        <v/>
      </c>
      <c r="Q195" s="2056" t="str">
        <f t="shared" si="58"/>
        <v/>
      </c>
      <c r="S195" s="2056" t="str">
        <f t="shared" si="46"/>
        <v/>
      </c>
      <c r="U195" s="2056" t="str">
        <f t="shared" si="47"/>
        <v/>
      </c>
      <c r="W195" s="2056" t="str">
        <f t="shared" si="59"/>
        <v/>
      </c>
      <c r="Y195" s="2056" t="str">
        <f t="shared" si="48"/>
        <v/>
      </c>
      <c r="AA195" s="2056" t="str">
        <f t="shared" si="49"/>
        <v/>
      </c>
      <c r="AC195" s="2056" t="str">
        <f t="shared" si="50"/>
        <v/>
      </c>
      <c r="AE195" s="2056" t="str">
        <f t="shared" si="51"/>
        <v/>
      </c>
      <c r="AG195" s="2056" t="str">
        <f t="shared" si="52"/>
        <v/>
      </c>
      <c r="AI195" s="2056" t="str">
        <f t="shared" si="53"/>
        <v/>
      </c>
      <c r="AK195" s="2056" t="str">
        <f t="shared" si="54"/>
        <v/>
      </c>
      <c r="AM195" s="2056" t="str">
        <f t="shared" si="55"/>
        <v/>
      </c>
      <c r="AO195" s="2056" t="str">
        <f t="shared" si="56"/>
        <v/>
      </c>
      <c r="AQ195" s="2056" t="str">
        <f t="shared" si="57"/>
        <v/>
      </c>
    </row>
    <row r="196" spans="5:43">
      <c r="E196" s="2056" t="str">
        <f t="shared" si="41"/>
        <v/>
      </c>
      <c r="G196" s="2056" t="str">
        <f t="shared" si="41"/>
        <v/>
      </c>
      <c r="I196" s="2056" t="str">
        <f t="shared" si="42"/>
        <v/>
      </c>
      <c r="K196" s="2056" t="str">
        <f t="shared" si="43"/>
        <v/>
      </c>
      <c r="M196" s="2056" t="str">
        <f t="shared" si="44"/>
        <v/>
      </c>
      <c r="O196" s="2056" t="str">
        <f t="shared" si="45"/>
        <v/>
      </c>
      <c r="Q196" s="2056" t="str">
        <f t="shared" si="58"/>
        <v/>
      </c>
      <c r="S196" s="2056" t="str">
        <f t="shared" si="46"/>
        <v/>
      </c>
      <c r="U196" s="2056" t="str">
        <f t="shared" si="47"/>
        <v/>
      </c>
      <c r="W196" s="2056" t="str">
        <f t="shared" si="59"/>
        <v/>
      </c>
      <c r="Y196" s="2056" t="str">
        <f t="shared" si="48"/>
        <v/>
      </c>
      <c r="AA196" s="2056" t="str">
        <f t="shared" si="49"/>
        <v/>
      </c>
      <c r="AC196" s="2056" t="str">
        <f t="shared" si="50"/>
        <v/>
      </c>
      <c r="AE196" s="2056" t="str">
        <f t="shared" si="51"/>
        <v/>
      </c>
      <c r="AG196" s="2056" t="str">
        <f t="shared" si="52"/>
        <v/>
      </c>
      <c r="AI196" s="2056" t="str">
        <f t="shared" si="53"/>
        <v/>
      </c>
      <c r="AK196" s="2056" t="str">
        <f t="shared" si="54"/>
        <v/>
      </c>
      <c r="AM196" s="2056" t="str">
        <f t="shared" si="55"/>
        <v/>
      </c>
      <c r="AO196" s="2056" t="str">
        <f t="shared" si="56"/>
        <v/>
      </c>
      <c r="AQ196" s="2056" t="str">
        <f t="shared" si="57"/>
        <v/>
      </c>
    </row>
    <row r="197" spans="5:43">
      <c r="E197" s="2056" t="str">
        <f t="shared" si="41"/>
        <v/>
      </c>
      <c r="G197" s="2056" t="str">
        <f t="shared" si="41"/>
        <v/>
      </c>
      <c r="I197" s="2056" t="str">
        <f t="shared" si="42"/>
        <v/>
      </c>
      <c r="K197" s="2056" t="str">
        <f t="shared" si="43"/>
        <v/>
      </c>
      <c r="M197" s="2056" t="str">
        <f t="shared" si="44"/>
        <v/>
      </c>
      <c r="O197" s="2056" t="str">
        <f t="shared" si="45"/>
        <v/>
      </c>
      <c r="Q197" s="2056" t="str">
        <f t="shared" si="58"/>
        <v/>
      </c>
      <c r="S197" s="2056" t="str">
        <f t="shared" si="46"/>
        <v/>
      </c>
      <c r="U197" s="2056" t="str">
        <f t="shared" si="47"/>
        <v/>
      </c>
      <c r="W197" s="2056" t="str">
        <f t="shared" si="59"/>
        <v/>
      </c>
      <c r="Y197" s="2056" t="str">
        <f t="shared" si="48"/>
        <v/>
      </c>
      <c r="AA197" s="2056" t="str">
        <f t="shared" si="49"/>
        <v/>
      </c>
      <c r="AC197" s="2056" t="str">
        <f t="shared" si="50"/>
        <v/>
      </c>
      <c r="AE197" s="2056" t="str">
        <f t="shared" si="51"/>
        <v/>
      </c>
      <c r="AG197" s="2056" t="str">
        <f t="shared" si="52"/>
        <v/>
      </c>
      <c r="AI197" s="2056" t="str">
        <f t="shared" si="53"/>
        <v/>
      </c>
      <c r="AK197" s="2056" t="str">
        <f t="shared" si="54"/>
        <v/>
      </c>
      <c r="AM197" s="2056" t="str">
        <f t="shared" si="55"/>
        <v/>
      </c>
      <c r="AO197" s="2056" t="str">
        <f t="shared" si="56"/>
        <v/>
      </c>
      <c r="AQ197" s="2056" t="str">
        <f t="shared" si="57"/>
        <v/>
      </c>
    </row>
    <row r="198" spans="5:43">
      <c r="E198" s="2056" t="str">
        <f t="shared" si="41"/>
        <v/>
      </c>
      <c r="G198" s="2056" t="str">
        <f t="shared" si="41"/>
        <v/>
      </c>
      <c r="I198" s="2056" t="str">
        <f t="shared" si="42"/>
        <v/>
      </c>
      <c r="K198" s="2056" t="str">
        <f t="shared" si="43"/>
        <v/>
      </c>
      <c r="M198" s="2056" t="str">
        <f t="shared" si="44"/>
        <v/>
      </c>
      <c r="O198" s="2056" t="str">
        <f t="shared" si="45"/>
        <v/>
      </c>
      <c r="Q198" s="2056" t="str">
        <f t="shared" si="58"/>
        <v/>
      </c>
      <c r="S198" s="2056" t="str">
        <f t="shared" si="46"/>
        <v/>
      </c>
      <c r="U198" s="2056" t="str">
        <f t="shared" si="47"/>
        <v/>
      </c>
      <c r="W198" s="2056" t="str">
        <f t="shared" si="59"/>
        <v/>
      </c>
      <c r="Y198" s="2056" t="str">
        <f t="shared" si="48"/>
        <v/>
      </c>
      <c r="AA198" s="2056" t="str">
        <f t="shared" si="49"/>
        <v/>
      </c>
      <c r="AC198" s="2056" t="str">
        <f t="shared" si="50"/>
        <v/>
      </c>
      <c r="AE198" s="2056" t="str">
        <f t="shared" si="51"/>
        <v/>
      </c>
      <c r="AG198" s="2056" t="str">
        <f t="shared" si="52"/>
        <v/>
      </c>
      <c r="AI198" s="2056" t="str">
        <f t="shared" si="53"/>
        <v/>
      </c>
      <c r="AK198" s="2056" t="str">
        <f t="shared" si="54"/>
        <v/>
      </c>
      <c r="AM198" s="2056" t="str">
        <f t="shared" si="55"/>
        <v/>
      </c>
      <c r="AO198" s="2056" t="str">
        <f t="shared" si="56"/>
        <v/>
      </c>
      <c r="AQ198" s="2056" t="str">
        <f t="shared" si="57"/>
        <v/>
      </c>
    </row>
    <row r="199" spans="5:43">
      <c r="E199" s="2056" t="str">
        <f t="shared" si="41"/>
        <v/>
      </c>
      <c r="G199" s="2056" t="str">
        <f t="shared" si="41"/>
        <v/>
      </c>
      <c r="I199" s="2056" t="str">
        <f t="shared" si="42"/>
        <v/>
      </c>
      <c r="K199" s="2056" t="str">
        <f t="shared" si="43"/>
        <v/>
      </c>
      <c r="M199" s="2056" t="str">
        <f t="shared" si="44"/>
        <v/>
      </c>
      <c r="O199" s="2056" t="str">
        <f t="shared" si="45"/>
        <v/>
      </c>
      <c r="Q199" s="2056" t="str">
        <f t="shared" si="58"/>
        <v/>
      </c>
      <c r="S199" s="2056" t="str">
        <f t="shared" si="46"/>
        <v/>
      </c>
      <c r="U199" s="2056" t="str">
        <f t="shared" si="47"/>
        <v/>
      </c>
      <c r="W199" s="2056" t="str">
        <f t="shared" si="59"/>
        <v/>
      </c>
      <c r="Y199" s="2056" t="str">
        <f t="shared" si="48"/>
        <v/>
      </c>
      <c r="AA199" s="2056" t="str">
        <f t="shared" si="49"/>
        <v/>
      </c>
      <c r="AC199" s="2056" t="str">
        <f t="shared" si="50"/>
        <v/>
      </c>
      <c r="AE199" s="2056" t="str">
        <f t="shared" si="51"/>
        <v/>
      </c>
      <c r="AG199" s="2056" t="str">
        <f t="shared" si="52"/>
        <v/>
      </c>
      <c r="AI199" s="2056" t="str">
        <f t="shared" si="53"/>
        <v/>
      </c>
      <c r="AK199" s="2056" t="str">
        <f t="shared" si="54"/>
        <v/>
      </c>
      <c r="AM199" s="2056" t="str">
        <f t="shared" si="55"/>
        <v/>
      </c>
      <c r="AO199" s="2056" t="str">
        <f t="shared" si="56"/>
        <v/>
      </c>
      <c r="AQ199" s="2056" t="str">
        <f t="shared" si="57"/>
        <v/>
      </c>
    </row>
    <row r="200" spans="5:43">
      <c r="E200" s="2056" t="str">
        <f t="shared" si="41"/>
        <v/>
      </c>
      <c r="G200" s="2056" t="str">
        <f t="shared" si="41"/>
        <v/>
      </c>
      <c r="I200" s="2056" t="str">
        <f t="shared" si="42"/>
        <v/>
      </c>
      <c r="K200" s="2056" t="str">
        <f t="shared" si="43"/>
        <v/>
      </c>
      <c r="M200" s="2056" t="str">
        <f t="shared" si="44"/>
        <v/>
      </c>
      <c r="O200" s="2056" t="str">
        <f t="shared" si="45"/>
        <v/>
      </c>
      <c r="Q200" s="2056" t="str">
        <f t="shared" si="58"/>
        <v/>
      </c>
      <c r="S200" s="2056" t="str">
        <f t="shared" si="46"/>
        <v/>
      </c>
      <c r="U200" s="2056" t="str">
        <f t="shared" si="47"/>
        <v/>
      </c>
      <c r="W200" s="2056" t="str">
        <f t="shared" si="59"/>
        <v/>
      </c>
      <c r="Y200" s="2056" t="str">
        <f t="shared" si="48"/>
        <v/>
      </c>
      <c r="AA200" s="2056" t="str">
        <f t="shared" si="49"/>
        <v/>
      </c>
      <c r="AC200" s="2056" t="str">
        <f t="shared" si="50"/>
        <v/>
      </c>
      <c r="AE200" s="2056" t="str">
        <f t="shared" si="51"/>
        <v/>
      </c>
      <c r="AG200" s="2056" t="str">
        <f t="shared" si="52"/>
        <v/>
      </c>
      <c r="AI200" s="2056" t="str">
        <f t="shared" si="53"/>
        <v/>
      </c>
      <c r="AK200" s="2056" t="str">
        <f t="shared" si="54"/>
        <v/>
      </c>
      <c r="AM200" s="2056" t="str">
        <f t="shared" si="55"/>
        <v/>
      </c>
      <c r="AO200" s="2056" t="str">
        <f t="shared" si="56"/>
        <v/>
      </c>
      <c r="AQ200" s="2056" t="str">
        <f t="shared" si="57"/>
        <v/>
      </c>
    </row>
    <row r="201" spans="5:43">
      <c r="E201" s="2056" t="str">
        <f t="shared" si="41"/>
        <v/>
      </c>
      <c r="G201" s="2056" t="str">
        <f t="shared" si="41"/>
        <v/>
      </c>
      <c r="I201" s="2056" t="str">
        <f t="shared" si="42"/>
        <v/>
      </c>
      <c r="K201" s="2056" t="str">
        <f t="shared" si="43"/>
        <v/>
      </c>
      <c r="M201" s="2056" t="str">
        <f t="shared" si="44"/>
        <v/>
      </c>
      <c r="O201" s="2056" t="str">
        <f t="shared" si="45"/>
        <v/>
      </c>
      <c r="Q201" s="2056" t="str">
        <f t="shared" si="58"/>
        <v/>
      </c>
      <c r="S201" s="2056" t="str">
        <f t="shared" si="46"/>
        <v/>
      </c>
      <c r="U201" s="2056" t="str">
        <f t="shared" si="47"/>
        <v/>
      </c>
      <c r="W201" s="2056" t="str">
        <f t="shared" si="59"/>
        <v/>
      </c>
      <c r="Y201" s="2056" t="str">
        <f t="shared" si="48"/>
        <v/>
      </c>
      <c r="AA201" s="2056" t="str">
        <f t="shared" si="49"/>
        <v/>
      </c>
      <c r="AC201" s="2056" t="str">
        <f t="shared" si="50"/>
        <v/>
      </c>
      <c r="AE201" s="2056" t="str">
        <f t="shared" si="51"/>
        <v/>
      </c>
      <c r="AG201" s="2056" t="str">
        <f t="shared" si="52"/>
        <v/>
      </c>
      <c r="AI201" s="2056" t="str">
        <f t="shared" si="53"/>
        <v/>
      </c>
      <c r="AK201" s="2056" t="str">
        <f t="shared" si="54"/>
        <v/>
      </c>
      <c r="AM201" s="2056" t="str">
        <f t="shared" si="55"/>
        <v/>
      </c>
      <c r="AO201" s="2056" t="str">
        <f t="shared" si="56"/>
        <v/>
      </c>
      <c r="AQ201" s="2056" t="str">
        <f t="shared" si="57"/>
        <v/>
      </c>
    </row>
    <row r="202" spans="5:43">
      <c r="E202" s="2056" t="str">
        <f t="shared" si="41"/>
        <v/>
      </c>
      <c r="G202" s="2056" t="str">
        <f t="shared" si="41"/>
        <v/>
      </c>
      <c r="I202" s="2056" t="str">
        <f t="shared" si="42"/>
        <v/>
      </c>
      <c r="K202" s="2056" t="str">
        <f t="shared" si="43"/>
        <v/>
      </c>
      <c r="M202" s="2056" t="str">
        <f t="shared" si="44"/>
        <v/>
      </c>
      <c r="O202" s="2056" t="str">
        <f t="shared" si="45"/>
        <v/>
      </c>
      <c r="Q202" s="2056" t="str">
        <f t="shared" si="58"/>
        <v/>
      </c>
      <c r="S202" s="2056" t="str">
        <f t="shared" si="46"/>
        <v/>
      </c>
      <c r="U202" s="2056" t="str">
        <f t="shared" si="47"/>
        <v/>
      </c>
      <c r="W202" s="2056" t="str">
        <f t="shared" si="59"/>
        <v/>
      </c>
      <c r="Y202" s="2056" t="str">
        <f t="shared" si="48"/>
        <v/>
      </c>
      <c r="AA202" s="2056" t="str">
        <f t="shared" si="49"/>
        <v/>
      </c>
      <c r="AC202" s="2056" t="str">
        <f t="shared" si="50"/>
        <v/>
      </c>
      <c r="AE202" s="2056" t="str">
        <f t="shared" si="51"/>
        <v/>
      </c>
      <c r="AG202" s="2056" t="str">
        <f t="shared" si="52"/>
        <v/>
      </c>
      <c r="AI202" s="2056" t="str">
        <f t="shared" si="53"/>
        <v/>
      </c>
      <c r="AK202" s="2056" t="str">
        <f t="shared" si="54"/>
        <v/>
      </c>
      <c r="AM202" s="2056" t="str">
        <f t="shared" si="55"/>
        <v/>
      </c>
      <c r="AO202" s="2056" t="str">
        <f t="shared" si="56"/>
        <v/>
      </c>
      <c r="AQ202" s="2056" t="str">
        <f t="shared" si="57"/>
        <v/>
      </c>
    </row>
    <row r="203" spans="5:43">
      <c r="E203" s="2056" t="str">
        <f t="shared" si="41"/>
        <v/>
      </c>
      <c r="G203" s="2056" t="str">
        <f t="shared" si="41"/>
        <v/>
      </c>
      <c r="I203" s="2056" t="str">
        <f t="shared" si="42"/>
        <v/>
      </c>
      <c r="K203" s="2056" t="str">
        <f t="shared" si="43"/>
        <v/>
      </c>
      <c r="M203" s="2056" t="str">
        <f t="shared" si="44"/>
        <v/>
      </c>
      <c r="O203" s="2056" t="str">
        <f t="shared" si="45"/>
        <v/>
      </c>
      <c r="Q203" s="2056" t="str">
        <f t="shared" si="58"/>
        <v/>
      </c>
      <c r="S203" s="2056" t="str">
        <f t="shared" si="46"/>
        <v/>
      </c>
      <c r="U203" s="2056" t="str">
        <f t="shared" si="47"/>
        <v/>
      </c>
      <c r="W203" s="2056" t="str">
        <f t="shared" si="59"/>
        <v/>
      </c>
      <c r="Y203" s="2056" t="str">
        <f t="shared" si="48"/>
        <v/>
      </c>
      <c r="AA203" s="2056" t="str">
        <f t="shared" si="49"/>
        <v/>
      </c>
      <c r="AC203" s="2056" t="str">
        <f t="shared" si="50"/>
        <v/>
      </c>
      <c r="AE203" s="2056" t="str">
        <f t="shared" si="51"/>
        <v/>
      </c>
      <c r="AG203" s="2056" t="str">
        <f t="shared" si="52"/>
        <v/>
      </c>
      <c r="AI203" s="2056" t="str">
        <f t="shared" si="53"/>
        <v/>
      </c>
      <c r="AK203" s="2056" t="str">
        <f t="shared" si="54"/>
        <v/>
      </c>
      <c r="AM203" s="2056" t="str">
        <f t="shared" si="55"/>
        <v/>
      </c>
      <c r="AO203" s="2056" t="str">
        <f t="shared" si="56"/>
        <v/>
      </c>
      <c r="AQ203" s="2056" t="str">
        <f t="shared" si="57"/>
        <v/>
      </c>
    </row>
    <row r="204" spans="5:43">
      <c r="E204" s="2056" t="str">
        <f t="shared" si="41"/>
        <v/>
      </c>
      <c r="G204" s="2056" t="str">
        <f t="shared" si="41"/>
        <v/>
      </c>
      <c r="I204" s="2056" t="str">
        <f t="shared" si="42"/>
        <v/>
      </c>
      <c r="K204" s="2056" t="str">
        <f t="shared" si="43"/>
        <v/>
      </c>
      <c r="M204" s="2056" t="str">
        <f t="shared" si="44"/>
        <v/>
      </c>
      <c r="O204" s="2056" t="str">
        <f t="shared" si="45"/>
        <v/>
      </c>
      <c r="Q204" s="2056" t="str">
        <f t="shared" si="58"/>
        <v/>
      </c>
      <c r="S204" s="2056" t="str">
        <f t="shared" si="46"/>
        <v/>
      </c>
      <c r="U204" s="2056" t="str">
        <f t="shared" si="47"/>
        <v/>
      </c>
      <c r="W204" s="2056" t="str">
        <f t="shared" si="59"/>
        <v/>
      </c>
      <c r="Y204" s="2056" t="str">
        <f t="shared" si="48"/>
        <v/>
      </c>
      <c r="AA204" s="2056" t="str">
        <f t="shared" si="49"/>
        <v/>
      </c>
      <c r="AC204" s="2056" t="str">
        <f t="shared" si="50"/>
        <v/>
      </c>
      <c r="AE204" s="2056" t="str">
        <f t="shared" si="51"/>
        <v/>
      </c>
      <c r="AG204" s="2056" t="str">
        <f t="shared" si="52"/>
        <v/>
      </c>
      <c r="AI204" s="2056" t="str">
        <f t="shared" si="53"/>
        <v/>
      </c>
      <c r="AK204" s="2056" t="str">
        <f t="shared" si="54"/>
        <v/>
      </c>
      <c r="AM204" s="2056" t="str">
        <f t="shared" si="55"/>
        <v/>
      </c>
      <c r="AO204" s="2056" t="str">
        <f t="shared" si="56"/>
        <v/>
      </c>
      <c r="AQ204" s="2056" t="str">
        <f t="shared" si="57"/>
        <v/>
      </c>
    </row>
    <row r="205" spans="5:43">
      <c r="E205" s="2056" t="str">
        <f t="shared" ref="E205:G268" si="60">IF(OR($B205=0,D205=0),"",D205/$B205)</f>
        <v/>
      </c>
      <c r="G205" s="2056" t="str">
        <f t="shared" si="60"/>
        <v/>
      </c>
      <c r="I205" s="2056" t="str">
        <f t="shared" ref="I205:I268" si="61">IF(OR($B205=0,H205=0),"",H205/$B205)</f>
        <v/>
      </c>
      <c r="K205" s="2056" t="str">
        <f t="shared" ref="K205:K268" si="62">IF(OR($B205=0,J205=0),"",J205/$B205)</f>
        <v/>
      </c>
      <c r="M205" s="2056" t="str">
        <f t="shared" ref="M205:M268" si="63">IF(OR($B205=0,L205=0),"",L205/$B205)</f>
        <v/>
      </c>
      <c r="O205" s="2056" t="str">
        <f t="shared" ref="O205:O268" si="64">IF(OR($B205=0,N205=0),"",N205/$B205)</f>
        <v/>
      </c>
      <c r="Q205" s="2056" t="str">
        <f t="shared" si="58"/>
        <v/>
      </c>
      <c r="S205" s="2056" t="str">
        <f t="shared" ref="S205:S268" si="65">IF(OR($B205=0,R205=0),"",R205/$B205)</f>
        <v/>
      </c>
      <c r="U205" s="2056" t="str">
        <f t="shared" ref="U205:U268" si="66">IF(OR($B205=0,T205=0),"",T205/$B205)</f>
        <v/>
      </c>
      <c r="W205" s="2056" t="str">
        <f t="shared" si="59"/>
        <v/>
      </c>
      <c r="Y205" s="2056" t="str">
        <f t="shared" ref="Y205:Y268" si="67">IF(OR($B205=0,X205=0),"",X205/$B205)</f>
        <v/>
      </c>
      <c r="AA205" s="2056" t="str">
        <f t="shared" ref="AA205:AA268" si="68">IF(OR($B205=0,Z205=0),"",Z205/$B205)</f>
        <v/>
      </c>
      <c r="AC205" s="2056" t="str">
        <f t="shared" ref="AC205:AC268" si="69">IF(OR($B205=0,AB205=0),"",AB205/$B205)</f>
        <v/>
      </c>
      <c r="AE205" s="2056" t="str">
        <f t="shared" ref="AE205:AE268" si="70">IF(OR($B205=0,AD205=0),"",AD205/$B205)</f>
        <v/>
      </c>
      <c r="AG205" s="2056" t="str">
        <f t="shared" ref="AG205:AG268" si="71">IF(OR($B205=0,AF205=0),"",AF205/$B205)</f>
        <v/>
      </c>
      <c r="AI205" s="2056" t="str">
        <f t="shared" ref="AI205:AI268" si="72">IF(OR($B205=0,AH205=0),"",AH205/$B205)</f>
        <v/>
      </c>
      <c r="AK205" s="2056" t="str">
        <f t="shared" ref="AK205:AK268" si="73">IF(OR($B205=0,AJ205=0),"",AJ205/$B205)</f>
        <v/>
      </c>
      <c r="AM205" s="2056" t="str">
        <f t="shared" ref="AM205:AM268" si="74">IF(OR($B205=0,AL205=0),"",AL205/$B205)</f>
        <v/>
      </c>
      <c r="AO205" s="2056" t="str">
        <f t="shared" ref="AO205:AO268" si="75">IF(OR($B205=0,AN205=0),"",AN205/$B205)</f>
        <v/>
      </c>
      <c r="AQ205" s="2056" t="str">
        <f t="shared" ref="AQ205:AQ268" si="76">IF(OR($B205=0,AP205=0),"",AP205/$B205)</f>
        <v/>
      </c>
    </row>
    <row r="206" spans="5:43">
      <c r="E206" s="2056" t="str">
        <f t="shared" si="60"/>
        <v/>
      </c>
      <c r="G206" s="2056" t="str">
        <f t="shared" si="60"/>
        <v/>
      </c>
      <c r="I206" s="2056" t="str">
        <f t="shared" si="61"/>
        <v/>
      </c>
      <c r="K206" s="2056" t="str">
        <f t="shared" si="62"/>
        <v/>
      </c>
      <c r="M206" s="2056" t="str">
        <f t="shared" si="63"/>
        <v/>
      </c>
      <c r="O206" s="2056" t="str">
        <f t="shared" si="64"/>
        <v/>
      </c>
      <c r="Q206" s="2056" t="str">
        <f t="shared" si="58"/>
        <v/>
      </c>
      <c r="S206" s="2056" t="str">
        <f t="shared" si="65"/>
        <v/>
      </c>
      <c r="U206" s="2056" t="str">
        <f t="shared" si="66"/>
        <v/>
      </c>
      <c r="W206" s="2056" t="str">
        <f t="shared" si="59"/>
        <v/>
      </c>
      <c r="Y206" s="2056" t="str">
        <f t="shared" si="67"/>
        <v/>
      </c>
      <c r="AA206" s="2056" t="str">
        <f t="shared" si="68"/>
        <v/>
      </c>
      <c r="AC206" s="2056" t="str">
        <f t="shared" si="69"/>
        <v/>
      </c>
      <c r="AE206" s="2056" t="str">
        <f t="shared" si="70"/>
        <v/>
      </c>
      <c r="AG206" s="2056" t="str">
        <f t="shared" si="71"/>
        <v/>
      </c>
      <c r="AI206" s="2056" t="str">
        <f t="shared" si="72"/>
        <v/>
      </c>
      <c r="AK206" s="2056" t="str">
        <f t="shared" si="73"/>
        <v/>
      </c>
      <c r="AM206" s="2056" t="str">
        <f t="shared" si="74"/>
        <v/>
      </c>
      <c r="AO206" s="2056" t="str">
        <f t="shared" si="75"/>
        <v/>
      </c>
      <c r="AQ206" s="2056" t="str">
        <f t="shared" si="76"/>
        <v/>
      </c>
    </row>
    <row r="207" spans="5:43">
      <c r="E207" s="2056" t="str">
        <f t="shared" si="60"/>
        <v/>
      </c>
      <c r="G207" s="2056" t="str">
        <f t="shared" si="60"/>
        <v/>
      </c>
      <c r="I207" s="2056" t="str">
        <f t="shared" si="61"/>
        <v/>
      </c>
      <c r="K207" s="2056" t="str">
        <f t="shared" si="62"/>
        <v/>
      </c>
      <c r="M207" s="2056" t="str">
        <f t="shared" si="63"/>
        <v/>
      </c>
      <c r="O207" s="2056" t="str">
        <f t="shared" si="64"/>
        <v/>
      </c>
      <c r="Q207" s="2056" t="str">
        <f t="shared" si="58"/>
        <v/>
      </c>
      <c r="S207" s="2056" t="str">
        <f t="shared" si="65"/>
        <v/>
      </c>
      <c r="U207" s="2056" t="str">
        <f t="shared" si="66"/>
        <v/>
      </c>
      <c r="W207" s="2056" t="str">
        <f t="shared" si="59"/>
        <v/>
      </c>
      <c r="Y207" s="2056" t="str">
        <f t="shared" si="67"/>
        <v/>
      </c>
      <c r="AA207" s="2056" t="str">
        <f t="shared" si="68"/>
        <v/>
      </c>
      <c r="AC207" s="2056" t="str">
        <f t="shared" si="69"/>
        <v/>
      </c>
      <c r="AE207" s="2056" t="str">
        <f t="shared" si="70"/>
        <v/>
      </c>
      <c r="AG207" s="2056" t="str">
        <f t="shared" si="71"/>
        <v/>
      </c>
      <c r="AI207" s="2056" t="str">
        <f t="shared" si="72"/>
        <v/>
      </c>
      <c r="AK207" s="2056" t="str">
        <f t="shared" si="73"/>
        <v/>
      </c>
      <c r="AM207" s="2056" t="str">
        <f t="shared" si="74"/>
        <v/>
      </c>
      <c r="AO207" s="2056" t="str">
        <f t="shared" si="75"/>
        <v/>
      </c>
      <c r="AQ207" s="2056" t="str">
        <f t="shared" si="76"/>
        <v/>
      </c>
    </row>
    <row r="208" spans="5:43">
      <c r="E208" s="2056" t="str">
        <f t="shared" si="60"/>
        <v/>
      </c>
      <c r="G208" s="2056" t="str">
        <f t="shared" si="60"/>
        <v/>
      </c>
      <c r="I208" s="2056" t="str">
        <f t="shared" si="61"/>
        <v/>
      </c>
      <c r="K208" s="2056" t="str">
        <f t="shared" si="62"/>
        <v/>
      </c>
      <c r="M208" s="2056" t="str">
        <f t="shared" si="63"/>
        <v/>
      </c>
      <c r="O208" s="2056" t="str">
        <f t="shared" si="64"/>
        <v/>
      </c>
      <c r="Q208" s="2056" t="str">
        <f t="shared" si="58"/>
        <v/>
      </c>
      <c r="S208" s="2056" t="str">
        <f t="shared" si="65"/>
        <v/>
      </c>
      <c r="U208" s="2056" t="str">
        <f t="shared" si="66"/>
        <v/>
      </c>
      <c r="W208" s="2056" t="str">
        <f t="shared" si="59"/>
        <v/>
      </c>
      <c r="Y208" s="2056" t="str">
        <f t="shared" si="67"/>
        <v/>
      </c>
      <c r="AA208" s="2056" t="str">
        <f t="shared" si="68"/>
        <v/>
      </c>
      <c r="AC208" s="2056" t="str">
        <f t="shared" si="69"/>
        <v/>
      </c>
      <c r="AE208" s="2056" t="str">
        <f t="shared" si="70"/>
        <v/>
      </c>
      <c r="AG208" s="2056" t="str">
        <f t="shared" si="71"/>
        <v/>
      </c>
      <c r="AI208" s="2056" t="str">
        <f t="shared" si="72"/>
        <v/>
      </c>
      <c r="AK208" s="2056" t="str">
        <f t="shared" si="73"/>
        <v/>
      </c>
      <c r="AM208" s="2056" t="str">
        <f t="shared" si="74"/>
        <v/>
      </c>
      <c r="AO208" s="2056" t="str">
        <f t="shared" si="75"/>
        <v/>
      </c>
      <c r="AQ208" s="2056" t="str">
        <f t="shared" si="76"/>
        <v/>
      </c>
    </row>
    <row r="209" spans="5:43">
      <c r="E209" s="2056" t="str">
        <f t="shared" si="60"/>
        <v/>
      </c>
      <c r="G209" s="2056" t="str">
        <f t="shared" si="60"/>
        <v/>
      </c>
      <c r="I209" s="2056" t="str">
        <f t="shared" si="61"/>
        <v/>
      </c>
      <c r="K209" s="2056" t="str">
        <f t="shared" si="62"/>
        <v/>
      </c>
      <c r="M209" s="2056" t="str">
        <f t="shared" si="63"/>
        <v/>
      </c>
      <c r="O209" s="2056" t="str">
        <f t="shared" si="64"/>
        <v/>
      </c>
      <c r="Q209" s="2056" t="str">
        <f t="shared" si="58"/>
        <v/>
      </c>
      <c r="S209" s="2056" t="str">
        <f t="shared" si="65"/>
        <v/>
      </c>
      <c r="U209" s="2056" t="str">
        <f t="shared" si="66"/>
        <v/>
      </c>
      <c r="W209" s="2056" t="str">
        <f t="shared" si="59"/>
        <v/>
      </c>
      <c r="Y209" s="2056" t="str">
        <f t="shared" si="67"/>
        <v/>
      </c>
      <c r="AA209" s="2056" t="str">
        <f t="shared" si="68"/>
        <v/>
      </c>
      <c r="AC209" s="2056" t="str">
        <f t="shared" si="69"/>
        <v/>
      </c>
      <c r="AE209" s="2056" t="str">
        <f t="shared" si="70"/>
        <v/>
      </c>
      <c r="AG209" s="2056" t="str">
        <f t="shared" si="71"/>
        <v/>
      </c>
      <c r="AI209" s="2056" t="str">
        <f t="shared" si="72"/>
        <v/>
      </c>
      <c r="AK209" s="2056" t="str">
        <f t="shared" si="73"/>
        <v/>
      </c>
      <c r="AM209" s="2056" t="str">
        <f t="shared" si="74"/>
        <v/>
      </c>
      <c r="AO209" s="2056" t="str">
        <f t="shared" si="75"/>
        <v/>
      </c>
      <c r="AQ209" s="2056" t="str">
        <f t="shared" si="76"/>
        <v/>
      </c>
    </row>
    <row r="210" spans="5:43">
      <c r="E210" s="2056" t="str">
        <f t="shared" si="60"/>
        <v/>
      </c>
      <c r="G210" s="2056" t="str">
        <f t="shared" si="60"/>
        <v/>
      </c>
      <c r="I210" s="2056" t="str">
        <f t="shared" si="61"/>
        <v/>
      </c>
      <c r="K210" s="2056" t="str">
        <f t="shared" si="62"/>
        <v/>
      </c>
      <c r="M210" s="2056" t="str">
        <f t="shared" si="63"/>
        <v/>
      </c>
      <c r="O210" s="2056" t="str">
        <f t="shared" si="64"/>
        <v/>
      </c>
      <c r="Q210" s="2056" t="str">
        <f t="shared" si="58"/>
        <v/>
      </c>
      <c r="S210" s="2056" t="str">
        <f t="shared" si="65"/>
        <v/>
      </c>
      <c r="U210" s="2056" t="str">
        <f t="shared" si="66"/>
        <v/>
      </c>
      <c r="W210" s="2056" t="str">
        <f t="shared" si="59"/>
        <v/>
      </c>
      <c r="Y210" s="2056" t="str">
        <f t="shared" si="67"/>
        <v/>
      </c>
      <c r="AA210" s="2056" t="str">
        <f t="shared" si="68"/>
        <v/>
      </c>
      <c r="AC210" s="2056" t="str">
        <f t="shared" si="69"/>
        <v/>
      </c>
      <c r="AE210" s="2056" t="str">
        <f t="shared" si="70"/>
        <v/>
      </c>
      <c r="AG210" s="2056" t="str">
        <f t="shared" si="71"/>
        <v/>
      </c>
      <c r="AI210" s="2056" t="str">
        <f t="shared" si="72"/>
        <v/>
      </c>
      <c r="AK210" s="2056" t="str">
        <f t="shared" si="73"/>
        <v/>
      </c>
      <c r="AM210" s="2056" t="str">
        <f t="shared" si="74"/>
        <v/>
      </c>
      <c r="AO210" s="2056" t="str">
        <f t="shared" si="75"/>
        <v/>
      </c>
      <c r="AQ210" s="2056" t="str">
        <f t="shared" si="76"/>
        <v/>
      </c>
    </row>
    <row r="211" spans="5:43">
      <c r="E211" s="2056" t="str">
        <f t="shared" si="60"/>
        <v/>
      </c>
      <c r="G211" s="2056" t="str">
        <f t="shared" si="60"/>
        <v/>
      </c>
      <c r="I211" s="2056" t="str">
        <f t="shared" si="61"/>
        <v/>
      </c>
      <c r="K211" s="2056" t="str">
        <f t="shared" si="62"/>
        <v/>
      </c>
      <c r="M211" s="2056" t="str">
        <f t="shared" si="63"/>
        <v/>
      </c>
      <c r="O211" s="2056" t="str">
        <f t="shared" si="64"/>
        <v/>
      </c>
      <c r="Q211" s="2056" t="str">
        <f t="shared" si="58"/>
        <v/>
      </c>
      <c r="S211" s="2056" t="str">
        <f t="shared" si="65"/>
        <v/>
      </c>
      <c r="U211" s="2056" t="str">
        <f t="shared" si="66"/>
        <v/>
      </c>
      <c r="W211" s="2056" t="str">
        <f t="shared" si="59"/>
        <v/>
      </c>
      <c r="Y211" s="2056" t="str">
        <f t="shared" si="67"/>
        <v/>
      </c>
      <c r="AA211" s="2056" t="str">
        <f t="shared" si="68"/>
        <v/>
      </c>
      <c r="AC211" s="2056" t="str">
        <f t="shared" si="69"/>
        <v/>
      </c>
      <c r="AE211" s="2056" t="str">
        <f t="shared" si="70"/>
        <v/>
      </c>
      <c r="AG211" s="2056" t="str">
        <f t="shared" si="71"/>
        <v/>
      </c>
      <c r="AI211" s="2056" t="str">
        <f t="shared" si="72"/>
        <v/>
      </c>
      <c r="AK211" s="2056" t="str">
        <f t="shared" si="73"/>
        <v/>
      </c>
      <c r="AM211" s="2056" t="str">
        <f t="shared" si="74"/>
        <v/>
      </c>
      <c r="AO211" s="2056" t="str">
        <f t="shared" si="75"/>
        <v/>
      </c>
      <c r="AQ211" s="2056" t="str">
        <f t="shared" si="76"/>
        <v/>
      </c>
    </row>
    <row r="212" spans="5:43">
      <c r="E212" s="2056" t="str">
        <f t="shared" si="60"/>
        <v/>
      </c>
      <c r="G212" s="2056" t="str">
        <f t="shared" si="60"/>
        <v/>
      </c>
      <c r="I212" s="2056" t="str">
        <f t="shared" si="61"/>
        <v/>
      </c>
      <c r="K212" s="2056" t="str">
        <f t="shared" si="62"/>
        <v/>
      </c>
      <c r="M212" s="2056" t="str">
        <f t="shared" si="63"/>
        <v/>
      </c>
      <c r="O212" s="2056" t="str">
        <f t="shared" si="64"/>
        <v/>
      </c>
      <c r="Q212" s="2056" t="str">
        <f t="shared" si="58"/>
        <v/>
      </c>
      <c r="S212" s="2056" t="str">
        <f t="shared" si="65"/>
        <v/>
      </c>
      <c r="U212" s="2056" t="str">
        <f t="shared" si="66"/>
        <v/>
      </c>
      <c r="W212" s="2056" t="str">
        <f t="shared" si="59"/>
        <v/>
      </c>
      <c r="Y212" s="2056" t="str">
        <f t="shared" si="67"/>
        <v/>
      </c>
      <c r="AA212" s="2056" t="str">
        <f t="shared" si="68"/>
        <v/>
      </c>
      <c r="AC212" s="2056" t="str">
        <f t="shared" si="69"/>
        <v/>
      </c>
      <c r="AE212" s="2056" t="str">
        <f t="shared" si="70"/>
        <v/>
      </c>
      <c r="AG212" s="2056" t="str">
        <f t="shared" si="71"/>
        <v/>
      </c>
      <c r="AI212" s="2056" t="str">
        <f t="shared" si="72"/>
        <v/>
      </c>
      <c r="AK212" s="2056" t="str">
        <f t="shared" si="73"/>
        <v/>
      </c>
      <c r="AM212" s="2056" t="str">
        <f t="shared" si="74"/>
        <v/>
      </c>
      <c r="AO212" s="2056" t="str">
        <f t="shared" si="75"/>
        <v/>
      </c>
      <c r="AQ212" s="2056" t="str">
        <f t="shared" si="76"/>
        <v/>
      </c>
    </row>
    <row r="213" spans="5:43">
      <c r="E213" s="2056" t="str">
        <f t="shared" si="60"/>
        <v/>
      </c>
      <c r="G213" s="2056" t="str">
        <f t="shared" si="60"/>
        <v/>
      </c>
      <c r="I213" s="2056" t="str">
        <f t="shared" si="61"/>
        <v/>
      </c>
      <c r="K213" s="2056" t="str">
        <f t="shared" si="62"/>
        <v/>
      </c>
      <c r="M213" s="2056" t="str">
        <f t="shared" si="63"/>
        <v/>
      </c>
      <c r="O213" s="2056" t="str">
        <f t="shared" si="64"/>
        <v/>
      </c>
      <c r="Q213" s="2056" t="str">
        <f t="shared" si="58"/>
        <v/>
      </c>
      <c r="S213" s="2056" t="str">
        <f t="shared" si="65"/>
        <v/>
      </c>
      <c r="U213" s="2056" t="str">
        <f t="shared" si="66"/>
        <v/>
      </c>
      <c r="W213" s="2056" t="str">
        <f t="shared" si="59"/>
        <v/>
      </c>
      <c r="Y213" s="2056" t="str">
        <f t="shared" si="67"/>
        <v/>
      </c>
      <c r="AA213" s="2056" t="str">
        <f t="shared" si="68"/>
        <v/>
      </c>
      <c r="AC213" s="2056" t="str">
        <f t="shared" si="69"/>
        <v/>
      </c>
      <c r="AE213" s="2056" t="str">
        <f t="shared" si="70"/>
        <v/>
      </c>
      <c r="AG213" s="2056" t="str">
        <f t="shared" si="71"/>
        <v/>
      </c>
      <c r="AI213" s="2056" t="str">
        <f t="shared" si="72"/>
        <v/>
      </c>
      <c r="AK213" s="2056" t="str">
        <f t="shared" si="73"/>
        <v/>
      </c>
      <c r="AM213" s="2056" t="str">
        <f t="shared" si="74"/>
        <v/>
      </c>
      <c r="AO213" s="2056" t="str">
        <f t="shared" si="75"/>
        <v/>
      </c>
      <c r="AQ213" s="2056" t="str">
        <f t="shared" si="76"/>
        <v/>
      </c>
    </row>
    <row r="214" spans="5:43">
      <c r="E214" s="2056" t="str">
        <f t="shared" si="60"/>
        <v/>
      </c>
      <c r="G214" s="2056" t="str">
        <f t="shared" si="60"/>
        <v/>
      </c>
      <c r="I214" s="2056" t="str">
        <f t="shared" si="61"/>
        <v/>
      </c>
      <c r="K214" s="2056" t="str">
        <f t="shared" si="62"/>
        <v/>
      </c>
      <c r="M214" s="2056" t="str">
        <f t="shared" si="63"/>
        <v/>
      </c>
      <c r="O214" s="2056" t="str">
        <f t="shared" si="64"/>
        <v/>
      </c>
      <c r="Q214" s="2056" t="str">
        <f t="shared" si="58"/>
        <v/>
      </c>
      <c r="S214" s="2056" t="str">
        <f t="shared" si="65"/>
        <v/>
      </c>
      <c r="U214" s="2056" t="str">
        <f t="shared" si="66"/>
        <v/>
      </c>
      <c r="W214" s="2056" t="str">
        <f t="shared" si="59"/>
        <v/>
      </c>
      <c r="Y214" s="2056" t="str">
        <f t="shared" si="67"/>
        <v/>
      </c>
      <c r="AA214" s="2056" t="str">
        <f t="shared" si="68"/>
        <v/>
      </c>
      <c r="AC214" s="2056" t="str">
        <f t="shared" si="69"/>
        <v/>
      </c>
      <c r="AE214" s="2056" t="str">
        <f t="shared" si="70"/>
        <v/>
      </c>
      <c r="AG214" s="2056" t="str">
        <f t="shared" si="71"/>
        <v/>
      </c>
      <c r="AI214" s="2056" t="str">
        <f t="shared" si="72"/>
        <v/>
      </c>
      <c r="AK214" s="2056" t="str">
        <f t="shared" si="73"/>
        <v/>
      </c>
      <c r="AM214" s="2056" t="str">
        <f t="shared" si="74"/>
        <v/>
      </c>
      <c r="AO214" s="2056" t="str">
        <f t="shared" si="75"/>
        <v/>
      </c>
      <c r="AQ214" s="2056" t="str">
        <f t="shared" si="76"/>
        <v/>
      </c>
    </row>
    <row r="215" spans="5:43">
      <c r="E215" s="2056" t="str">
        <f t="shared" si="60"/>
        <v/>
      </c>
      <c r="G215" s="2056" t="str">
        <f t="shared" si="60"/>
        <v/>
      </c>
      <c r="I215" s="2056" t="str">
        <f t="shared" si="61"/>
        <v/>
      </c>
      <c r="K215" s="2056" t="str">
        <f t="shared" si="62"/>
        <v/>
      </c>
      <c r="M215" s="2056" t="str">
        <f t="shared" si="63"/>
        <v/>
      </c>
      <c r="O215" s="2056" t="str">
        <f t="shared" si="64"/>
        <v/>
      </c>
      <c r="Q215" s="2056" t="str">
        <f t="shared" si="58"/>
        <v/>
      </c>
      <c r="S215" s="2056" t="str">
        <f t="shared" si="65"/>
        <v/>
      </c>
      <c r="U215" s="2056" t="str">
        <f t="shared" si="66"/>
        <v/>
      </c>
      <c r="W215" s="2056" t="str">
        <f t="shared" si="59"/>
        <v/>
      </c>
      <c r="Y215" s="2056" t="str">
        <f t="shared" si="67"/>
        <v/>
      </c>
      <c r="AA215" s="2056" t="str">
        <f t="shared" si="68"/>
        <v/>
      </c>
      <c r="AC215" s="2056" t="str">
        <f t="shared" si="69"/>
        <v/>
      </c>
      <c r="AE215" s="2056" t="str">
        <f t="shared" si="70"/>
        <v/>
      </c>
      <c r="AG215" s="2056" t="str">
        <f t="shared" si="71"/>
        <v/>
      </c>
      <c r="AI215" s="2056" t="str">
        <f t="shared" si="72"/>
        <v/>
      </c>
      <c r="AK215" s="2056" t="str">
        <f t="shared" si="73"/>
        <v/>
      </c>
      <c r="AM215" s="2056" t="str">
        <f t="shared" si="74"/>
        <v/>
      </c>
      <c r="AO215" s="2056" t="str">
        <f t="shared" si="75"/>
        <v/>
      </c>
      <c r="AQ215" s="2056" t="str">
        <f t="shared" si="76"/>
        <v/>
      </c>
    </row>
    <row r="216" spans="5:43">
      <c r="E216" s="2056" t="str">
        <f t="shared" si="60"/>
        <v/>
      </c>
      <c r="G216" s="2056" t="str">
        <f t="shared" si="60"/>
        <v/>
      </c>
      <c r="I216" s="2056" t="str">
        <f t="shared" si="61"/>
        <v/>
      </c>
      <c r="K216" s="2056" t="str">
        <f t="shared" si="62"/>
        <v/>
      </c>
      <c r="M216" s="2056" t="str">
        <f t="shared" si="63"/>
        <v/>
      </c>
      <c r="O216" s="2056" t="str">
        <f t="shared" si="64"/>
        <v/>
      </c>
      <c r="Q216" s="2056" t="str">
        <f t="shared" si="58"/>
        <v/>
      </c>
      <c r="S216" s="2056" t="str">
        <f t="shared" si="65"/>
        <v/>
      </c>
      <c r="U216" s="2056" t="str">
        <f t="shared" si="66"/>
        <v/>
      </c>
      <c r="W216" s="2056" t="str">
        <f t="shared" si="59"/>
        <v/>
      </c>
      <c r="Y216" s="2056" t="str">
        <f t="shared" si="67"/>
        <v/>
      </c>
      <c r="AA216" s="2056" t="str">
        <f t="shared" si="68"/>
        <v/>
      </c>
      <c r="AC216" s="2056" t="str">
        <f t="shared" si="69"/>
        <v/>
      </c>
      <c r="AE216" s="2056" t="str">
        <f t="shared" si="70"/>
        <v/>
      </c>
      <c r="AG216" s="2056" t="str">
        <f t="shared" si="71"/>
        <v/>
      </c>
      <c r="AI216" s="2056" t="str">
        <f t="shared" si="72"/>
        <v/>
      </c>
      <c r="AK216" s="2056" t="str">
        <f t="shared" si="73"/>
        <v/>
      </c>
      <c r="AM216" s="2056" t="str">
        <f t="shared" si="74"/>
        <v/>
      </c>
      <c r="AO216" s="2056" t="str">
        <f t="shared" si="75"/>
        <v/>
      </c>
      <c r="AQ216" s="2056" t="str">
        <f t="shared" si="76"/>
        <v/>
      </c>
    </row>
    <row r="217" spans="5:43">
      <c r="E217" s="2056" t="str">
        <f t="shared" si="60"/>
        <v/>
      </c>
      <c r="G217" s="2056" t="str">
        <f t="shared" si="60"/>
        <v/>
      </c>
      <c r="I217" s="2056" t="str">
        <f t="shared" si="61"/>
        <v/>
      </c>
      <c r="K217" s="2056" t="str">
        <f t="shared" si="62"/>
        <v/>
      </c>
      <c r="M217" s="2056" t="str">
        <f t="shared" si="63"/>
        <v/>
      </c>
      <c r="O217" s="2056" t="str">
        <f t="shared" si="64"/>
        <v/>
      </c>
      <c r="Q217" s="2056" t="str">
        <f t="shared" si="58"/>
        <v/>
      </c>
      <c r="S217" s="2056" t="str">
        <f t="shared" si="65"/>
        <v/>
      </c>
      <c r="U217" s="2056" t="str">
        <f t="shared" si="66"/>
        <v/>
      </c>
      <c r="W217" s="2056" t="str">
        <f t="shared" si="59"/>
        <v/>
      </c>
      <c r="Y217" s="2056" t="str">
        <f t="shared" si="67"/>
        <v/>
      </c>
      <c r="AA217" s="2056" t="str">
        <f t="shared" si="68"/>
        <v/>
      </c>
      <c r="AC217" s="2056" t="str">
        <f t="shared" si="69"/>
        <v/>
      </c>
      <c r="AE217" s="2056" t="str">
        <f t="shared" si="70"/>
        <v/>
      </c>
      <c r="AG217" s="2056" t="str">
        <f t="shared" si="71"/>
        <v/>
      </c>
      <c r="AI217" s="2056" t="str">
        <f t="shared" si="72"/>
        <v/>
      </c>
      <c r="AK217" s="2056" t="str">
        <f t="shared" si="73"/>
        <v/>
      </c>
      <c r="AM217" s="2056" t="str">
        <f t="shared" si="74"/>
        <v/>
      </c>
      <c r="AO217" s="2056" t="str">
        <f t="shared" si="75"/>
        <v/>
      </c>
      <c r="AQ217" s="2056" t="str">
        <f t="shared" si="76"/>
        <v/>
      </c>
    </row>
    <row r="218" spans="5:43">
      <c r="E218" s="2056" t="str">
        <f t="shared" si="60"/>
        <v/>
      </c>
      <c r="G218" s="2056" t="str">
        <f t="shared" si="60"/>
        <v/>
      </c>
      <c r="I218" s="2056" t="str">
        <f t="shared" si="61"/>
        <v/>
      </c>
      <c r="K218" s="2056" t="str">
        <f t="shared" si="62"/>
        <v/>
      </c>
      <c r="M218" s="2056" t="str">
        <f t="shared" si="63"/>
        <v/>
      </c>
      <c r="O218" s="2056" t="str">
        <f t="shared" si="64"/>
        <v/>
      </c>
      <c r="Q218" s="2056" t="str">
        <f t="shared" si="58"/>
        <v/>
      </c>
      <c r="S218" s="2056" t="str">
        <f t="shared" si="65"/>
        <v/>
      </c>
      <c r="U218" s="2056" t="str">
        <f t="shared" si="66"/>
        <v/>
      </c>
      <c r="W218" s="2056" t="str">
        <f t="shared" si="59"/>
        <v/>
      </c>
      <c r="Y218" s="2056" t="str">
        <f t="shared" si="67"/>
        <v/>
      </c>
      <c r="AA218" s="2056" t="str">
        <f t="shared" si="68"/>
        <v/>
      </c>
      <c r="AC218" s="2056" t="str">
        <f t="shared" si="69"/>
        <v/>
      </c>
      <c r="AE218" s="2056" t="str">
        <f t="shared" si="70"/>
        <v/>
      </c>
      <c r="AG218" s="2056" t="str">
        <f t="shared" si="71"/>
        <v/>
      </c>
      <c r="AI218" s="2056" t="str">
        <f t="shared" si="72"/>
        <v/>
      </c>
      <c r="AK218" s="2056" t="str">
        <f t="shared" si="73"/>
        <v/>
      </c>
      <c r="AM218" s="2056" t="str">
        <f t="shared" si="74"/>
        <v/>
      </c>
      <c r="AO218" s="2056" t="str">
        <f t="shared" si="75"/>
        <v/>
      </c>
      <c r="AQ218" s="2056" t="str">
        <f t="shared" si="76"/>
        <v/>
      </c>
    </row>
    <row r="219" spans="5:43">
      <c r="E219" s="2056" t="str">
        <f t="shared" si="60"/>
        <v/>
      </c>
      <c r="G219" s="2056" t="str">
        <f t="shared" si="60"/>
        <v/>
      </c>
      <c r="I219" s="2056" t="str">
        <f t="shared" si="61"/>
        <v/>
      </c>
      <c r="K219" s="2056" t="str">
        <f t="shared" si="62"/>
        <v/>
      </c>
      <c r="M219" s="2056" t="str">
        <f t="shared" si="63"/>
        <v/>
      </c>
      <c r="O219" s="2056" t="str">
        <f t="shared" si="64"/>
        <v/>
      </c>
      <c r="Q219" s="2056" t="str">
        <f t="shared" si="58"/>
        <v/>
      </c>
      <c r="S219" s="2056" t="str">
        <f t="shared" si="65"/>
        <v/>
      </c>
      <c r="U219" s="2056" t="str">
        <f t="shared" si="66"/>
        <v/>
      </c>
      <c r="W219" s="2056" t="str">
        <f t="shared" si="59"/>
        <v/>
      </c>
      <c r="Y219" s="2056" t="str">
        <f t="shared" si="67"/>
        <v/>
      </c>
      <c r="AA219" s="2056" t="str">
        <f t="shared" si="68"/>
        <v/>
      </c>
      <c r="AC219" s="2056" t="str">
        <f t="shared" si="69"/>
        <v/>
      </c>
      <c r="AE219" s="2056" t="str">
        <f t="shared" si="70"/>
        <v/>
      </c>
      <c r="AG219" s="2056" t="str">
        <f t="shared" si="71"/>
        <v/>
      </c>
      <c r="AI219" s="2056" t="str">
        <f t="shared" si="72"/>
        <v/>
      </c>
      <c r="AK219" s="2056" t="str">
        <f t="shared" si="73"/>
        <v/>
      </c>
      <c r="AM219" s="2056" t="str">
        <f t="shared" si="74"/>
        <v/>
      </c>
      <c r="AO219" s="2056" t="str">
        <f t="shared" si="75"/>
        <v/>
      </c>
      <c r="AQ219" s="2056" t="str">
        <f t="shared" si="76"/>
        <v/>
      </c>
    </row>
    <row r="220" spans="5:43">
      <c r="E220" s="2056" t="str">
        <f t="shared" si="60"/>
        <v/>
      </c>
      <c r="G220" s="2056" t="str">
        <f t="shared" si="60"/>
        <v/>
      </c>
      <c r="I220" s="2056" t="str">
        <f t="shared" si="61"/>
        <v/>
      </c>
      <c r="K220" s="2056" t="str">
        <f t="shared" si="62"/>
        <v/>
      </c>
      <c r="M220" s="2056" t="str">
        <f t="shared" si="63"/>
        <v/>
      </c>
      <c r="O220" s="2056" t="str">
        <f t="shared" si="64"/>
        <v/>
      </c>
      <c r="Q220" s="2056" t="str">
        <f t="shared" si="58"/>
        <v/>
      </c>
      <c r="S220" s="2056" t="str">
        <f t="shared" si="65"/>
        <v/>
      </c>
      <c r="U220" s="2056" t="str">
        <f t="shared" si="66"/>
        <v/>
      </c>
      <c r="W220" s="2056" t="str">
        <f t="shared" si="59"/>
        <v/>
      </c>
      <c r="Y220" s="2056" t="str">
        <f t="shared" si="67"/>
        <v/>
      </c>
      <c r="AA220" s="2056" t="str">
        <f t="shared" si="68"/>
        <v/>
      </c>
      <c r="AC220" s="2056" t="str">
        <f t="shared" si="69"/>
        <v/>
      </c>
      <c r="AE220" s="2056" t="str">
        <f t="shared" si="70"/>
        <v/>
      </c>
      <c r="AG220" s="2056" t="str">
        <f t="shared" si="71"/>
        <v/>
      </c>
      <c r="AI220" s="2056" t="str">
        <f t="shared" si="72"/>
        <v/>
      </c>
      <c r="AK220" s="2056" t="str">
        <f t="shared" si="73"/>
        <v/>
      </c>
      <c r="AM220" s="2056" t="str">
        <f t="shared" si="74"/>
        <v/>
      </c>
      <c r="AO220" s="2056" t="str">
        <f t="shared" si="75"/>
        <v/>
      </c>
      <c r="AQ220" s="2056" t="str">
        <f t="shared" si="76"/>
        <v/>
      </c>
    </row>
    <row r="221" spans="5:43">
      <c r="E221" s="2056" t="str">
        <f t="shared" si="60"/>
        <v/>
      </c>
      <c r="G221" s="2056" t="str">
        <f t="shared" si="60"/>
        <v/>
      </c>
      <c r="I221" s="2056" t="str">
        <f t="shared" si="61"/>
        <v/>
      </c>
      <c r="K221" s="2056" t="str">
        <f t="shared" si="62"/>
        <v/>
      </c>
      <c r="M221" s="2056" t="str">
        <f t="shared" si="63"/>
        <v/>
      </c>
      <c r="O221" s="2056" t="str">
        <f t="shared" si="64"/>
        <v/>
      </c>
      <c r="Q221" s="2056" t="str">
        <f t="shared" si="58"/>
        <v/>
      </c>
      <c r="S221" s="2056" t="str">
        <f t="shared" si="65"/>
        <v/>
      </c>
      <c r="U221" s="2056" t="str">
        <f t="shared" si="66"/>
        <v/>
      </c>
      <c r="W221" s="2056" t="str">
        <f t="shared" si="59"/>
        <v/>
      </c>
      <c r="Y221" s="2056" t="str">
        <f t="shared" si="67"/>
        <v/>
      </c>
      <c r="AA221" s="2056" t="str">
        <f t="shared" si="68"/>
        <v/>
      </c>
      <c r="AC221" s="2056" t="str">
        <f t="shared" si="69"/>
        <v/>
      </c>
      <c r="AE221" s="2056" t="str">
        <f t="shared" si="70"/>
        <v/>
      </c>
      <c r="AG221" s="2056" t="str">
        <f t="shared" si="71"/>
        <v/>
      </c>
      <c r="AI221" s="2056" t="str">
        <f t="shared" si="72"/>
        <v/>
      </c>
      <c r="AK221" s="2056" t="str">
        <f t="shared" si="73"/>
        <v/>
      </c>
      <c r="AM221" s="2056" t="str">
        <f t="shared" si="74"/>
        <v/>
      </c>
      <c r="AO221" s="2056" t="str">
        <f t="shared" si="75"/>
        <v/>
      </c>
      <c r="AQ221" s="2056" t="str">
        <f t="shared" si="76"/>
        <v/>
      </c>
    </row>
    <row r="222" spans="5:43">
      <c r="E222" s="2056" t="str">
        <f t="shared" si="60"/>
        <v/>
      </c>
      <c r="G222" s="2056" t="str">
        <f t="shared" si="60"/>
        <v/>
      </c>
      <c r="I222" s="2056" t="str">
        <f t="shared" si="61"/>
        <v/>
      </c>
      <c r="K222" s="2056" t="str">
        <f t="shared" si="62"/>
        <v/>
      </c>
      <c r="M222" s="2056" t="str">
        <f t="shared" si="63"/>
        <v/>
      </c>
      <c r="O222" s="2056" t="str">
        <f t="shared" si="64"/>
        <v/>
      </c>
      <c r="Q222" s="2056" t="str">
        <f t="shared" si="58"/>
        <v/>
      </c>
      <c r="S222" s="2056" t="str">
        <f t="shared" si="65"/>
        <v/>
      </c>
      <c r="U222" s="2056" t="str">
        <f t="shared" si="66"/>
        <v/>
      </c>
      <c r="W222" s="2056" t="str">
        <f t="shared" si="59"/>
        <v/>
      </c>
      <c r="Y222" s="2056" t="str">
        <f t="shared" si="67"/>
        <v/>
      </c>
      <c r="AA222" s="2056" t="str">
        <f t="shared" si="68"/>
        <v/>
      </c>
      <c r="AC222" s="2056" t="str">
        <f t="shared" si="69"/>
        <v/>
      </c>
      <c r="AE222" s="2056" t="str">
        <f t="shared" si="70"/>
        <v/>
      </c>
      <c r="AG222" s="2056" t="str">
        <f t="shared" si="71"/>
        <v/>
      </c>
      <c r="AI222" s="2056" t="str">
        <f t="shared" si="72"/>
        <v/>
      </c>
      <c r="AK222" s="2056" t="str">
        <f t="shared" si="73"/>
        <v/>
      </c>
      <c r="AM222" s="2056" t="str">
        <f t="shared" si="74"/>
        <v/>
      </c>
      <c r="AO222" s="2056" t="str">
        <f t="shared" si="75"/>
        <v/>
      </c>
      <c r="AQ222" s="2056" t="str">
        <f t="shared" si="76"/>
        <v/>
      </c>
    </row>
    <row r="223" spans="5:43">
      <c r="E223" s="2056" t="str">
        <f t="shared" si="60"/>
        <v/>
      </c>
      <c r="G223" s="2056" t="str">
        <f t="shared" si="60"/>
        <v/>
      </c>
      <c r="I223" s="2056" t="str">
        <f t="shared" si="61"/>
        <v/>
      </c>
      <c r="K223" s="2056" t="str">
        <f t="shared" si="62"/>
        <v/>
      </c>
      <c r="M223" s="2056" t="str">
        <f t="shared" si="63"/>
        <v/>
      </c>
      <c r="O223" s="2056" t="str">
        <f t="shared" si="64"/>
        <v/>
      </c>
      <c r="Q223" s="2056" t="str">
        <f t="shared" si="58"/>
        <v/>
      </c>
      <c r="S223" s="2056" t="str">
        <f t="shared" si="65"/>
        <v/>
      </c>
      <c r="U223" s="2056" t="str">
        <f t="shared" si="66"/>
        <v/>
      </c>
      <c r="W223" s="2056" t="str">
        <f t="shared" si="59"/>
        <v/>
      </c>
      <c r="Y223" s="2056" t="str">
        <f t="shared" si="67"/>
        <v/>
      </c>
      <c r="AA223" s="2056" t="str">
        <f t="shared" si="68"/>
        <v/>
      </c>
      <c r="AC223" s="2056" t="str">
        <f t="shared" si="69"/>
        <v/>
      </c>
      <c r="AE223" s="2056" t="str">
        <f t="shared" si="70"/>
        <v/>
      </c>
      <c r="AG223" s="2056" t="str">
        <f t="shared" si="71"/>
        <v/>
      </c>
      <c r="AI223" s="2056" t="str">
        <f t="shared" si="72"/>
        <v/>
      </c>
      <c r="AK223" s="2056" t="str">
        <f t="shared" si="73"/>
        <v/>
      </c>
      <c r="AM223" s="2056" t="str">
        <f t="shared" si="74"/>
        <v/>
      </c>
      <c r="AO223" s="2056" t="str">
        <f t="shared" si="75"/>
        <v/>
      </c>
      <c r="AQ223" s="2056" t="str">
        <f t="shared" si="76"/>
        <v/>
      </c>
    </row>
    <row r="224" spans="5:43">
      <c r="E224" s="2056" t="str">
        <f t="shared" si="60"/>
        <v/>
      </c>
      <c r="G224" s="2056" t="str">
        <f t="shared" si="60"/>
        <v/>
      </c>
      <c r="I224" s="2056" t="str">
        <f t="shared" si="61"/>
        <v/>
      </c>
      <c r="K224" s="2056" t="str">
        <f t="shared" si="62"/>
        <v/>
      </c>
      <c r="M224" s="2056" t="str">
        <f t="shared" si="63"/>
        <v/>
      </c>
      <c r="O224" s="2056" t="str">
        <f t="shared" si="64"/>
        <v/>
      </c>
      <c r="Q224" s="2056" t="str">
        <f t="shared" si="58"/>
        <v/>
      </c>
      <c r="S224" s="2056" t="str">
        <f t="shared" si="65"/>
        <v/>
      </c>
      <c r="U224" s="2056" t="str">
        <f t="shared" si="66"/>
        <v/>
      </c>
      <c r="W224" s="2056" t="str">
        <f t="shared" si="59"/>
        <v/>
      </c>
      <c r="Y224" s="2056" t="str">
        <f t="shared" si="67"/>
        <v/>
      </c>
      <c r="AA224" s="2056" t="str">
        <f t="shared" si="68"/>
        <v/>
      </c>
      <c r="AC224" s="2056" t="str">
        <f t="shared" si="69"/>
        <v/>
      </c>
      <c r="AE224" s="2056" t="str">
        <f t="shared" si="70"/>
        <v/>
      </c>
      <c r="AG224" s="2056" t="str">
        <f t="shared" si="71"/>
        <v/>
      </c>
      <c r="AI224" s="2056" t="str">
        <f t="shared" si="72"/>
        <v/>
      </c>
      <c r="AK224" s="2056" t="str">
        <f t="shared" si="73"/>
        <v/>
      </c>
      <c r="AM224" s="2056" t="str">
        <f t="shared" si="74"/>
        <v/>
      </c>
      <c r="AO224" s="2056" t="str">
        <f t="shared" si="75"/>
        <v/>
      </c>
      <c r="AQ224" s="2056" t="str">
        <f t="shared" si="76"/>
        <v/>
      </c>
    </row>
    <row r="225" spans="5:43">
      <c r="E225" s="2056" t="str">
        <f t="shared" si="60"/>
        <v/>
      </c>
      <c r="G225" s="2056" t="str">
        <f t="shared" si="60"/>
        <v/>
      </c>
      <c r="I225" s="2056" t="str">
        <f t="shared" si="61"/>
        <v/>
      </c>
      <c r="K225" s="2056" t="str">
        <f t="shared" si="62"/>
        <v/>
      </c>
      <c r="M225" s="2056" t="str">
        <f t="shared" si="63"/>
        <v/>
      </c>
      <c r="O225" s="2056" t="str">
        <f t="shared" si="64"/>
        <v/>
      </c>
      <c r="Q225" s="2056" t="str">
        <f t="shared" si="58"/>
        <v/>
      </c>
      <c r="S225" s="2056" t="str">
        <f t="shared" si="65"/>
        <v/>
      </c>
      <c r="U225" s="2056" t="str">
        <f t="shared" si="66"/>
        <v/>
      </c>
      <c r="W225" s="2056" t="str">
        <f t="shared" si="59"/>
        <v/>
      </c>
      <c r="Y225" s="2056" t="str">
        <f t="shared" si="67"/>
        <v/>
      </c>
      <c r="AA225" s="2056" t="str">
        <f t="shared" si="68"/>
        <v/>
      </c>
      <c r="AC225" s="2056" t="str">
        <f t="shared" si="69"/>
        <v/>
      </c>
      <c r="AE225" s="2056" t="str">
        <f t="shared" si="70"/>
        <v/>
      </c>
      <c r="AG225" s="2056" t="str">
        <f t="shared" si="71"/>
        <v/>
      </c>
      <c r="AI225" s="2056" t="str">
        <f t="shared" si="72"/>
        <v/>
      </c>
      <c r="AK225" s="2056" t="str">
        <f t="shared" si="73"/>
        <v/>
      </c>
      <c r="AM225" s="2056" t="str">
        <f t="shared" si="74"/>
        <v/>
      </c>
      <c r="AO225" s="2056" t="str">
        <f t="shared" si="75"/>
        <v/>
      </c>
      <c r="AQ225" s="2056" t="str">
        <f t="shared" si="76"/>
        <v/>
      </c>
    </row>
    <row r="226" spans="5:43">
      <c r="E226" s="2056" t="str">
        <f t="shared" si="60"/>
        <v/>
      </c>
      <c r="G226" s="2056" t="str">
        <f t="shared" si="60"/>
        <v/>
      </c>
      <c r="I226" s="2056" t="str">
        <f t="shared" si="61"/>
        <v/>
      </c>
      <c r="K226" s="2056" t="str">
        <f t="shared" si="62"/>
        <v/>
      </c>
      <c r="M226" s="2056" t="str">
        <f t="shared" si="63"/>
        <v/>
      </c>
      <c r="O226" s="2056" t="str">
        <f t="shared" si="64"/>
        <v/>
      </c>
      <c r="Q226" s="2056" t="str">
        <f t="shared" si="58"/>
        <v/>
      </c>
      <c r="S226" s="2056" t="str">
        <f t="shared" si="65"/>
        <v/>
      </c>
      <c r="U226" s="2056" t="str">
        <f t="shared" si="66"/>
        <v/>
      </c>
      <c r="W226" s="2056" t="str">
        <f t="shared" si="59"/>
        <v/>
      </c>
      <c r="Y226" s="2056" t="str">
        <f t="shared" si="67"/>
        <v/>
      </c>
      <c r="AA226" s="2056" t="str">
        <f t="shared" si="68"/>
        <v/>
      </c>
      <c r="AC226" s="2056" t="str">
        <f t="shared" si="69"/>
        <v/>
      </c>
      <c r="AE226" s="2056" t="str">
        <f t="shared" si="70"/>
        <v/>
      </c>
      <c r="AG226" s="2056" t="str">
        <f t="shared" si="71"/>
        <v/>
      </c>
      <c r="AI226" s="2056" t="str">
        <f t="shared" si="72"/>
        <v/>
      </c>
      <c r="AK226" s="2056" t="str">
        <f t="shared" si="73"/>
        <v/>
      </c>
      <c r="AM226" s="2056" t="str">
        <f t="shared" si="74"/>
        <v/>
      </c>
      <c r="AO226" s="2056" t="str">
        <f t="shared" si="75"/>
        <v/>
      </c>
      <c r="AQ226" s="2056" t="str">
        <f t="shared" si="76"/>
        <v/>
      </c>
    </row>
    <row r="227" spans="5:43">
      <c r="E227" s="2056" t="str">
        <f t="shared" si="60"/>
        <v/>
      </c>
      <c r="G227" s="2056" t="str">
        <f t="shared" si="60"/>
        <v/>
      </c>
      <c r="I227" s="2056" t="str">
        <f t="shared" si="61"/>
        <v/>
      </c>
      <c r="K227" s="2056" t="str">
        <f t="shared" si="62"/>
        <v/>
      </c>
      <c r="M227" s="2056" t="str">
        <f t="shared" si="63"/>
        <v/>
      </c>
      <c r="O227" s="2056" t="str">
        <f t="shared" si="64"/>
        <v/>
      </c>
      <c r="Q227" s="2056" t="str">
        <f t="shared" si="58"/>
        <v/>
      </c>
      <c r="S227" s="2056" t="str">
        <f t="shared" si="65"/>
        <v/>
      </c>
      <c r="U227" s="2056" t="str">
        <f t="shared" si="66"/>
        <v/>
      </c>
      <c r="W227" s="2056" t="str">
        <f t="shared" si="59"/>
        <v/>
      </c>
      <c r="Y227" s="2056" t="str">
        <f t="shared" si="67"/>
        <v/>
      </c>
      <c r="AA227" s="2056" t="str">
        <f t="shared" si="68"/>
        <v/>
      </c>
      <c r="AC227" s="2056" t="str">
        <f t="shared" si="69"/>
        <v/>
      </c>
      <c r="AE227" s="2056" t="str">
        <f t="shared" si="70"/>
        <v/>
      </c>
      <c r="AG227" s="2056" t="str">
        <f t="shared" si="71"/>
        <v/>
      </c>
      <c r="AI227" s="2056" t="str">
        <f t="shared" si="72"/>
        <v/>
      </c>
      <c r="AK227" s="2056" t="str">
        <f t="shared" si="73"/>
        <v/>
      </c>
      <c r="AM227" s="2056" t="str">
        <f t="shared" si="74"/>
        <v/>
      </c>
      <c r="AO227" s="2056" t="str">
        <f t="shared" si="75"/>
        <v/>
      </c>
      <c r="AQ227" s="2056" t="str">
        <f t="shared" si="76"/>
        <v/>
      </c>
    </row>
    <row r="228" spans="5:43">
      <c r="E228" s="2056" t="str">
        <f t="shared" si="60"/>
        <v/>
      </c>
      <c r="G228" s="2056" t="str">
        <f t="shared" si="60"/>
        <v/>
      </c>
      <c r="I228" s="2056" t="str">
        <f t="shared" si="61"/>
        <v/>
      </c>
      <c r="K228" s="2056" t="str">
        <f t="shared" si="62"/>
        <v/>
      </c>
      <c r="M228" s="2056" t="str">
        <f t="shared" si="63"/>
        <v/>
      </c>
      <c r="O228" s="2056" t="str">
        <f t="shared" si="64"/>
        <v/>
      </c>
      <c r="Q228" s="2056" t="str">
        <f t="shared" si="58"/>
        <v/>
      </c>
      <c r="S228" s="2056" t="str">
        <f t="shared" si="65"/>
        <v/>
      </c>
      <c r="U228" s="2056" t="str">
        <f t="shared" si="66"/>
        <v/>
      </c>
      <c r="W228" s="2056" t="str">
        <f t="shared" si="59"/>
        <v/>
      </c>
      <c r="Y228" s="2056" t="str">
        <f t="shared" si="67"/>
        <v/>
      </c>
      <c r="AA228" s="2056" t="str">
        <f t="shared" si="68"/>
        <v/>
      </c>
      <c r="AC228" s="2056" t="str">
        <f t="shared" si="69"/>
        <v/>
      </c>
      <c r="AE228" s="2056" t="str">
        <f t="shared" si="70"/>
        <v/>
      </c>
      <c r="AG228" s="2056" t="str">
        <f t="shared" si="71"/>
        <v/>
      </c>
      <c r="AI228" s="2056" t="str">
        <f t="shared" si="72"/>
        <v/>
      </c>
      <c r="AK228" s="2056" t="str">
        <f t="shared" si="73"/>
        <v/>
      </c>
      <c r="AM228" s="2056" t="str">
        <f t="shared" si="74"/>
        <v/>
      </c>
      <c r="AO228" s="2056" t="str">
        <f t="shared" si="75"/>
        <v/>
      </c>
      <c r="AQ228" s="2056" t="str">
        <f t="shared" si="76"/>
        <v/>
      </c>
    </row>
    <row r="229" spans="5:43">
      <c r="E229" s="2056" t="str">
        <f t="shared" si="60"/>
        <v/>
      </c>
      <c r="G229" s="2056" t="str">
        <f t="shared" si="60"/>
        <v/>
      </c>
      <c r="I229" s="2056" t="str">
        <f t="shared" si="61"/>
        <v/>
      </c>
      <c r="K229" s="2056" t="str">
        <f t="shared" si="62"/>
        <v/>
      </c>
      <c r="M229" s="2056" t="str">
        <f t="shared" si="63"/>
        <v/>
      </c>
      <c r="O229" s="2056" t="str">
        <f t="shared" si="64"/>
        <v/>
      </c>
      <c r="Q229" s="2056" t="str">
        <f t="shared" si="58"/>
        <v/>
      </c>
      <c r="S229" s="2056" t="str">
        <f t="shared" si="65"/>
        <v/>
      </c>
      <c r="U229" s="2056" t="str">
        <f t="shared" si="66"/>
        <v/>
      </c>
      <c r="W229" s="2056" t="str">
        <f t="shared" si="59"/>
        <v/>
      </c>
      <c r="Y229" s="2056" t="str">
        <f t="shared" si="67"/>
        <v/>
      </c>
      <c r="AA229" s="2056" t="str">
        <f t="shared" si="68"/>
        <v/>
      </c>
      <c r="AC229" s="2056" t="str">
        <f t="shared" si="69"/>
        <v/>
      </c>
      <c r="AE229" s="2056" t="str">
        <f t="shared" si="70"/>
        <v/>
      </c>
      <c r="AG229" s="2056" t="str">
        <f t="shared" si="71"/>
        <v/>
      </c>
      <c r="AI229" s="2056" t="str">
        <f t="shared" si="72"/>
        <v/>
      </c>
      <c r="AK229" s="2056" t="str">
        <f t="shared" si="73"/>
        <v/>
      </c>
      <c r="AM229" s="2056" t="str">
        <f t="shared" si="74"/>
        <v/>
      </c>
      <c r="AO229" s="2056" t="str">
        <f t="shared" si="75"/>
        <v/>
      </c>
      <c r="AQ229" s="2056" t="str">
        <f t="shared" si="76"/>
        <v/>
      </c>
    </row>
    <row r="230" spans="5:43">
      <c r="E230" s="2056" t="str">
        <f t="shared" si="60"/>
        <v/>
      </c>
      <c r="G230" s="2056" t="str">
        <f t="shared" si="60"/>
        <v/>
      </c>
      <c r="I230" s="2056" t="str">
        <f t="shared" si="61"/>
        <v/>
      </c>
      <c r="K230" s="2056" t="str">
        <f t="shared" si="62"/>
        <v/>
      </c>
      <c r="M230" s="2056" t="str">
        <f t="shared" si="63"/>
        <v/>
      </c>
      <c r="O230" s="2056" t="str">
        <f t="shared" si="64"/>
        <v/>
      </c>
      <c r="Q230" s="2056" t="str">
        <f t="shared" si="58"/>
        <v/>
      </c>
      <c r="S230" s="2056" t="str">
        <f t="shared" si="65"/>
        <v/>
      </c>
      <c r="U230" s="2056" t="str">
        <f t="shared" si="66"/>
        <v/>
      </c>
      <c r="W230" s="2056" t="str">
        <f t="shared" si="59"/>
        <v/>
      </c>
      <c r="Y230" s="2056" t="str">
        <f t="shared" si="67"/>
        <v/>
      </c>
      <c r="AA230" s="2056" t="str">
        <f t="shared" si="68"/>
        <v/>
      </c>
      <c r="AC230" s="2056" t="str">
        <f t="shared" si="69"/>
        <v/>
      </c>
      <c r="AE230" s="2056" t="str">
        <f t="shared" si="70"/>
        <v/>
      </c>
      <c r="AG230" s="2056" t="str">
        <f t="shared" si="71"/>
        <v/>
      </c>
      <c r="AI230" s="2056" t="str">
        <f t="shared" si="72"/>
        <v/>
      </c>
      <c r="AK230" s="2056" t="str">
        <f t="shared" si="73"/>
        <v/>
      </c>
      <c r="AM230" s="2056" t="str">
        <f t="shared" si="74"/>
        <v/>
      </c>
      <c r="AO230" s="2056" t="str">
        <f t="shared" si="75"/>
        <v/>
      </c>
      <c r="AQ230" s="2056" t="str">
        <f t="shared" si="76"/>
        <v/>
      </c>
    </row>
    <row r="231" spans="5:43">
      <c r="E231" s="2056" t="str">
        <f t="shared" si="60"/>
        <v/>
      </c>
      <c r="G231" s="2056" t="str">
        <f t="shared" si="60"/>
        <v/>
      </c>
      <c r="I231" s="2056" t="str">
        <f t="shared" si="61"/>
        <v/>
      </c>
      <c r="K231" s="2056" t="str">
        <f t="shared" si="62"/>
        <v/>
      </c>
      <c r="M231" s="2056" t="str">
        <f t="shared" si="63"/>
        <v/>
      </c>
      <c r="O231" s="2056" t="str">
        <f t="shared" si="64"/>
        <v/>
      </c>
      <c r="Q231" s="2056" t="str">
        <f t="shared" si="58"/>
        <v/>
      </c>
      <c r="S231" s="2056" t="str">
        <f t="shared" si="65"/>
        <v/>
      </c>
      <c r="U231" s="2056" t="str">
        <f t="shared" si="66"/>
        <v/>
      </c>
      <c r="W231" s="2056" t="str">
        <f t="shared" si="59"/>
        <v/>
      </c>
      <c r="Y231" s="2056" t="str">
        <f t="shared" si="67"/>
        <v/>
      </c>
      <c r="AA231" s="2056" t="str">
        <f t="shared" si="68"/>
        <v/>
      </c>
      <c r="AC231" s="2056" t="str">
        <f t="shared" si="69"/>
        <v/>
      </c>
      <c r="AE231" s="2056" t="str">
        <f t="shared" si="70"/>
        <v/>
      </c>
      <c r="AG231" s="2056" t="str">
        <f t="shared" si="71"/>
        <v/>
      </c>
      <c r="AI231" s="2056" t="str">
        <f t="shared" si="72"/>
        <v/>
      </c>
      <c r="AK231" s="2056" t="str">
        <f t="shared" si="73"/>
        <v/>
      </c>
      <c r="AM231" s="2056" t="str">
        <f t="shared" si="74"/>
        <v/>
      </c>
      <c r="AO231" s="2056" t="str">
        <f t="shared" si="75"/>
        <v/>
      </c>
      <c r="AQ231" s="2056" t="str">
        <f t="shared" si="76"/>
        <v/>
      </c>
    </row>
    <row r="232" spans="5:43">
      <c r="E232" s="2056" t="str">
        <f t="shared" si="60"/>
        <v/>
      </c>
      <c r="G232" s="2056" t="str">
        <f t="shared" si="60"/>
        <v/>
      </c>
      <c r="I232" s="2056" t="str">
        <f t="shared" si="61"/>
        <v/>
      </c>
      <c r="K232" s="2056" t="str">
        <f t="shared" si="62"/>
        <v/>
      </c>
      <c r="M232" s="2056" t="str">
        <f t="shared" si="63"/>
        <v/>
      </c>
      <c r="O232" s="2056" t="str">
        <f t="shared" si="64"/>
        <v/>
      </c>
      <c r="Q232" s="2056" t="str">
        <f t="shared" si="58"/>
        <v/>
      </c>
      <c r="S232" s="2056" t="str">
        <f t="shared" si="65"/>
        <v/>
      </c>
      <c r="U232" s="2056" t="str">
        <f t="shared" si="66"/>
        <v/>
      </c>
      <c r="W232" s="2056" t="str">
        <f t="shared" si="59"/>
        <v/>
      </c>
      <c r="Y232" s="2056" t="str">
        <f t="shared" si="67"/>
        <v/>
      </c>
      <c r="AA232" s="2056" t="str">
        <f t="shared" si="68"/>
        <v/>
      </c>
      <c r="AC232" s="2056" t="str">
        <f t="shared" si="69"/>
        <v/>
      </c>
      <c r="AE232" s="2056" t="str">
        <f t="shared" si="70"/>
        <v/>
      </c>
      <c r="AG232" s="2056" t="str">
        <f t="shared" si="71"/>
        <v/>
      </c>
      <c r="AI232" s="2056" t="str">
        <f t="shared" si="72"/>
        <v/>
      </c>
      <c r="AK232" s="2056" t="str">
        <f t="shared" si="73"/>
        <v/>
      </c>
      <c r="AM232" s="2056" t="str">
        <f t="shared" si="74"/>
        <v/>
      </c>
      <c r="AO232" s="2056" t="str">
        <f t="shared" si="75"/>
        <v/>
      </c>
      <c r="AQ232" s="2056" t="str">
        <f t="shared" si="76"/>
        <v/>
      </c>
    </row>
    <row r="233" spans="5:43">
      <c r="E233" s="2056" t="str">
        <f t="shared" si="60"/>
        <v/>
      </c>
      <c r="G233" s="2056" t="str">
        <f t="shared" si="60"/>
        <v/>
      </c>
      <c r="I233" s="2056" t="str">
        <f t="shared" si="61"/>
        <v/>
      </c>
      <c r="K233" s="2056" t="str">
        <f t="shared" si="62"/>
        <v/>
      </c>
      <c r="M233" s="2056" t="str">
        <f t="shared" si="63"/>
        <v/>
      </c>
      <c r="O233" s="2056" t="str">
        <f t="shared" si="64"/>
        <v/>
      </c>
      <c r="Q233" s="2056" t="str">
        <f t="shared" si="58"/>
        <v/>
      </c>
      <c r="S233" s="2056" t="str">
        <f t="shared" si="65"/>
        <v/>
      </c>
      <c r="U233" s="2056" t="str">
        <f t="shared" si="66"/>
        <v/>
      </c>
      <c r="W233" s="2056" t="str">
        <f t="shared" si="59"/>
        <v/>
      </c>
      <c r="Y233" s="2056" t="str">
        <f t="shared" si="67"/>
        <v/>
      </c>
      <c r="AA233" s="2056" t="str">
        <f t="shared" si="68"/>
        <v/>
      </c>
      <c r="AC233" s="2056" t="str">
        <f t="shared" si="69"/>
        <v/>
      </c>
      <c r="AE233" s="2056" t="str">
        <f t="shared" si="70"/>
        <v/>
      </c>
      <c r="AG233" s="2056" t="str">
        <f t="shared" si="71"/>
        <v/>
      </c>
      <c r="AI233" s="2056" t="str">
        <f t="shared" si="72"/>
        <v/>
      </c>
      <c r="AK233" s="2056" t="str">
        <f t="shared" si="73"/>
        <v/>
      </c>
      <c r="AM233" s="2056" t="str">
        <f t="shared" si="74"/>
        <v/>
      </c>
      <c r="AO233" s="2056" t="str">
        <f t="shared" si="75"/>
        <v/>
      </c>
      <c r="AQ233" s="2056" t="str">
        <f t="shared" si="76"/>
        <v/>
      </c>
    </row>
    <row r="234" spans="5:43">
      <c r="E234" s="2056" t="str">
        <f t="shared" si="60"/>
        <v/>
      </c>
      <c r="G234" s="2056" t="str">
        <f t="shared" si="60"/>
        <v/>
      </c>
      <c r="I234" s="2056" t="str">
        <f t="shared" si="61"/>
        <v/>
      </c>
      <c r="K234" s="2056" t="str">
        <f t="shared" si="62"/>
        <v/>
      </c>
      <c r="M234" s="2056" t="str">
        <f t="shared" si="63"/>
        <v/>
      </c>
      <c r="O234" s="2056" t="str">
        <f t="shared" si="64"/>
        <v/>
      </c>
      <c r="Q234" s="2056" t="str">
        <f t="shared" si="58"/>
        <v/>
      </c>
      <c r="S234" s="2056" t="str">
        <f t="shared" si="65"/>
        <v/>
      </c>
      <c r="U234" s="2056" t="str">
        <f t="shared" si="66"/>
        <v/>
      </c>
      <c r="W234" s="2056" t="str">
        <f t="shared" si="59"/>
        <v/>
      </c>
      <c r="Y234" s="2056" t="str">
        <f t="shared" si="67"/>
        <v/>
      </c>
      <c r="AA234" s="2056" t="str">
        <f t="shared" si="68"/>
        <v/>
      </c>
      <c r="AC234" s="2056" t="str">
        <f t="shared" si="69"/>
        <v/>
      </c>
      <c r="AE234" s="2056" t="str">
        <f t="shared" si="70"/>
        <v/>
      </c>
      <c r="AG234" s="2056" t="str">
        <f t="shared" si="71"/>
        <v/>
      </c>
      <c r="AI234" s="2056" t="str">
        <f t="shared" si="72"/>
        <v/>
      </c>
      <c r="AK234" s="2056" t="str">
        <f t="shared" si="73"/>
        <v/>
      </c>
      <c r="AM234" s="2056" t="str">
        <f t="shared" si="74"/>
        <v/>
      </c>
      <c r="AO234" s="2056" t="str">
        <f t="shared" si="75"/>
        <v/>
      </c>
      <c r="AQ234" s="2056" t="str">
        <f t="shared" si="76"/>
        <v/>
      </c>
    </row>
    <row r="235" spans="5:43">
      <c r="E235" s="2056" t="str">
        <f t="shared" si="60"/>
        <v/>
      </c>
      <c r="G235" s="2056" t="str">
        <f t="shared" si="60"/>
        <v/>
      </c>
      <c r="I235" s="2056" t="str">
        <f t="shared" si="61"/>
        <v/>
      </c>
      <c r="K235" s="2056" t="str">
        <f t="shared" si="62"/>
        <v/>
      </c>
      <c r="M235" s="2056" t="str">
        <f t="shared" si="63"/>
        <v/>
      </c>
      <c r="O235" s="2056" t="str">
        <f t="shared" si="64"/>
        <v/>
      </c>
      <c r="Q235" s="2056" t="str">
        <f t="shared" si="58"/>
        <v/>
      </c>
      <c r="S235" s="2056" t="str">
        <f t="shared" si="65"/>
        <v/>
      </c>
      <c r="U235" s="2056" t="str">
        <f t="shared" si="66"/>
        <v/>
      </c>
      <c r="W235" s="2056" t="str">
        <f t="shared" si="59"/>
        <v/>
      </c>
      <c r="Y235" s="2056" t="str">
        <f t="shared" si="67"/>
        <v/>
      </c>
      <c r="AA235" s="2056" t="str">
        <f t="shared" si="68"/>
        <v/>
      </c>
      <c r="AC235" s="2056" t="str">
        <f t="shared" si="69"/>
        <v/>
      </c>
      <c r="AE235" s="2056" t="str">
        <f t="shared" si="70"/>
        <v/>
      </c>
      <c r="AG235" s="2056" t="str">
        <f t="shared" si="71"/>
        <v/>
      </c>
      <c r="AI235" s="2056" t="str">
        <f t="shared" si="72"/>
        <v/>
      </c>
      <c r="AK235" s="2056" t="str">
        <f t="shared" si="73"/>
        <v/>
      </c>
      <c r="AM235" s="2056" t="str">
        <f t="shared" si="74"/>
        <v/>
      </c>
      <c r="AO235" s="2056" t="str">
        <f t="shared" si="75"/>
        <v/>
      </c>
      <c r="AQ235" s="2056" t="str">
        <f t="shared" si="76"/>
        <v/>
      </c>
    </row>
    <row r="236" spans="5:43">
      <c r="E236" s="2056" t="str">
        <f t="shared" si="60"/>
        <v/>
      </c>
      <c r="G236" s="2056" t="str">
        <f t="shared" si="60"/>
        <v/>
      </c>
      <c r="I236" s="2056" t="str">
        <f t="shared" si="61"/>
        <v/>
      </c>
      <c r="K236" s="2056" t="str">
        <f t="shared" si="62"/>
        <v/>
      </c>
      <c r="M236" s="2056" t="str">
        <f t="shared" si="63"/>
        <v/>
      </c>
      <c r="O236" s="2056" t="str">
        <f t="shared" si="64"/>
        <v/>
      </c>
      <c r="Q236" s="2056" t="str">
        <f t="shared" si="58"/>
        <v/>
      </c>
      <c r="S236" s="2056" t="str">
        <f t="shared" si="65"/>
        <v/>
      </c>
      <c r="U236" s="2056" t="str">
        <f t="shared" si="66"/>
        <v/>
      </c>
      <c r="W236" s="2056" t="str">
        <f t="shared" si="59"/>
        <v/>
      </c>
      <c r="Y236" s="2056" t="str">
        <f t="shared" si="67"/>
        <v/>
      </c>
      <c r="AA236" s="2056" t="str">
        <f t="shared" si="68"/>
        <v/>
      </c>
      <c r="AC236" s="2056" t="str">
        <f t="shared" si="69"/>
        <v/>
      </c>
      <c r="AE236" s="2056" t="str">
        <f t="shared" si="70"/>
        <v/>
      </c>
      <c r="AG236" s="2056" t="str">
        <f t="shared" si="71"/>
        <v/>
      </c>
      <c r="AI236" s="2056" t="str">
        <f t="shared" si="72"/>
        <v/>
      </c>
      <c r="AK236" s="2056" t="str">
        <f t="shared" si="73"/>
        <v/>
      </c>
      <c r="AM236" s="2056" t="str">
        <f t="shared" si="74"/>
        <v/>
      </c>
      <c r="AO236" s="2056" t="str">
        <f t="shared" si="75"/>
        <v/>
      </c>
      <c r="AQ236" s="2056" t="str">
        <f t="shared" si="76"/>
        <v/>
      </c>
    </row>
    <row r="237" spans="5:43">
      <c r="E237" s="2056" t="str">
        <f t="shared" si="60"/>
        <v/>
      </c>
      <c r="G237" s="2056" t="str">
        <f t="shared" si="60"/>
        <v/>
      </c>
      <c r="I237" s="2056" t="str">
        <f t="shared" si="61"/>
        <v/>
      </c>
      <c r="K237" s="2056" t="str">
        <f t="shared" si="62"/>
        <v/>
      </c>
      <c r="M237" s="2056" t="str">
        <f t="shared" si="63"/>
        <v/>
      </c>
      <c r="O237" s="2056" t="str">
        <f t="shared" si="64"/>
        <v/>
      </c>
      <c r="Q237" s="2056" t="str">
        <f t="shared" si="58"/>
        <v/>
      </c>
      <c r="S237" s="2056" t="str">
        <f t="shared" si="65"/>
        <v/>
      </c>
      <c r="U237" s="2056" t="str">
        <f t="shared" si="66"/>
        <v/>
      </c>
      <c r="W237" s="2056" t="str">
        <f t="shared" si="59"/>
        <v/>
      </c>
      <c r="Y237" s="2056" t="str">
        <f t="shared" si="67"/>
        <v/>
      </c>
      <c r="AA237" s="2056" t="str">
        <f t="shared" si="68"/>
        <v/>
      </c>
      <c r="AC237" s="2056" t="str">
        <f t="shared" si="69"/>
        <v/>
      </c>
      <c r="AE237" s="2056" t="str">
        <f t="shared" si="70"/>
        <v/>
      </c>
      <c r="AG237" s="2056" t="str">
        <f t="shared" si="71"/>
        <v/>
      </c>
      <c r="AI237" s="2056" t="str">
        <f t="shared" si="72"/>
        <v/>
      </c>
      <c r="AK237" s="2056" t="str">
        <f t="shared" si="73"/>
        <v/>
      </c>
      <c r="AM237" s="2056" t="str">
        <f t="shared" si="74"/>
        <v/>
      </c>
      <c r="AO237" s="2056" t="str">
        <f t="shared" si="75"/>
        <v/>
      </c>
      <c r="AQ237" s="2056" t="str">
        <f t="shared" si="76"/>
        <v/>
      </c>
    </row>
    <row r="238" spans="5:43">
      <c r="E238" s="2056" t="str">
        <f t="shared" si="60"/>
        <v/>
      </c>
      <c r="G238" s="2056" t="str">
        <f t="shared" si="60"/>
        <v/>
      </c>
      <c r="I238" s="2056" t="str">
        <f t="shared" si="61"/>
        <v/>
      </c>
      <c r="K238" s="2056" t="str">
        <f t="shared" si="62"/>
        <v/>
      </c>
      <c r="M238" s="2056" t="str">
        <f t="shared" si="63"/>
        <v/>
      </c>
      <c r="O238" s="2056" t="str">
        <f t="shared" si="64"/>
        <v/>
      </c>
      <c r="Q238" s="2056" t="str">
        <f t="shared" si="58"/>
        <v/>
      </c>
      <c r="S238" s="2056" t="str">
        <f t="shared" si="65"/>
        <v/>
      </c>
      <c r="U238" s="2056" t="str">
        <f t="shared" si="66"/>
        <v/>
      </c>
      <c r="W238" s="2056" t="str">
        <f t="shared" si="59"/>
        <v/>
      </c>
      <c r="Y238" s="2056" t="str">
        <f t="shared" si="67"/>
        <v/>
      </c>
      <c r="AA238" s="2056" t="str">
        <f t="shared" si="68"/>
        <v/>
      </c>
      <c r="AC238" s="2056" t="str">
        <f t="shared" si="69"/>
        <v/>
      </c>
      <c r="AE238" s="2056" t="str">
        <f t="shared" si="70"/>
        <v/>
      </c>
      <c r="AG238" s="2056" t="str">
        <f t="shared" si="71"/>
        <v/>
      </c>
      <c r="AI238" s="2056" t="str">
        <f t="shared" si="72"/>
        <v/>
      </c>
      <c r="AK238" s="2056" t="str">
        <f t="shared" si="73"/>
        <v/>
      </c>
      <c r="AM238" s="2056" t="str">
        <f t="shared" si="74"/>
        <v/>
      </c>
      <c r="AO238" s="2056" t="str">
        <f t="shared" si="75"/>
        <v/>
      </c>
      <c r="AQ238" s="2056" t="str">
        <f t="shared" si="76"/>
        <v/>
      </c>
    </row>
    <row r="239" spans="5:43">
      <c r="E239" s="2056" t="str">
        <f t="shared" si="60"/>
        <v/>
      </c>
      <c r="G239" s="2056" t="str">
        <f t="shared" si="60"/>
        <v/>
      </c>
      <c r="I239" s="2056" t="str">
        <f t="shared" si="61"/>
        <v/>
      </c>
      <c r="K239" s="2056" t="str">
        <f t="shared" si="62"/>
        <v/>
      </c>
      <c r="M239" s="2056" t="str">
        <f t="shared" si="63"/>
        <v/>
      </c>
      <c r="O239" s="2056" t="str">
        <f t="shared" si="64"/>
        <v/>
      </c>
      <c r="Q239" s="2056" t="str">
        <f t="shared" si="58"/>
        <v/>
      </c>
      <c r="S239" s="2056" t="str">
        <f t="shared" si="65"/>
        <v/>
      </c>
      <c r="U239" s="2056" t="str">
        <f t="shared" si="66"/>
        <v/>
      </c>
      <c r="W239" s="2056" t="str">
        <f t="shared" si="59"/>
        <v/>
      </c>
      <c r="Y239" s="2056" t="str">
        <f t="shared" si="67"/>
        <v/>
      </c>
      <c r="AA239" s="2056" t="str">
        <f t="shared" si="68"/>
        <v/>
      </c>
      <c r="AC239" s="2056" t="str">
        <f t="shared" si="69"/>
        <v/>
      </c>
      <c r="AE239" s="2056" t="str">
        <f t="shared" si="70"/>
        <v/>
      </c>
      <c r="AG239" s="2056" t="str">
        <f t="shared" si="71"/>
        <v/>
      </c>
      <c r="AI239" s="2056" t="str">
        <f t="shared" si="72"/>
        <v/>
      </c>
      <c r="AK239" s="2056" t="str">
        <f t="shared" si="73"/>
        <v/>
      </c>
      <c r="AM239" s="2056" t="str">
        <f t="shared" si="74"/>
        <v/>
      </c>
      <c r="AO239" s="2056" t="str">
        <f t="shared" si="75"/>
        <v/>
      </c>
      <c r="AQ239" s="2056" t="str">
        <f t="shared" si="76"/>
        <v/>
      </c>
    </row>
    <row r="240" spans="5:43">
      <c r="E240" s="2056" t="str">
        <f t="shared" si="60"/>
        <v/>
      </c>
      <c r="G240" s="2056" t="str">
        <f t="shared" si="60"/>
        <v/>
      </c>
      <c r="I240" s="2056" t="str">
        <f t="shared" si="61"/>
        <v/>
      </c>
      <c r="K240" s="2056" t="str">
        <f t="shared" si="62"/>
        <v/>
      </c>
      <c r="M240" s="2056" t="str">
        <f t="shared" si="63"/>
        <v/>
      </c>
      <c r="O240" s="2056" t="str">
        <f t="shared" si="64"/>
        <v/>
      </c>
      <c r="Q240" s="2056" t="str">
        <f t="shared" si="58"/>
        <v/>
      </c>
      <c r="S240" s="2056" t="str">
        <f t="shared" si="65"/>
        <v/>
      </c>
      <c r="U240" s="2056" t="str">
        <f t="shared" si="66"/>
        <v/>
      </c>
      <c r="W240" s="2056" t="str">
        <f t="shared" si="59"/>
        <v/>
      </c>
      <c r="Y240" s="2056" t="str">
        <f t="shared" si="67"/>
        <v/>
      </c>
      <c r="AA240" s="2056" t="str">
        <f t="shared" si="68"/>
        <v/>
      </c>
      <c r="AC240" s="2056" t="str">
        <f t="shared" si="69"/>
        <v/>
      </c>
      <c r="AE240" s="2056" t="str">
        <f t="shared" si="70"/>
        <v/>
      </c>
      <c r="AG240" s="2056" t="str">
        <f t="shared" si="71"/>
        <v/>
      </c>
      <c r="AI240" s="2056" t="str">
        <f t="shared" si="72"/>
        <v/>
      </c>
      <c r="AK240" s="2056" t="str">
        <f t="shared" si="73"/>
        <v/>
      </c>
      <c r="AM240" s="2056" t="str">
        <f t="shared" si="74"/>
        <v/>
      </c>
      <c r="AO240" s="2056" t="str">
        <f t="shared" si="75"/>
        <v/>
      </c>
      <c r="AQ240" s="2056" t="str">
        <f t="shared" si="76"/>
        <v/>
      </c>
    </row>
    <row r="241" spans="5:43">
      <c r="E241" s="2056" t="str">
        <f t="shared" si="60"/>
        <v/>
      </c>
      <c r="G241" s="2056" t="str">
        <f t="shared" si="60"/>
        <v/>
      </c>
      <c r="I241" s="2056" t="str">
        <f t="shared" si="61"/>
        <v/>
      </c>
      <c r="K241" s="2056" t="str">
        <f t="shared" si="62"/>
        <v/>
      </c>
      <c r="M241" s="2056" t="str">
        <f t="shared" si="63"/>
        <v/>
      </c>
      <c r="O241" s="2056" t="str">
        <f t="shared" si="64"/>
        <v/>
      </c>
      <c r="Q241" s="2056" t="str">
        <f t="shared" si="58"/>
        <v/>
      </c>
      <c r="S241" s="2056" t="str">
        <f t="shared" si="65"/>
        <v/>
      </c>
      <c r="U241" s="2056" t="str">
        <f t="shared" si="66"/>
        <v/>
      </c>
      <c r="W241" s="2056" t="str">
        <f t="shared" si="59"/>
        <v/>
      </c>
      <c r="Y241" s="2056" t="str">
        <f t="shared" si="67"/>
        <v/>
      </c>
      <c r="AA241" s="2056" t="str">
        <f t="shared" si="68"/>
        <v/>
      </c>
      <c r="AC241" s="2056" t="str">
        <f t="shared" si="69"/>
        <v/>
      </c>
      <c r="AE241" s="2056" t="str">
        <f t="shared" si="70"/>
        <v/>
      </c>
      <c r="AG241" s="2056" t="str">
        <f t="shared" si="71"/>
        <v/>
      </c>
      <c r="AI241" s="2056" t="str">
        <f t="shared" si="72"/>
        <v/>
      </c>
      <c r="AK241" s="2056" t="str">
        <f t="shared" si="73"/>
        <v/>
      </c>
      <c r="AM241" s="2056" t="str">
        <f t="shared" si="74"/>
        <v/>
      </c>
      <c r="AO241" s="2056" t="str">
        <f t="shared" si="75"/>
        <v/>
      </c>
      <c r="AQ241" s="2056" t="str">
        <f t="shared" si="76"/>
        <v/>
      </c>
    </row>
    <row r="242" spans="5:43">
      <c r="E242" s="2056" t="str">
        <f t="shared" si="60"/>
        <v/>
      </c>
      <c r="G242" s="2056" t="str">
        <f t="shared" si="60"/>
        <v/>
      </c>
      <c r="I242" s="2056" t="str">
        <f t="shared" si="61"/>
        <v/>
      </c>
      <c r="K242" s="2056" t="str">
        <f t="shared" si="62"/>
        <v/>
      </c>
      <c r="M242" s="2056" t="str">
        <f t="shared" si="63"/>
        <v/>
      </c>
      <c r="O242" s="2056" t="str">
        <f t="shared" si="64"/>
        <v/>
      </c>
      <c r="Q242" s="2056" t="str">
        <f t="shared" si="58"/>
        <v/>
      </c>
      <c r="S242" s="2056" t="str">
        <f t="shared" si="65"/>
        <v/>
      </c>
      <c r="U242" s="2056" t="str">
        <f t="shared" si="66"/>
        <v/>
      </c>
      <c r="W242" s="2056" t="str">
        <f t="shared" si="59"/>
        <v/>
      </c>
      <c r="Y242" s="2056" t="str">
        <f t="shared" si="67"/>
        <v/>
      </c>
      <c r="AA242" s="2056" t="str">
        <f t="shared" si="68"/>
        <v/>
      </c>
      <c r="AC242" s="2056" t="str">
        <f t="shared" si="69"/>
        <v/>
      </c>
      <c r="AE242" s="2056" t="str">
        <f t="shared" si="70"/>
        <v/>
      </c>
      <c r="AG242" s="2056" t="str">
        <f t="shared" si="71"/>
        <v/>
      </c>
      <c r="AI242" s="2056" t="str">
        <f t="shared" si="72"/>
        <v/>
      </c>
      <c r="AK242" s="2056" t="str">
        <f t="shared" si="73"/>
        <v/>
      </c>
      <c r="AM242" s="2056" t="str">
        <f t="shared" si="74"/>
        <v/>
      </c>
      <c r="AO242" s="2056" t="str">
        <f t="shared" si="75"/>
        <v/>
      </c>
      <c r="AQ242" s="2056" t="str">
        <f t="shared" si="76"/>
        <v/>
      </c>
    </row>
    <row r="243" spans="5:43">
      <c r="E243" s="2056" t="str">
        <f t="shared" si="60"/>
        <v/>
      </c>
      <c r="G243" s="2056" t="str">
        <f t="shared" si="60"/>
        <v/>
      </c>
      <c r="I243" s="2056" t="str">
        <f t="shared" si="61"/>
        <v/>
      </c>
      <c r="K243" s="2056" t="str">
        <f t="shared" si="62"/>
        <v/>
      </c>
      <c r="M243" s="2056" t="str">
        <f t="shared" si="63"/>
        <v/>
      </c>
      <c r="O243" s="2056" t="str">
        <f t="shared" si="64"/>
        <v/>
      </c>
      <c r="Q243" s="2056" t="str">
        <f t="shared" si="58"/>
        <v/>
      </c>
      <c r="S243" s="2056" t="str">
        <f t="shared" si="65"/>
        <v/>
      </c>
      <c r="U243" s="2056" t="str">
        <f t="shared" si="66"/>
        <v/>
      </c>
      <c r="W243" s="2056" t="str">
        <f t="shared" si="59"/>
        <v/>
      </c>
      <c r="Y243" s="2056" t="str">
        <f t="shared" si="67"/>
        <v/>
      </c>
      <c r="AA243" s="2056" t="str">
        <f t="shared" si="68"/>
        <v/>
      </c>
      <c r="AC243" s="2056" t="str">
        <f t="shared" si="69"/>
        <v/>
      </c>
      <c r="AE243" s="2056" t="str">
        <f t="shared" si="70"/>
        <v/>
      </c>
      <c r="AG243" s="2056" t="str">
        <f t="shared" si="71"/>
        <v/>
      </c>
      <c r="AI243" s="2056" t="str">
        <f t="shared" si="72"/>
        <v/>
      </c>
      <c r="AK243" s="2056" t="str">
        <f t="shared" si="73"/>
        <v/>
      </c>
      <c r="AM243" s="2056" t="str">
        <f t="shared" si="74"/>
        <v/>
      </c>
      <c r="AO243" s="2056" t="str">
        <f t="shared" si="75"/>
        <v/>
      </c>
      <c r="AQ243" s="2056" t="str">
        <f t="shared" si="76"/>
        <v/>
      </c>
    </row>
    <row r="244" spans="5:43">
      <c r="E244" s="2056" t="str">
        <f t="shared" si="60"/>
        <v/>
      </c>
      <c r="G244" s="2056" t="str">
        <f t="shared" si="60"/>
        <v/>
      </c>
      <c r="I244" s="2056" t="str">
        <f t="shared" si="61"/>
        <v/>
      </c>
      <c r="K244" s="2056" t="str">
        <f t="shared" si="62"/>
        <v/>
      </c>
      <c r="M244" s="2056" t="str">
        <f t="shared" si="63"/>
        <v/>
      </c>
      <c r="O244" s="2056" t="str">
        <f t="shared" si="64"/>
        <v/>
      </c>
      <c r="Q244" s="2056" t="str">
        <f t="shared" si="58"/>
        <v/>
      </c>
      <c r="S244" s="2056" t="str">
        <f t="shared" si="65"/>
        <v/>
      </c>
      <c r="U244" s="2056" t="str">
        <f t="shared" si="66"/>
        <v/>
      </c>
      <c r="W244" s="2056" t="str">
        <f t="shared" si="59"/>
        <v/>
      </c>
      <c r="Y244" s="2056" t="str">
        <f t="shared" si="67"/>
        <v/>
      </c>
      <c r="AA244" s="2056" t="str">
        <f t="shared" si="68"/>
        <v/>
      </c>
      <c r="AC244" s="2056" t="str">
        <f t="shared" si="69"/>
        <v/>
      </c>
      <c r="AE244" s="2056" t="str">
        <f t="shared" si="70"/>
        <v/>
      </c>
      <c r="AG244" s="2056" t="str">
        <f t="shared" si="71"/>
        <v/>
      </c>
      <c r="AI244" s="2056" t="str">
        <f t="shared" si="72"/>
        <v/>
      </c>
      <c r="AK244" s="2056" t="str">
        <f t="shared" si="73"/>
        <v/>
      </c>
      <c r="AM244" s="2056" t="str">
        <f t="shared" si="74"/>
        <v/>
      </c>
      <c r="AO244" s="2056" t="str">
        <f t="shared" si="75"/>
        <v/>
      </c>
      <c r="AQ244" s="2056" t="str">
        <f t="shared" si="76"/>
        <v/>
      </c>
    </row>
    <row r="245" spans="5:43">
      <c r="E245" s="2056" t="str">
        <f t="shared" si="60"/>
        <v/>
      </c>
      <c r="G245" s="2056" t="str">
        <f t="shared" si="60"/>
        <v/>
      </c>
      <c r="I245" s="2056" t="str">
        <f t="shared" si="61"/>
        <v/>
      </c>
      <c r="K245" s="2056" t="str">
        <f t="shared" si="62"/>
        <v/>
      </c>
      <c r="M245" s="2056" t="str">
        <f t="shared" si="63"/>
        <v/>
      </c>
      <c r="O245" s="2056" t="str">
        <f t="shared" si="64"/>
        <v/>
      </c>
      <c r="Q245" s="2056" t="str">
        <f t="shared" si="58"/>
        <v/>
      </c>
      <c r="S245" s="2056" t="str">
        <f t="shared" si="65"/>
        <v/>
      </c>
      <c r="U245" s="2056" t="str">
        <f t="shared" si="66"/>
        <v/>
      </c>
      <c r="W245" s="2056" t="str">
        <f t="shared" si="59"/>
        <v/>
      </c>
      <c r="Y245" s="2056" t="str">
        <f t="shared" si="67"/>
        <v/>
      </c>
      <c r="AA245" s="2056" t="str">
        <f t="shared" si="68"/>
        <v/>
      </c>
      <c r="AC245" s="2056" t="str">
        <f t="shared" si="69"/>
        <v/>
      </c>
      <c r="AE245" s="2056" t="str">
        <f t="shared" si="70"/>
        <v/>
      </c>
      <c r="AG245" s="2056" t="str">
        <f t="shared" si="71"/>
        <v/>
      </c>
      <c r="AI245" s="2056" t="str">
        <f t="shared" si="72"/>
        <v/>
      </c>
      <c r="AK245" s="2056" t="str">
        <f t="shared" si="73"/>
        <v/>
      </c>
      <c r="AM245" s="2056" t="str">
        <f t="shared" si="74"/>
        <v/>
      </c>
      <c r="AO245" s="2056" t="str">
        <f t="shared" si="75"/>
        <v/>
      </c>
      <c r="AQ245" s="2056" t="str">
        <f t="shared" si="76"/>
        <v/>
      </c>
    </row>
    <row r="246" spans="5:43">
      <c r="E246" s="2056" t="str">
        <f t="shared" si="60"/>
        <v/>
      </c>
      <c r="G246" s="2056" t="str">
        <f t="shared" si="60"/>
        <v/>
      </c>
      <c r="I246" s="2056" t="str">
        <f t="shared" si="61"/>
        <v/>
      </c>
      <c r="K246" s="2056" t="str">
        <f t="shared" si="62"/>
        <v/>
      </c>
      <c r="M246" s="2056" t="str">
        <f t="shared" si="63"/>
        <v/>
      </c>
      <c r="O246" s="2056" t="str">
        <f t="shared" si="64"/>
        <v/>
      </c>
      <c r="Q246" s="2056" t="str">
        <f t="shared" ref="Q246:Q300" si="77">IF(OR($B246=0,P246=0),"",P246/$B246)</f>
        <v/>
      </c>
      <c r="S246" s="2056" t="str">
        <f t="shared" si="65"/>
        <v/>
      </c>
      <c r="U246" s="2056" t="str">
        <f t="shared" si="66"/>
        <v/>
      </c>
      <c r="W246" s="2056" t="str">
        <f t="shared" si="59"/>
        <v/>
      </c>
      <c r="Y246" s="2056" t="str">
        <f t="shared" si="67"/>
        <v/>
      </c>
      <c r="AA246" s="2056" t="str">
        <f t="shared" si="68"/>
        <v/>
      </c>
      <c r="AC246" s="2056" t="str">
        <f t="shared" si="69"/>
        <v/>
      </c>
      <c r="AE246" s="2056" t="str">
        <f t="shared" si="70"/>
        <v/>
      </c>
      <c r="AG246" s="2056" t="str">
        <f t="shared" si="71"/>
        <v/>
      </c>
      <c r="AI246" s="2056" t="str">
        <f t="shared" si="72"/>
        <v/>
      </c>
      <c r="AK246" s="2056" t="str">
        <f t="shared" si="73"/>
        <v/>
      </c>
      <c r="AM246" s="2056" t="str">
        <f t="shared" si="74"/>
        <v/>
      </c>
      <c r="AO246" s="2056" t="str">
        <f t="shared" si="75"/>
        <v/>
      </c>
      <c r="AQ246" s="2056" t="str">
        <f t="shared" si="76"/>
        <v/>
      </c>
    </row>
    <row r="247" spans="5:43">
      <c r="E247" s="2056" t="str">
        <f t="shared" si="60"/>
        <v/>
      </c>
      <c r="G247" s="2056" t="str">
        <f t="shared" si="60"/>
        <v/>
      </c>
      <c r="I247" s="2056" t="str">
        <f t="shared" si="61"/>
        <v/>
      </c>
      <c r="K247" s="2056" t="str">
        <f t="shared" si="62"/>
        <v/>
      </c>
      <c r="M247" s="2056" t="str">
        <f t="shared" si="63"/>
        <v/>
      </c>
      <c r="O247" s="2056" t="str">
        <f t="shared" si="64"/>
        <v/>
      </c>
      <c r="Q247" s="2056" t="str">
        <f t="shared" si="77"/>
        <v/>
      </c>
      <c r="S247" s="2056" t="str">
        <f t="shared" si="65"/>
        <v/>
      </c>
      <c r="U247" s="2056" t="str">
        <f t="shared" si="66"/>
        <v/>
      </c>
      <c r="W247" s="2056" t="str">
        <f t="shared" si="59"/>
        <v/>
      </c>
      <c r="Y247" s="2056" t="str">
        <f t="shared" si="67"/>
        <v/>
      </c>
      <c r="AA247" s="2056" t="str">
        <f t="shared" si="68"/>
        <v/>
      </c>
      <c r="AC247" s="2056" t="str">
        <f t="shared" si="69"/>
        <v/>
      </c>
      <c r="AE247" s="2056" t="str">
        <f t="shared" si="70"/>
        <v/>
      </c>
      <c r="AG247" s="2056" t="str">
        <f t="shared" si="71"/>
        <v/>
      </c>
      <c r="AI247" s="2056" t="str">
        <f t="shared" si="72"/>
        <v/>
      </c>
      <c r="AK247" s="2056" t="str">
        <f t="shared" si="73"/>
        <v/>
      </c>
      <c r="AM247" s="2056" t="str">
        <f t="shared" si="74"/>
        <v/>
      </c>
      <c r="AO247" s="2056" t="str">
        <f t="shared" si="75"/>
        <v/>
      </c>
      <c r="AQ247" s="2056" t="str">
        <f t="shared" si="76"/>
        <v/>
      </c>
    </row>
    <row r="248" spans="5:43">
      <c r="E248" s="2056" t="str">
        <f t="shared" si="60"/>
        <v/>
      </c>
      <c r="G248" s="2056" t="str">
        <f t="shared" si="60"/>
        <v/>
      </c>
      <c r="I248" s="2056" t="str">
        <f t="shared" si="61"/>
        <v/>
      </c>
      <c r="K248" s="2056" t="str">
        <f t="shared" si="62"/>
        <v/>
      </c>
      <c r="M248" s="2056" t="str">
        <f t="shared" si="63"/>
        <v/>
      </c>
      <c r="O248" s="2056" t="str">
        <f t="shared" si="64"/>
        <v/>
      </c>
      <c r="Q248" s="2056" t="str">
        <f t="shared" si="77"/>
        <v/>
      </c>
      <c r="S248" s="2056" t="str">
        <f t="shared" si="65"/>
        <v/>
      </c>
      <c r="U248" s="2056" t="str">
        <f t="shared" si="66"/>
        <v/>
      </c>
      <c r="W248" s="2056" t="str">
        <f t="shared" si="59"/>
        <v/>
      </c>
      <c r="Y248" s="2056" t="str">
        <f t="shared" si="67"/>
        <v/>
      </c>
      <c r="AA248" s="2056" t="str">
        <f t="shared" si="68"/>
        <v/>
      </c>
      <c r="AC248" s="2056" t="str">
        <f t="shared" si="69"/>
        <v/>
      </c>
      <c r="AE248" s="2056" t="str">
        <f t="shared" si="70"/>
        <v/>
      </c>
      <c r="AG248" s="2056" t="str">
        <f t="shared" si="71"/>
        <v/>
      </c>
      <c r="AI248" s="2056" t="str">
        <f t="shared" si="72"/>
        <v/>
      </c>
      <c r="AK248" s="2056" t="str">
        <f t="shared" si="73"/>
        <v/>
      </c>
      <c r="AM248" s="2056" t="str">
        <f t="shared" si="74"/>
        <v/>
      </c>
      <c r="AO248" s="2056" t="str">
        <f t="shared" si="75"/>
        <v/>
      </c>
      <c r="AQ248" s="2056" t="str">
        <f t="shared" si="76"/>
        <v/>
      </c>
    </row>
    <row r="249" spans="5:43">
      <c r="E249" s="2056" t="str">
        <f t="shared" si="60"/>
        <v/>
      </c>
      <c r="G249" s="2056" t="str">
        <f t="shared" si="60"/>
        <v/>
      </c>
      <c r="I249" s="2056" t="str">
        <f t="shared" si="61"/>
        <v/>
      </c>
      <c r="K249" s="2056" t="str">
        <f t="shared" si="62"/>
        <v/>
      </c>
      <c r="M249" s="2056" t="str">
        <f t="shared" si="63"/>
        <v/>
      </c>
      <c r="O249" s="2056" t="str">
        <f t="shared" si="64"/>
        <v/>
      </c>
      <c r="Q249" s="2056" t="str">
        <f t="shared" si="77"/>
        <v/>
      </c>
      <c r="S249" s="2056" t="str">
        <f t="shared" si="65"/>
        <v/>
      </c>
      <c r="U249" s="2056" t="str">
        <f t="shared" si="66"/>
        <v/>
      </c>
      <c r="W249" s="2056" t="str">
        <f t="shared" si="59"/>
        <v/>
      </c>
      <c r="Y249" s="2056" t="str">
        <f t="shared" si="67"/>
        <v/>
      </c>
      <c r="AA249" s="2056" t="str">
        <f t="shared" si="68"/>
        <v/>
      </c>
      <c r="AC249" s="2056" t="str">
        <f t="shared" si="69"/>
        <v/>
      </c>
      <c r="AE249" s="2056" t="str">
        <f t="shared" si="70"/>
        <v/>
      </c>
      <c r="AG249" s="2056" t="str">
        <f t="shared" si="71"/>
        <v/>
      </c>
      <c r="AI249" s="2056" t="str">
        <f t="shared" si="72"/>
        <v/>
      </c>
      <c r="AK249" s="2056" t="str">
        <f t="shared" si="73"/>
        <v/>
      </c>
      <c r="AM249" s="2056" t="str">
        <f t="shared" si="74"/>
        <v/>
      </c>
      <c r="AO249" s="2056" t="str">
        <f t="shared" si="75"/>
        <v/>
      </c>
      <c r="AQ249" s="2056" t="str">
        <f t="shared" si="76"/>
        <v/>
      </c>
    </row>
    <row r="250" spans="5:43">
      <c r="E250" s="2056" t="str">
        <f t="shared" si="60"/>
        <v/>
      </c>
      <c r="G250" s="2056" t="str">
        <f t="shared" si="60"/>
        <v/>
      </c>
      <c r="I250" s="2056" t="str">
        <f t="shared" si="61"/>
        <v/>
      </c>
      <c r="K250" s="2056" t="str">
        <f t="shared" si="62"/>
        <v/>
      </c>
      <c r="M250" s="2056" t="str">
        <f t="shared" si="63"/>
        <v/>
      </c>
      <c r="O250" s="2056" t="str">
        <f t="shared" si="64"/>
        <v/>
      </c>
      <c r="Q250" s="2056" t="str">
        <f t="shared" si="77"/>
        <v/>
      </c>
      <c r="S250" s="2056" t="str">
        <f t="shared" si="65"/>
        <v/>
      </c>
      <c r="U250" s="2056" t="str">
        <f t="shared" si="66"/>
        <v/>
      </c>
      <c r="W250" s="2056" t="str">
        <f t="shared" si="59"/>
        <v/>
      </c>
      <c r="Y250" s="2056" t="str">
        <f t="shared" si="67"/>
        <v/>
      </c>
      <c r="AA250" s="2056" t="str">
        <f t="shared" si="68"/>
        <v/>
      </c>
      <c r="AC250" s="2056" t="str">
        <f t="shared" si="69"/>
        <v/>
      </c>
      <c r="AE250" s="2056" t="str">
        <f t="shared" si="70"/>
        <v/>
      </c>
      <c r="AG250" s="2056" t="str">
        <f t="shared" si="71"/>
        <v/>
      </c>
      <c r="AI250" s="2056" t="str">
        <f t="shared" si="72"/>
        <v/>
      </c>
      <c r="AK250" s="2056" t="str">
        <f t="shared" si="73"/>
        <v/>
      </c>
      <c r="AM250" s="2056" t="str">
        <f t="shared" si="74"/>
        <v/>
      </c>
      <c r="AO250" s="2056" t="str">
        <f t="shared" si="75"/>
        <v/>
      </c>
      <c r="AQ250" s="2056" t="str">
        <f t="shared" si="76"/>
        <v/>
      </c>
    </row>
    <row r="251" spans="5:43">
      <c r="E251" s="2056" t="str">
        <f t="shared" si="60"/>
        <v/>
      </c>
      <c r="G251" s="2056" t="str">
        <f t="shared" si="60"/>
        <v/>
      </c>
      <c r="I251" s="2056" t="str">
        <f t="shared" si="61"/>
        <v/>
      </c>
      <c r="K251" s="2056" t="str">
        <f t="shared" si="62"/>
        <v/>
      </c>
      <c r="M251" s="2056" t="str">
        <f t="shared" si="63"/>
        <v/>
      </c>
      <c r="O251" s="2056" t="str">
        <f t="shared" si="64"/>
        <v/>
      </c>
      <c r="Q251" s="2056" t="str">
        <f t="shared" si="77"/>
        <v/>
      </c>
      <c r="S251" s="2056" t="str">
        <f t="shared" si="65"/>
        <v/>
      </c>
      <c r="U251" s="2056" t="str">
        <f t="shared" si="66"/>
        <v/>
      </c>
      <c r="W251" s="2056" t="str">
        <f t="shared" si="59"/>
        <v/>
      </c>
      <c r="Y251" s="2056" t="str">
        <f t="shared" si="67"/>
        <v/>
      </c>
      <c r="AA251" s="2056" t="str">
        <f t="shared" si="68"/>
        <v/>
      </c>
      <c r="AC251" s="2056" t="str">
        <f t="shared" si="69"/>
        <v/>
      </c>
      <c r="AE251" s="2056" t="str">
        <f t="shared" si="70"/>
        <v/>
      </c>
      <c r="AG251" s="2056" t="str">
        <f t="shared" si="71"/>
        <v/>
      </c>
      <c r="AI251" s="2056" t="str">
        <f t="shared" si="72"/>
        <v/>
      </c>
      <c r="AK251" s="2056" t="str">
        <f t="shared" si="73"/>
        <v/>
      </c>
      <c r="AM251" s="2056" t="str">
        <f t="shared" si="74"/>
        <v/>
      </c>
      <c r="AO251" s="2056" t="str">
        <f t="shared" si="75"/>
        <v/>
      </c>
      <c r="AQ251" s="2056" t="str">
        <f t="shared" si="76"/>
        <v/>
      </c>
    </row>
    <row r="252" spans="5:43">
      <c r="E252" s="2056" t="str">
        <f t="shared" si="60"/>
        <v/>
      </c>
      <c r="G252" s="2056" t="str">
        <f t="shared" si="60"/>
        <v/>
      </c>
      <c r="I252" s="2056" t="str">
        <f t="shared" si="61"/>
        <v/>
      </c>
      <c r="K252" s="2056" t="str">
        <f t="shared" si="62"/>
        <v/>
      </c>
      <c r="M252" s="2056" t="str">
        <f t="shared" si="63"/>
        <v/>
      </c>
      <c r="O252" s="2056" t="str">
        <f t="shared" si="64"/>
        <v/>
      </c>
      <c r="Q252" s="2056" t="str">
        <f t="shared" si="77"/>
        <v/>
      </c>
      <c r="S252" s="2056" t="str">
        <f t="shared" si="65"/>
        <v/>
      </c>
      <c r="U252" s="2056" t="str">
        <f t="shared" si="66"/>
        <v/>
      </c>
      <c r="W252" s="2056" t="str">
        <f t="shared" si="59"/>
        <v/>
      </c>
      <c r="Y252" s="2056" t="str">
        <f t="shared" si="67"/>
        <v/>
      </c>
      <c r="AA252" s="2056" t="str">
        <f t="shared" si="68"/>
        <v/>
      </c>
      <c r="AC252" s="2056" t="str">
        <f t="shared" si="69"/>
        <v/>
      </c>
      <c r="AE252" s="2056" t="str">
        <f t="shared" si="70"/>
        <v/>
      </c>
      <c r="AG252" s="2056" t="str">
        <f t="shared" si="71"/>
        <v/>
      </c>
      <c r="AI252" s="2056" t="str">
        <f t="shared" si="72"/>
        <v/>
      </c>
      <c r="AK252" s="2056" t="str">
        <f t="shared" si="73"/>
        <v/>
      </c>
      <c r="AM252" s="2056" t="str">
        <f t="shared" si="74"/>
        <v/>
      </c>
      <c r="AO252" s="2056" t="str">
        <f t="shared" si="75"/>
        <v/>
      </c>
      <c r="AQ252" s="2056" t="str">
        <f t="shared" si="76"/>
        <v/>
      </c>
    </row>
    <row r="253" spans="5:43">
      <c r="E253" s="2056" t="str">
        <f t="shared" si="60"/>
        <v/>
      </c>
      <c r="G253" s="2056" t="str">
        <f t="shared" si="60"/>
        <v/>
      </c>
      <c r="I253" s="2056" t="str">
        <f t="shared" si="61"/>
        <v/>
      </c>
      <c r="K253" s="2056" t="str">
        <f t="shared" si="62"/>
        <v/>
      </c>
      <c r="M253" s="2056" t="str">
        <f t="shared" si="63"/>
        <v/>
      </c>
      <c r="O253" s="2056" t="str">
        <f t="shared" si="64"/>
        <v/>
      </c>
      <c r="Q253" s="2056" t="str">
        <f t="shared" si="77"/>
        <v/>
      </c>
      <c r="S253" s="2056" t="str">
        <f t="shared" si="65"/>
        <v/>
      </c>
      <c r="U253" s="2056" t="str">
        <f t="shared" si="66"/>
        <v/>
      </c>
      <c r="W253" s="2056" t="str">
        <f t="shared" si="59"/>
        <v/>
      </c>
      <c r="Y253" s="2056" t="str">
        <f t="shared" si="67"/>
        <v/>
      </c>
      <c r="AA253" s="2056" t="str">
        <f t="shared" si="68"/>
        <v/>
      </c>
      <c r="AC253" s="2056" t="str">
        <f t="shared" si="69"/>
        <v/>
      </c>
      <c r="AE253" s="2056" t="str">
        <f t="shared" si="70"/>
        <v/>
      </c>
      <c r="AG253" s="2056" t="str">
        <f t="shared" si="71"/>
        <v/>
      </c>
      <c r="AI253" s="2056" t="str">
        <f t="shared" si="72"/>
        <v/>
      </c>
      <c r="AK253" s="2056" t="str">
        <f t="shared" si="73"/>
        <v/>
      </c>
      <c r="AM253" s="2056" t="str">
        <f t="shared" si="74"/>
        <v/>
      </c>
      <c r="AO253" s="2056" t="str">
        <f t="shared" si="75"/>
        <v/>
      </c>
      <c r="AQ253" s="2056" t="str">
        <f t="shared" si="76"/>
        <v/>
      </c>
    </row>
    <row r="254" spans="5:43">
      <c r="E254" s="2056" t="str">
        <f t="shared" si="60"/>
        <v/>
      </c>
      <c r="G254" s="2056" t="str">
        <f t="shared" si="60"/>
        <v/>
      </c>
      <c r="I254" s="2056" t="str">
        <f t="shared" si="61"/>
        <v/>
      </c>
      <c r="K254" s="2056" t="str">
        <f t="shared" si="62"/>
        <v/>
      </c>
      <c r="M254" s="2056" t="str">
        <f t="shared" si="63"/>
        <v/>
      </c>
      <c r="O254" s="2056" t="str">
        <f t="shared" si="64"/>
        <v/>
      </c>
      <c r="Q254" s="2056" t="str">
        <f t="shared" si="77"/>
        <v/>
      </c>
      <c r="S254" s="2056" t="str">
        <f t="shared" si="65"/>
        <v/>
      </c>
      <c r="U254" s="2056" t="str">
        <f t="shared" si="66"/>
        <v/>
      </c>
      <c r="W254" s="2056" t="str">
        <f t="shared" si="59"/>
        <v/>
      </c>
      <c r="Y254" s="2056" t="str">
        <f t="shared" si="67"/>
        <v/>
      </c>
      <c r="AA254" s="2056" t="str">
        <f t="shared" si="68"/>
        <v/>
      </c>
      <c r="AC254" s="2056" t="str">
        <f t="shared" si="69"/>
        <v/>
      </c>
      <c r="AE254" s="2056" t="str">
        <f t="shared" si="70"/>
        <v/>
      </c>
      <c r="AG254" s="2056" t="str">
        <f t="shared" si="71"/>
        <v/>
      </c>
      <c r="AI254" s="2056" t="str">
        <f t="shared" si="72"/>
        <v/>
      </c>
      <c r="AK254" s="2056" t="str">
        <f t="shared" si="73"/>
        <v/>
      </c>
      <c r="AM254" s="2056" t="str">
        <f t="shared" si="74"/>
        <v/>
      </c>
      <c r="AO254" s="2056" t="str">
        <f t="shared" si="75"/>
        <v/>
      </c>
      <c r="AQ254" s="2056" t="str">
        <f t="shared" si="76"/>
        <v/>
      </c>
    </row>
    <row r="255" spans="5:43">
      <c r="E255" s="2056" t="str">
        <f t="shared" si="60"/>
        <v/>
      </c>
      <c r="G255" s="2056" t="str">
        <f t="shared" si="60"/>
        <v/>
      </c>
      <c r="I255" s="2056" t="str">
        <f t="shared" si="61"/>
        <v/>
      </c>
      <c r="K255" s="2056" t="str">
        <f t="shared" si="62"/>
        <v/>
      </c>
      <c r="M255" s="2056" t="str">
        <f t="shared" si="63"/>
        <v/>
      </c>
      <c r="O255" s="2056" t="str">
        <f t="shared" si="64"/>
        <v/>
      </c>
      <c r="Q255" s="2056" t="str">
        <f t="shared" si="77"/>
        <v/>
      </c>
      <c r="S255" s="2056" t="str">
        <f t="shared" si="65"/>
        <v/>
      </c>
      <c r="U255" s="2056" t="str">
        <f t="shared" si="66"/>
        <v/>
      </c>
      <c r="W255" s="2056" t="str">
        <f t="shared" ref="W255:W300" si="78">IF(OR($B255=0,V255=0),"",V255/$B255)</f>
        <v/>
      </c>
      <c r="Y255" s="2056" t="str">
        <f t="shared" si="67"/>
        <v/>
      </c>
      <c r="AA255" s="2056" t="str">
        <f t="shared" si="68"/>
        <v/>
      </c>
      <c r="AC255" s="2056" t="str">
        <f t="shared" si="69"/>
        <v/>
      </c>
      <c r="AE255" s="2056" t="str">
        <f t="shared" si="70"/>
        <v/>
      </c>
      <c r="AG255" s="2056" t="str">
        <f t="shared" si="71"/>
        <v/>
      </c>
      <c r="AI255" s="2056" t="str">
        <f t="shared" si="72"/>
        <v/>
      </c>
      <c r="AK255" s="2056" t="str">
        <f t="shared" si="73"/>
        <v/>
      </c>
      <c r="AM255" s="2056" t="str">
        <f t="shared" si="74"/>
        <v/>
      </c>
      <c r="AO255" s="2056" t="str">
        <f t="shared" si="75"/>
        <v/>
      </c>
      <c r="AQ255" s="2056" t="str">
        <f t="shared" si="76"/>
        <v/>
      </c>
    </row>
    <row r="256" spans="5:43">
      <c r="E256" s="2056" t="str">
        <f t="shared" si="60"/>
        <v/>
      </c>
      <c r="G256" s="2056" t="str">
        <f t="shared" si="60"/>
        <v/>
      </c>
      <c r="I256" s="2056" t="str">
        <f t="shared" si="61"/>
        <v/>
      </c>
      <c r="K256" s="2056" t="str">
        <f t="shared" si="62"/>
        <v/>
      </c>
      <c r="M256" s="2056" t="str">
        <f t="shared" si="63"/>
        <v/>
      </c>
      <c r="O256" s="2056" t="str">
        <f t="shared" si="64"/>
        <v/>
      </c>
      <c r="Q256" s="2056" t="str">
        <f t="shared" si="77"/>
        <v/>
      </c>
      <c r="S256" s="2056" t="str">
        <f t="shared" si="65"/>
        <v/>
      </c>
      <c r="U256" s="2056" t="str">
        <f t="shared" si="66"/>
        <v/>
      </c>
      <c r="W256" s="2056" t="str">
        <f t="shared" si="78"/>
        <v/>
      </c>
      <c r="Y256" s="2056" t="str">
        <f t="shared" si="67"/>
        <v/>
      </c>
      <c r="AA256" s="2056" t="str">
        <f t="shared" si="68"/>
        <v/>
      </c>
      <c r="AC256" s="2056" t="str">
        <f t="shared" si="69"/>
        <v/>
      </c>
      <c r="AE256" s="2056" t="str">
        <f t="shared" si="70"/>
        <v/>
      </c>
      <c r="AG256" s="2056" t="str">
        <f t="shared" si="71"/>
        <v/>
      </c>
      <c r="AI256" s="2056" t="str">
        <f t="shared" si="72"/>
        <v/>
      </c>
      <c r="AK256" s="2056" t="str">
        <f t="shared" si="73"/>
        <v/>
      </c>
      <c r="AM256" s="2056" t="str">
        <f t="shared" si="74"/>
        <v/>
      </c>
      <c r="AO256" s="2056" t="str">
        <f t="shared" si="75"/>
        <v/>
      </c>
      <c r="AQ256" s="2056" t="str">
        <f t="shared" si="76"/>
        <v/>
      </c>
    </row>
    <row r="257" spans="5:43">
      <c r="E257" s="2056" t="str">
        <f t="shared" si="60"/>
        <v/>
      </c>
      <c r="G257" s="2056" t="str">
        <f t="shared" si="60"/>
        <v/>
      </c>
      <c r="I257" s="2056" t="str">
        <f t="shared" si="61"/>
        <v/>
      </c>
      <c r="K257" s="2056" t="str">
        <f t="shared" si="62"/>
        <v/>
      </c>
      <c r="M257" s="2056" t="str">
        <f t="shared" si="63"/>
        <v/>
      </c>
      <c r="O257" s="2056" t="str">
        <f t="shared" si="64"/>
        <v/>
      </c>
      <c r="Q257" s="2056" t="str">
        <f t="shared" si="77"/>
        <v/>
      </c>
      <c r="S257" s="2056" t="str">
        <f t="shared" si="65"/>
        <v/>
      </c>
      <c r="U257" s="2056" t="str">
        <f t="shared" si="66"/>
        <v/>
      </c>
      <c r="W257" s="2056" t="str">
        <f t="shared" si="78"/>
        <v/>
      </c>
      <c r="Y257" s="2056" t="str">
        <f t="shared" si="67"/>
        <v/>
      </c>
      <c r="AA257" s="2056" t="str">
        <f t="shared" si="68"/>
        <v/>
      </c>
      <c r="AC257" s="2056" t="str">
        <f t="shared" si="69"/>
        <v/>
      </c>
      <c r="AE257" s="2056" t="str">
        <f t="shared" si="70"/>
        <v/>
      </c>
      <c r="AG257" s="2056" t="str">
        <f t="shared" si="71"/>
        <v/>
      </c>
      <c r="AI257" s="2056" t="str">
        <f t="shared" si="72"/>
        <v/>
      </c>
      <c r="AK257" s="2056" t="str">
        <f t="shared" si="73"/>
        <v/>
      </c>
      <c r="AM257" s="2056" t="str">
        <f t="shared" si="74"/>
        <v/>
      </c>
      <c r="AO257" s="2056" t="str">
        <f t="shared" si="75"/>
        <v/>
      </c>
      <c r="AQ257" s="2056" t="str">
        <f t="shared" si="76"/>
        <v/>
      </c>
    </row>
    <row r="258" spans="5:43">
      <c r="E258" s="2056" t="str">
        <f t="shared" si="60"/>
        <v/>
      </c>
      <c r="G258" s="2056" t="str">
        <f t="shared" si="60"/>
        <v/>
      </c>
      <c r="I258" s="2056" t="str">
        <f t="shared" si="61"/>
        <v/>
      </c>
      <c r="K258" s="2056" t="str">
        <f t="shared" si="62"/>
        <v/>
      </c>
      <c r="M258" s="2056" t="str">
        <f t="shared" si="63"/>
        <v/>
      </c>
      <c r="O258" s="2056" t="str">
        <f t="shared" si="64"/>
        <v/>
      </c>
      <c r="Q258" s="2056" t="str">
        <f t="shared" si="77"/>
        <v/>
      </c>
      <c r="S258" s="2056" t="str">
        <f t="shared" si="65"/>
        <v/>
      </c>
      <c r="U258" s="2056" t="str">
        <f t="shared" si="66"/>
        <v/>
      </c>
      <c r="W258" s="2056" t="str">
        <f t="shared" si="78"/>
        <v/>
      </c>
      <c r="Y258" s="2056" t="str">
        <f t="shared" si="67"/>
        <v/>
      </c>
      <c r="AA258" s="2056" t="str">
        <f t="shared" si="68"/>
        <v/>
      </c>
      <c r="AC258" s="2056" t="str">
        <f t="shared" si="69"/>
        <v/>
      </c>
      <c r="AE258" s="2056" t="str">
        <f t="shared" si="70"/>
        <v/>
      </c>
      <c r="AG258" s="2056" t="str">
        <f t="shared" si="71"/>
        <v/>
      </c>
      <c r="AI258" s="2056" t="str">
        <f t="shared" si="72"/>
        <v/>
      </c>
      <c r="AK258" s="2056" t="str">
        <f t="shared" si="73"/>
        <v/>
      </c>
      <c r="AM258" s="2056" t="str">
        <f t="shared" si="74"/>
        <v/>
      </c>
      <c r="AO258" s="2056" t="str">
        <f t="shared" si="75"/>
        <v/>
      </c>
      <c r="AQ258" s="2056" t="str">
        <f t="shared" si="76"/>
        <v/>
      </c>
    </row>
    <row r="259" spans="5:43">
      <c r="E259" s="2056" t="str">
        <f t="shared" si="60"/>
        <v/>
      </c>
      <c r="G259" s="2056" t="str">
        <f t="shared" si="60"/>
        <v/>
      </c>
      <c r="I259" s="2056" t="str">
        <f t="shared" si="61"/>
        <v/>
      </c>
      <c r="K259" s="2056" t="str">
        <f t="shared" si="62"/>
        <v/>
      </c>
      <c r="M259" s="2056" t="str">
        <f t="shared" si="63"/>
        <v/>
      </c>
      <c r="O259" s="2056" t="str">
        <f t="shared" si="64"/>
        <v/>
      </c>
      <c r="Q259" s="2056" t="str">
        <f t="shared" si="77"/>
        <v/>
      </c>
      <c r="S259" s="2056" t="str">
        <f t="shared" si="65"/>
        <v/>
      </c>
      <c r="U259" s="2056" t="str">
        <f t="shared" si="66"/>
        <v/>
      </c>
      <c r="W259" s="2056" t="str">
        <f t="shared" si="78"/>
        <v/>
      </c>
      <c r="Y259" s="2056" t="str">
        <f t="shared" si="67"/>
        <v/>
      </c>
      <c r="AA259" s="2056" t="str">
        <f t="shared" si="68"/>
        <v/>
      </c>
      <c r="AC259" s="2056" t="str">
        <f t="shared" si="69"/>
        <v/>
      </c>
      <c r="AE259" s="2056" t="str">
        <f t="shared" si="70"/>
        <v/>
      </c>
      <c r="AG259" s="2056" t="str">
        <f t="shared" si="71"/>
        <v/>
      </c>
      <c r="AI259" s="2056" t="str">
        <f t="shared" si="72"/>
        <v/>
      </c>
      <c r="AK259" s="2056" t="str">
        <f t="shared" si="73"/>
        <v/>
      </c>
      <c r="AM259" s="2056" t="str">
        <f t="shared" si="74"/>
        <v/>
      </c>
      <c r="AO259" s="2056" t="str">
        <f t="shared" si="75"/>
        <v/>
      </c>
      <c r="AQ259" s="2056" t="str">
        <f t="shared" si="76"/>
        <v/>
      </c>
    </row>
    <row r="260" spans="5:43">
      <c r="E260" s="2056" t="str">
        <f t="shared" si="60"/>
        <v/>
      </c>
      <c r="G260" s="2056" t="str">
        <f t="shared" si="60"/>
        <v/>
      </c>
      <c r="I260" s="2056" t="str">
        <f t="shared" si="61"/>
        <v/>
      </c>
      <c r="K260" s="2056" t="str">
        <f t="shared" si="62"/>
        <v/>
      </c>
      <c r="M260" s="2056" t="str">
        <f t="shared" si="63"/>
        <v/>
      </c>
      <c r="O260" s="2056" t="str">
        <f t="shared" si="64"/>
        <v/>
      </c>
      <c r="Q260" s="2056" t="str">
        <f t="shared" si="77"/>
        <v/>
      </c>
      <c r="S260" s="2056" t="str">
        <f t="shared" si="65"/>
        <v/>
      </c>
      <c r="U260" s="2056" t="str">
        <f t="shared" si="66"/>
        <v/>
      </c>
      <c r="W260" s="2056" t="str">
        <f t="shared" si="78"/>
        <v/>
      </c>
      <c r="Y260" s="2056" t="str">
        <f t="shared" si="67"/>
        <v/>
      </c>
      <c r="AA260" s="2056" t="str">
        <f t="shared" si="68"/>
        <v/>
      </c>
      <c r="AC260" s="2056" t="str">
        <f t="shared" si="69"/>
        <v/>
      </c>
      <c r="AE260" s="2056" t="str">
        <f t="shared" si="70"/>
        <v/>
      </c>
      <c r="AG260" s="2056" t="str">
        <f t="shared" si="71"/>
        <v/>
      </c>
      <c r="AI260" s="2056" t="str">
        <f t="shared" si="72"/>
        <v/>
      </c>
      <c r="AK260" s="2056" t="str">
        <f t="shared" si="73"/>
        <v/>
      </c>
      <c r="AM260" s="2056" t="str">
        <f t="shared" si="74"/>
        <v/>
      </c>
      <c r="AO260" s="2056" t="str">
        <f t="shared" si="75"/>
        <v/>
      </c>
      <c r="AQ260" s="2056" t="str">
        <f t="shared" si="76"/>
        <v/>
      </c>
    </row>
    <row r="261" spans="5:43">
      <c r="E261" s="2056" t="str">
        <f t="shared" si="60"/>
        <v/>
      </c>
      <c r="G261" s="2056" t="str">
        <f t="shared" si="60"/>
        <v/>
      </c>
      <c r="I261" s="2056" t="str">
        <f t="shared" si="61"/>
        <v/>
      </c>
      <c r="K261" s="2056" t="str">
        <f t="shared" si="62"/>
        <v/>
      </c>
      <c r="M261" s="2056" t="str">
        <f t="shared" si="63"/>
        <v/>
      </c>
      <c r="O261" s="2056" t="str">
        <f t="shared" si="64"/>
        <v/>
      </c>
      <c r="Q261" s="2056" t="str">
        <f t="shared" si="77"/>
        <v/>
      </c>
      <c r="S261" s="2056" t="str">
        <f t="shared" si="65"/>
        <v/>
      </c>
      <c r="U261" s="2056" t="str">
        <f t="shared" si="66"/>
        <v/>
      </c>
      <c r="W261" s="2056" t="str">
        <f t="shared" si="78"/>
        <v/>
      </c>
      <c r="Y261" s="2056" t="str">
        <f t="shared" si="67"/>
        <v/>
      </c>
      <c r="AA261" s="2056" t="str">
        <f t="shared" si="68"/>
        <v/>
      </c>
      <c r="AC261" s="2056" t="str">
        <f t="shared" si="69"/>
        <v/>
      </c>
      <c r="AE261" s="2056" t="str">
        <f t="shared" si="70"/>
        <v/>
      </c>
      <c r="AG261" s="2056" t="str">
        <f t="shared" si="71"/>
        <v/>
      </c>
      <c r="AI261" s="2056" t="str">
        <f t="shared" si="72"/>
        <v/>
      </c>
      <c r="AK261" s="2056" t="str">
        <f t="shared" si="73"/>
        <v/>
      </c>
      <c r="AM261" s="2056" t="str">
        <f t="shared" si="74"/>
        <v/>
      </c>
      <c r="AO261" s="2056" t="str">
        <f t="shared" si="75"/>
        <v/>
      </c>
      <c r="AQ261" s="2056" t="str">
        <f t="shared" si="76"/>
        <v/>
      </c>
    </row>
    <row r="262" spans="5:43">
      <c r="E262" s="2056" t="str">
        <f t="shared" si="60"/>
        <v/>
      </c>
      <c r="G262" s="2056" t="str">
        <f t="shared" si="60"/>
        <v/>
      </c>
      <c r="I262" s="2056" t="str">
        <f t="shared" si="61"/>
        <v/>
      </c>
      <c r="K262" s="2056" t="str">
        <f t="shared" si="62"/>
        <v/>
      </c>
      <c r="M262" s="2056" t="str">
        <f t="shared" si="63"/>
        <v/>
      </c>
      <c r="O262" s="2056" t="str">
        <f t="shared" si="64"/>
        <v/>
      </c>
      <c r="Q262" s="2056" t="str">
        <f t="shared" si="77"/>
        <v/>
      </c>
      <c r="S262" s="2056" t="str">
        <f t="shared" si="65"/>
        <v/>
      </c>
      <c r="U262" s="2056" t="str">
        <f t="shared" si="66"/>
        <v/>
      </c>
      <c r="W262" s="2056" t="str">
        <f t="shared" si="78"/>
        <v/>
      </c>
      <c r="Y262" s="2056" t="str">
        <f t="shared" si="67"/>
        <v/>
      </c>
      <c r="AA262" s="2056" t="str">
        <f t="shared" si="68"/>
        <v/>
      </c>
      <c r="AC262" s="2056" t="str">
        <f t="shared" si="69"/>
        <v/>
      </c>
      <c r="AE262" s="2056" t="str">
        <f t="shared" si="70"/>
        <v/>
      </c>
      <c r="AG262" s="2056" t="str">
        <f t="shared" si="71"/>
        <v/>
      </c>
      <c r="AI262" s="2056" t="str">
        <f t="shared" si="72"/>
        <v/>
      </c>
      <c r="AK262" s="2056" t="str">
        <f t="shared" si="73"/>
        <v/>
      </c>
      <c r="AM262" s="2056" t="str">
        <f t="shared" si="74"/>
        <v/>
      </c>
      <c r="AO262" s="2056" t="str">
        <f t="shared" si="75"/>
        <v/>
      </c>
      <c r="AQ262" s="2056" t="str">
        <f t="shared" si="76"/>
        <v/>
      </c>
    </row>
    <row r="263" spans="5:43">
      <c r="E263" s="2056" t="str">
        <f t="shared" si="60"/>
        <v/>
      </c>
      <c r="G263" s="2056" t="str">
        <f t="shared" si="60"/>
        <v/>
      </c>
      <c r="I263" s="2056" t="str">
        <f t="shared" si="61"/>
        <v/>
      </c>
      <c r="K263" s="2056" t="str">
        <f t="shared" si="62"/>
        <v/>
      </c>
      <c r="M263" s="2056" t="str">
        <f t="shared" si="63"/>
        <v/>
      </c>
      <c r="O263" s="2056" t="str">
        <f t="shared" si="64"/>
        <v/>
      </c>
      <c r="Q263" s="2056" t="str">
        <f t="shared" si="77"/>
        <v/>
      </c>
      <c r="S263" s="2056" t="str">
        <f t="shared" si="65"/>
        <v/>
      </c>
      <c r="U263" s="2056" t="str">
        <f t="shared" si="66"/>
        <v/>
      </c>
      <c r="W263" s="2056" t="str">
        <f t="shared" si="78"/>
        <v/>
      </c>
      <c r="Y263" s="2056" t="str">
        <f t="shared" si="67"/>
        <v/>
      </c>
      <c r="AA263" s="2056" t="str">
        <f t="shared" si="68"/>
        <v/>
      </c>
      <c r="AC263" s="2056" t="str">
        <f t="shared" si="69"/>
        <v/>
      </c>
      <c r="AE263" s="2056" t="str">
        <f t="shared" si="70"/>
        <v/>
      </c>
      <c r="AG263" s="2056" t="str">
        <f t="shared" si="71"/>
        <v/>
      </c>
      <c r="AI263" s="2056" t="str">
        <f t="shared" si="72"/>
        <v/>
      </c>
      <c r="AK263" s="2056" t="str">
        <f t="shared" si="73"/>
        <v/>
      </c>
      <c r="AM263" s="2056" t="str">
        <f t="shared" si="74"/>
        <v/>
      </c>
      <c r="AO263" s="2056" t="str">
        <f t="shared" si="75"/>
        <v/>
      </c>
      <c r="AQ263" s="2056" t="str">
        <f t="shared" si="76"/>
        <v/>
      </c>
    </row>
    <row r="264" spans="5:43">
      <c r="E264" s="2056" t="str">
        <f t="shared" si="60"/>
        <v/>
      </c>
      <c r="G264" s="2056" t="str">
        <f t="shared" si="60"/>
        <v/>
      </c>
      <c r="I264" s="2056" t="str">
        <f t="shared" si="61"/>
        <v/>
      </c>
      <c r="K264" s="2056" t="str">
        <f t="shared" si="62"/>
        <v/>
      </c>
      <c r="M264" s="2056" t="str">
        <f t="shared" si="63"/>
        <v/>
      </c>
      <c r="O264" s="2056" t="str">
        <f t="shared" si="64"/>
        <v/>
      </c>
      <c r="Q264" s="2056" t="str">
        <f t="shared" si="77"/>
        <v/>
      </c>
      <c r="S264" s="2056" t="str">
        <f t="shared" si="65"/>
        <v/>
      </c>
      <c r="U264" s="2056" t="str">
        <f t="shared" si="66"/>
        <v/>
      </c>
      <c r="W264" s="2056" t="str">
        <f t="shared" si="78"/>
        <v/>
      </c>
      <c r="Y264" s="2056" t="str">
        <f t="shared" si="67"/>
        <v/>
      </c>
      <c r="AA264" s="2056" t="str">
        <f t="shared" si="68"/>
        <v/>
      </c>
      <c r="AC264" s="2056" t="str">
        <f t="shared" si="69"/>
        <v/>
      </c>
      <c r="AE264" s="2056" t="str">
        <f t="shared" si="70"/>
        <v/>
      </c>
      <c r="AG264" s="2056" t="str">
        <f t="shared" si="71"/>
        <v/>
      </c>
      <c r="AI264" s="2056" t="str">
        <f t="shared" si="72"/>
        <v/>
      </c>
      <c r="AK264" s="2056" t="str">
        <f t="shared" si="73"/>
        <v/>
      </c>
      <c r="AM264" s="2056" t="str">
        <f t="shared" si="74"/>
        <v/>
      </c>
      <c r="AO264" s="2056" t="str">
        <f t="shared" si="75"/>
        <v/>
      </c>
      <c r="AQ264" s="2056" t="str">
        <f t="shared" si="76"/>
        <v/>
      </c>
    </row>
    <row r="265" spans="5:43">
      <c r="E265" s="2056" t="str">
        <f t="shared" si="60"/>
        <v/>
      </c>
      <c r="G265" s="2056" t="str">
        <f t="shared" si="60"/>
        <v/>
      </c>
      <c r="I265" s="2056" t="str">
        <f t="shared" si="61"/>
        <v/>
      </c>
      <c r="K265" s="2056" t="str">
        <f t="shared" si="62"/>
        <v/>
      </c>
      <c r="M265" s="2056" t="str">
        <f t="shared" si="63"/>
        <v/>
      </c>
      <c r="O265" s="2056" t="str">
        <f t="shared" si="64"/>
        <v/>
      </c>
      <c r="Q265" s="2056" t="str">
        <f t="shared" si="77"/>
        <v/>
      </c>
      <c r="S265" s="2056" t="str">
        <f t="shared" si="65"/>
        <v/>
      </c>
      <c r="U265" s="2056" t="str">
        <f t="shared" si="66"/>
        <v/>
      </c>
      <c r="W265" s="2056" t="str">
        <f t="shared" si="78"/>
        <v/>
      </c>
      <c r="Y265" s="2056" t="str">
        <f t="shared" si="67"/>
        <v/>
      </c>
      <c r="AA265" s="2056" t="str">
        <f t="shared" si="68"/>
        <v/>
      </c>
      <c r="AC265" s="2056" t="str">
        <f t="shared" si="69"/>
        <v/>
      </c>
      <c r="AE265" s="2056" t="str">
        <f t="shared" si="70"/>
        <v/>
      </c>
      <c r="AG265" s="2056" t="str">
        <f t="shared" si="71"/>
        <v/>
      </c>
      <c r="AI265" s="2056" t="str">
        <f t="shared" si="72"/>
        <v/>
      </c>
      <c r="AK265" s="2056" t="str">
        <f t="shared" si="73"/>
        <v/>
      </c>
      <c r="AM265" s="2056" t="str">
        <f t="shared" si="74"/>
        <v/>
      </c>
      <c r="AO265" s="2056" t="str">
        <f t="shared" si="75"/>
        <v/>
      </c>
      <c r="AQ265" s="2056" t="str">
        <f t="shared" si="76"/>
        <v/>
      </c>
    </row>
    <row r="266" spans="5:43">
      <c r="E266" s="2056" t="str">
        <f t="shared" si="60"/>
        <v/>
      </c>
      <c r="G266" s="2056" t="str">
        <f t="shared" si="60"/>
        <v/>
      </c>
      <c r="I266" s="2056" t="str">
        <f t="shared" si="61"/>
        <v/>
      </c>
      <c r="K266" s="2056" t="str">
        <f t="shared" si="62"/>
        <v/>
      </c>
      <c r="M266" s="2056" t="str">
        <f t="shared" si="63"/>
        <v/>
      </c>
      <c r="O266" s="2056" t="str">
        <f t="shared" si="64"/>
        <v/>
      </c>
      <c r="Q266" s="2056" t="str">
        <f t="shared" si="77"/>
        <v/>
      </c>
      <c r="S266" s="2056" t="str">
        <f t="shared" si="65"/>
        <v/>
      </c>
      <c r="U266" s="2056" t="str">
        <f t="shared" si="66"/>
        <v/>
      </c>
      <c r="W266" s="2056" t="str">
        <f t="shared" si="78"/>
        <v/>
      </c>
      <c r="Y266" s="2056" t="str">
        <f t="shared" si="67"/>
        <v/>
      </c>
      <c r="AA266" s="2056" t="str">
        <f t="shared" si="68"/>
        <v/>
      </c>
      <c r="AC266" s="2056" t="str">
        <f t="shared" si="69"/>
        <v/>
      </c>
      <c r="AE266" s="2056" t="str">
        <f t="shared" si="70"/>
        <v/>
      </c>
      <c r="AG266" s="2056" t="str">
        <f t="shared" si="71"/>
        <v/>
      </c>
      <c r="AI266" s="2056" t="str">
        <f t="shared" si="72"/>
        <v/>
      </c>
      <c r="AK266" s="2056" t="str">
        <f t="shared" si="73"/>
        <v/>
      </c>
      <c r="AM266" s="2056" t="str">
        <f t="shared" si="74"/>
        <v/>
      </c>
      <c r="AO266" s="2056" t="str">
        <f t="shared" si="75"/>
        <v/>
      </c>
      <c r="AQ266" s="2056" t="str">
        <f t="shared" si="76"/>
        <v/>
      </c>
    </row>
    <row r="267" spans="5:43">
      <c r="E267" s="2056" t="str">
        <f t="shared" si="60"/>
        <v/>
      </c>
      <c r="G267" s="2056" t="str">
        <f t="shared" si="60"/>
        <v/>
      </c>
      <c r="I267" s="2056" t="str">
        <f t="shared" si="61"/>
        <v/>
      </c>
      <c r="K267" s="2056" t="str">
        <f t="shared" si="62"/>
        <v/>
      </c>
      <c r="M267" s="2056" t="str">
        <f t="shared" si="63"/>
        <v/>
      </c>
      <c r="O267" s="2056" t="str">
        <f t="shared" si="64"/>
        <v/>
      </c>
      <c r="Q267" s="2056" t="str">
        <f t="shared" si="77"/>
        <v/>
      </c>
      <c r="S267" s="2056" t="str">
        <f t="shared" si="65"/>
        <v/>
      </c>
      <c r="U267" s="2056" t="str">
        <f t="shared" si="66"/>
        <v/>
      </c>
      <c r="W267" s="2056" t="str">
        <f t="shared" si="78"/>
        <v/>
      </c>
      <c r="Y267" s="2056" t="str">
        <f t="shared" si="67"/>
        <v/>
      </c>
      <c r="AA267" s="2056" t="str">
        <f t="shared" si="68"/>
        <v/>
      </c>
      <c r="AC267" s="2056" t="str">
        <f t="shared" si="69"/>
        <v/>
      </c>
      <c r="AE267" s="2056" t="str">
        <f t="shared" si="70"/>
        <v/>
      </c>
      <c r="AG267" s="2056" t="str">
        <f t="shared" si="71"/>
        <v/>
      </c>
      <c r="AI267" s="2056" t="str">
        <f t="shared" si="72"/>
        <v/>
      </c>
      <c r="AK267" s="2056" t="str">
        <f t="shared" si="73"/>
        <v/>
      </c>
      <c r="AM267" s="2056" t="str">
        <f t="shared" si="74"/>
        <v/>
      </c>
      <c r="AO267" s="2056" t="str">
        <f t="shared" si="75"/>
        <v/>
      </c>
      <c r="AQ267" s="2056" t="str">
        <f t="shared" si="76"/>
        <v/>
      </c>
    </row>
    <row r="268" spans="5:43">
      <c r="E268" s="2056" t="str">
        <f t="shared" si="60"/>
        <v/>
      </c>
      <c r="G268" s="2056" t="str">
        <f t="shared" si="60"/>
        <v/>
      </c>
      <c r="I268" s="2056" t="str">
        <f t="shared" si="61"/>
        <v/>
      </c>
      <c r="K268" s="2056" t="str">
        <f t="shared" si="62"/>
        <v/>
      </c>
      <c r="M268" s="2056" t="str">
        <f t="shared" si="63"/>
        <v/>
      </c>
      <c r="O268" s="2056" t="str">
        <f t="shared" si="64"/>
        <v/>
      </c>
      <c r="Q268" s="2056" t="str">
        <f t="shared" si="77"/>
        <v/>
      </c>
      <c r="S268" s="2056" t="str">
        <f t="shared" si="65"/>
        <v/>
      </c>
      <c r="U268" s="2056" t="str">
        <f t="shared" si="66"/>
        <v/>
      </c>
      <c r="W268" s="2056" t="str">
        <f t="shared" si="78"/>
        <v/>
      </c>
      <c r="Y268" s="2056" t="str">
        <f t="shared" si="67"/>
        <v/>
      </c>
      <c r="AA268" s="2056" t="str">
        <f t="shared" si="68"/>
        <v/>
      </c>
      <c r="AC268" s="2056" t="str">
        <f t="shared" si="69"/>
        <v/>
      </c>
      <c r="AE268" s="2056" t="str">
        <f t="shared" si="70"/>
        <v/>
      </c>
      <c r="AG268" s="2056" t="str">
        <f t="shared" si="71"/>
        <v/>
      </c>
      <c r="AI268" s="2056" t="str">
        <f t="shared" si="72"/>
        <v/>
      </c>
      <c r="AK268" s="2056" t="str">
        <f t="shared" si="73"/>
        <v/>
      </c>
      <c r="AM268" s="2056" t="str">
        <f t="shared" si="74"/>
        <v/>
      </c>
      <c r="AO268" s="2056" t="str">
        <f t="shared" si="75"/>
        <v/>
      </c>
      <c r="AQ268" s="2056" t="str">
        <f t="shared" si="76"/>
        <v/>
      </c>
    </row>
    <row r="269" spans="5:43">
      <c r="E269" s="2056" t="str">
        <f t="shared" ref="E269:G300" si="79">IF(OR($B269=0,D269=0),"",D269/$B269)</f>
        <v/>
      </c>
      <c r="G269" s="2056" t="str">
        <f t="shared" si="79"/>
        <v/>
      </c>
      <c r="I269" s="2056" t="str">
        <f t="shared" ref="I269:I300" si="80">IF(OR($B269=0,H269=0),"",H269/$B269)</f>
        <v/>
      </c>
      <c r="K269" s="2056" t="str">
        <f t="shared" ref="K269:K300" si="81">IF(OR($B269=0,J269=0),"",J269/$B269)</f>
        <v/>
      </c>
      <c r="M269" s="2056" t="str">
        <f t="shared" ref="M269:M300" si="82">IF(OR($B269=0,L269=0),"",L269/$B269)</f>
        <v/>
      </c>
      <c r="O269" s="2056" t="str">
        <f t="shared" ref="O269:O300" si="83">IF(OR($B269=0,N269=0),"",N269/$B269)</f>
        <v/>
      </c>
      <c r="Q269" s="2056" t="str">
        <f t="shared" si="77"/>
        <v/>
      </c>
      <c r="S269" s="2056" t="str">
        <f t="shared" ref="S269:S300" si="84">IF(OR($B269=0,R269=0),"",R269/$B269)</f>
        <v/>
      </c>
      <c r="U269" s="2056" t="str">
        <f t="shared" ref="U269:U300" si="85">IF(OR($B269=0,T269=0),"",T269/$B269)</f>
        <v/>
      </c>
      <c r="W269" s="2056" t="str">
        <f t="shared" si="78"/>
        <v/>
      </c>
      <c r="Y269" s="2056" t="str">
        <f t="shared" ref="Y269:Y300" si="86">IF(OR($B269=0,X269=0),"",X269/$B269)</f>
        <v/>
      </c>
      <c r="AA269" s="2056" t="str">
        <f t="shared" ref="AA269:AA300" si="87">IF(OR($B269=0,Z269=0),"",Z269/$B269)</f>
        <v/>
      </c>
      <c r="AC269" s="2056" t="str">
        <f t="shared" ref="AC269:AC300" si="88">IF(OR($B269=0,AB269=0),"",AB269/$B269)</f>
        <v/>
      </c>
      <c r="AE269" s="2056" t="str">
        <f t="shared" ref="AE269:AE300" si="89">IF(OR($B269=0,AD269=0),"",AD269/$B269)</f>
        <v/>
      </c>
      <c r="AG269" s="2056" t="str">
        <f t="shared" ref="AG269:AG300" si="90">IF(OR($B269=0,AF269=0),"",AF269/$B269)</f>
        <v/>
      </c>
      <c r="AI269" s="2056" t="str">
        <f t="shared" ref="AI269:AI300" si="91">IF(OR($B269=0,AH269=0),"",AH269/$B269)</f>
        <v/>
      </c>
      <c r="AK269" s="2056" t="str">
        <f t="shared" ref="AK269:AK300" si="92">IF(OR($B269=0,AJ269=0),"",AJ269/$B269)</f>
        <v/>
      </c>
      <c r="AM269" s="2056" t="str">
        <f t="shared" ref="AM269:AM300" si="93">IF(OR($B269=0,AL269=0),"",AL269/$B269)</f>
        <v/>
      </c>
      <c r="AO269" s="2056" t="str">
        <f t="shared" ref="AO269:AO300" si="94">IF(OR($B269=0,AN269=0),"",AN269/$B269)</f>
        <v/>
      </c>
      <c r="AQ269" s="2056" t="str">
        <f t="shared" ref="AQ269:AQ300" si="95">IF(OR($B269=0,AP269=0),"",AP269/$B269)</f>
        <v/>
      </c>
    </row>
    <row r="270" spans="5:43">
      <c r="E270" s="2056" t="str">
        <f t="shared" si="79"/>
        <v/>
      </c>
      <c r="G270" s="2056" t="str">
        <f t="shared" si="79"/>
        <v/>
      </c>
      <c r="I270" s="2056" t="str">
        <f t="shared" si="80"/>
        <v/>
      </c>
      <c r="K270" s="2056" t="str">
        <f t="shared" si="81"/>
        <v/>
      </c>
      <c r="M270" s="2056" t="str">
        <f t="shared" si="82"/>
        <v/>
      </c>
      <c r="O270" s="2056" t="str">
        <f t="shared" si="83"/>
        <v/>
      </c>
      <c r="Q270" s="2056" t="str">
        <f t="shared" si="77"/>
        <v/>
      </c>
      <c r="S270" s="2056" t="str">
        <f t="shared" si="84"/>
        <v/>
      </c>
      <c r="U270" s="2056" t="str">
        <f t="shared" si="85"/>
        <v/>
      </c>
      <c r="W270" s="2056" t="str">
        <f t="shared" si="78"/>
        <v/>
      </c>
      <c r="Y270" s="2056" t="str">
        <f t="shared" si="86"/>
        <v/>
      </c>
      <c r="AA270" s="2056" t="str">
        <f t="shared" si="87"/>
        <v/>
      </c>
      <c r="AC270" s="2056" t="str">
        <f t="shared" si="88"/>
        <v/>
      </c>
      <c r="AE270" s="2056" t="str">
        <f t="shared" si="89"/>
        <v/>
      </c>
      <c r="AG270" s="2056" t="str">
        <f t="shared" si="90"/>
        <v/>
      </c>
      <c r="AI270" s="2056" t="str">
        <f t="shared" si="91"/>
        <v/>
      </c>
      <c r="AK270" s="2056" t="str">
        <f t="shared" si="92"/>
        <v/>
      </c>
      <c r="AM270" s="2056" t="str">
        <f t="shared" si="93"/>
        <v/>
      </c>
      <c r="AO270" s="2056" t="str">
        <f t="shared" si="94"/>
        <v/>
      </c>
      <c r="AQ270" s="2056" t="str">
        <f t="shared" si="95"/>
        <v/>
      </c>
    </row>
    <row r="271" spans="5:43">
      <c r="E271" s="2056" t="str">
        <f t="shared" si="79"/>
        <v/>
      </c>
      <c r="G271" s="2056" t="str">
        <f t="shared" si="79"/>
        <v/>
      </c>
      <c r="I271" s="2056" t="str">
        <f t="shared" si="80"/>
        <v/>
      </c>
      <c r="K271" s="2056" t="str">
        <f t="shared" si="81"/>
        <v/>
      </c>
      <c r="M271" s="2056" t="str">
        <f t="shared" si="82"/>
        <v/>
      </c>
      <c r="O271" s="2056" t="str">
        <f t="shared" si="83"/>
        <v/>
      </c>
      <c r="Q271" s="2056" t="str">
        <f t="shared" si="77"/>
        <v/>
      </c>
      <c r="S271" s="2056" t="str">
        <f t="shared" si="84"/>
        <v/>
      </c>
      <c r="U271" s="2056" t="str">
        <f t="shared" si="85"/>
        <v/>
      </c>
      <c r="W271" s="2056" t="str">
        <f t="shared" si="78"/>
        <v/>
      </c>
      <c r="Y271" s="2056" t="str">
        <f t="shared" si="86"/>
        <v/>
      </c>
      <c r="AA271" s="2056" t="str">
        <f t="shared" si="87"/>
        <v/>
      </c>
      <c r="AC271" s="2056" t="str">
        <f t="shared" si="88"/>
        <v/>
      </c>
      <c r="AE271" s="2056" t="str">
        <f t="shared" si="89"/>
        <v/>
      </c>
      <c r="AG271" s="2056" t="str">
        <f t="shared" si="90"/>
        <v/>
      </c>
      <c r="AI271" s="2056" t="str">
        <f t="shared" si="91"/>
        <v/>
      </c>
      <c r="AK271" s="2056" t="str">
        <f t="shared" si="92"/>
        <v/>
      </c>
      <c r="AM271" s="2056" t="str">
        <f t="shared" si="93"/>
        <v/>
      </c>
      <c r="AO271" s="2056" t="str">
        <f t="shared" si="94"/>
        <v/>
      </c>
      <c r="AQ271" s="2056" t="str">
        <f t="shared" si="95"/>
        <v/>
      </c>
    </row>
    <row r="272" spans="5:43">
      <c r="E272" s="2056" t="str">
        <f t="shared" si="79"/>
        <v/>
      </c>
      <c r="G272" s="2056" t="str">
        <f t="shared" si="79"/>
        <v/>
      </c>
      <c r="I272" s="2056" t="str">
        <f t="shared" si="80"/>
        <v/>
      </c>
      <c r="K272" s="2056" t="str">
        <f t="shared" si="81"/>
        <v/>
      </c>
      <c r="M272" s="2056" t="str">
        <f t="shared" si="82"/>
        <v/>
      </c>
      <c r="O272" s="2056" t="str">
        <f t="shared" si="83"/>
        <v/>
      </c>
      <c r="Q272" s="2056" t="str">
        <f t="shared" si="77"/>
        <v/>
      </c>
      <c r="S272" s="2056" t="str">
        <f t="shared" si="84"/>
        <v/>
      </c>
      <c r="U272" s="2056" t="str">
        <f t="shared" si="85"/>
        <v/>
      </c>
      <c r="W272" s="2056" t="str">
        <f t="shared" si="78"/>
        <v/>
      </c>
      <c r="Y272" s="2056" t="str">
        <f t="shared" si="86"/>
        <v/>
      </c>
      <c r="AA272" s="2056" t="str">
        <f t="shared" si="87"/>
        <v/>
      </c>
      <c r="AC272" s="2056" t="str">
        <f t="shared" si="88"/>
        <v/>
      </c>
      <c r="AE272" s="2056" t="str">
        <f t="shared" si="89"/>
        <v/>
      </c>
      <c r="AG272" s="2056" t="str">
        <f t="shared" si="90"/>
        <v/>
      </c>
      <c r="AI272" s="2056" t="str">
        <f t="shared" si="91"/>
        <v/>
      </c>
      <c r="AK272" s="2056" t="str">
        <f t="shared" si="92"/>
        <v/>
      </c>
      <c r="AM272" s="2056" t="str">
        <f t="shared" si="93"/>
        <v/>
      </c>
      <c r="AO272" s="2056" t="str">
        <f t="shared" si="94"/>
        <v/>
      </c>
      <c r="AQ272" s="2056" t="str">
        <f t="shared" si="95"/>
        <v/>
      </c>
    </row>
    <row r="273" spans="5:43">
      <c r="E273" s="2056" t="str">
        <f t="shared" si="79"/>
        <v/>
      </c>
      <c r="G273" s="2056" t="str">
        <f t="shared" si="79"/>
        <v/>
      </c>
      <c r="I273" s="2056" t="str">
        <f t="shared" si="80"/>
        <v/>
      </c>
      <c r="K273" s="2056" t="str">
        <f t="shared" si="81"/>
        <v/>
      </c>
      <c r="M273" s="2056" t="str">
        <f t="shared" si="82"/>
        <v/>
      </c>
      <c r="O273" s="2056" t="str">
        <f t="shared" si="83"/>
        <v/>
      </c>
      <c r="Q273" s="2056" t="str">
        <f t="shared" si="77"/>
        <v/>
      </c>
      <c r="S273" s="2056" t="str">
        <f t="shared" si="84"/>
        <v/>
      </c>
      <c r="U273" s="2056" t="str">
        <f t="shared" si="85"/>
        <v/>
      </c>
      <c r="W273" s="2056" t="str">
        <f t="shared" si="78"/>
        <v/>
      </c>
      <c r="Y273" s="2056" t="str">
        <f t="shared" si="86"/>
        <v/>
      </c>
      <c r="AA273" s="2056" t="str">
        <f t="shared" si="87"/>
        <v/>
      </c>
      <c r="AC273" s="2056" t="str">
        <f t="shared" si="88"/>
        <v/>
      </c>
      <c r="AE273" s="2056" t="str">
        <f t="shared" si="89"/>
        <v/>
      </c>
      <c r="AG273" s="2056" t="str">
        <f t="shared" si="90"/>
        <v/>
      </c>
      <c r="AI273" s="2056" t="str">
        <f t="shared" si="91"/>
        <v/>
      </c>
      <c r="AK273" s="2056" t="str">
        <f t="shared" si="92"/>
        <v/>
      </c>
      <c r="AM273" s="2056" t="str">
        <f t="shared" si="93"/>
        <v/>
      </c>
      <c r="AO273" s="2056" t="str">
        <f t="shared" si="94"/>
        <v/>
      </c>
      <c r="AQ273" s="2056" t="str">
        <f t="shared" si="95"/>
        <v/>
      </c>
    </row>
    <row r="274" spans="5:43">
      <c r="E274" s="2056" t="str">
        <f t="shared" si="79"/>
        <v/>
      </c>
      <c r="G274" s="2056" t="str">
        <f t="shared" si="79"/>
        <v/>
      </c>
      <c r="I274" s="2056" t="str">
        <f t="shared" si="80"/>
        <v/>
      </c>
      <c r="K274" s="2056" t="str">
        <f t="shared" si="81"/>
        <v/>
      </c>
      <c r="M274" s="2056" t="str">
        <f t="shared" si="82"/>
        <v/>
      </c>
      <c r="O274" s="2056" t="str">
        <f t="shared" si="83"/>
        <v/>
      </c>
      <c r="Q274" s="2056" t="str">
        <f t="shared" si="77"/>
        <v/>
      </c>
      <c r="S274" s="2056" t="str">
        <f t="shared" si="84"/>
        <v/>
      </c>
      <c r="U274" s="2056" t="str">
        <f t="shared" si="85"/>
        <v/>
      </c>
      <c r="W274" s="2056" t="str">
        <f t="shared" si="78"/>
        <v/>
      </c>
      <c r="Y274" s="2056" t="str">
        <f t="shared" si="86"/>
        <v/>
      </c>
      <c r="AA274" s="2056" t="str">
        <f t="shared" si="87"/>
        <v/>
      </c>
      <c r="AC274" s="2056" t="str">
        <f t="shared" si="88"/>
        <v/>
      </c>
      <c r="AE274" s="2056" t="str">
        <f t="shared" si="89"/>
        <v/>
      </c>
      <c r="AG274" s="2056" t="str">
        <f t="shared" si="90"/>
        <v/>
      </c>
      <c r="AI274" s="2056" t="str">
        <f t="shared" si="91"/>
        <v/>
      </c>
      <c r="AK274" s="2056" t="str">
        <f t="shared" si="92"/>
        <v/>
      </c>
      <c r="AM274" s="2056" t="str">
        <f t="shared" si="93"/>
        <v/>
      </c>
      <c r="AO274" s="2056" t="str">
        <f t="shared" si="94"/>
        <v/>
      </c>
      <c r="AQ274" s="2056" t="str">
        <f t="shared" si="95"/>
        <v/>
      </c>
    </row>
    <row r="275" spans="5:43">
      <c r="E275" s="2056" t="str">
        <f t="shared" si="79"/>
        <v/>
      </c>
      <c r="G275" s="2056" t="str">
        <f t="shared" si="79"/>
        <v/>
      </c>
      <c r="I275" s="2056" t="str">
        <f t="shared" si="80"/>
        <v/>
      </c>
      <c r="K275" s="2056" t="str">
        <f t="shared" si="81"/>
        <v/>
      </c>
      <c r="M275" s="2056" t="str">
        <f t="shared" si="82"/>
        <v/>
      </c>
      <c r="O275" s="2056" t="str">
        <f t="shared" si="83"/>
        <v/>
      </c>
      <c r="Q275" s="2056" t="str">
        <f t="shared" si="77"/>
        <v/>
      </c>
      <c r="S275" s="2056" t="str">
        <f t="shared" si="84"/>
        <v/>
      </c>
      <c r="U275" s="2056" t="str">
        <f t="shared" si="85"/>
        <v/>
      </c>
      <c r="W275" s="2056" t="str">
        <f t="shared" si="78"/>
        <v/>
      </c>
      <c r="Y275" s="2056" t="str">
        <f t="shared" si="86"/>
        <v/>
      </c>
      <c r="AA275" s="2056" t="str">
        <f t="shared" si="87"/>
        <v/>
      </c>
      <c r="AC275" s="2056" t="str">
        <f t="shared" si="88"/>
        <v/>
      </c>
      <c r="AE275" s="2056" t="str">
        <f t="shared" si="89"/>
        <v/>
      </c>
      <c r="AG275" s="2056" t="str">
        <f t="shared" si="90"/>
        <v/>
      </c>
      <c r="AI275" s="2056" t="str">
        <f t="shared" si="91"/>
        <v/>
      </c>
      <c r="AK275" s="2056" t="str">
        <f t="shared" si="92"/>
        <v/>
      </c>
      <c r="AM275" s="2056" t="str">
        <f t="shared" si="93"/>
        <v/>
      </c>
      <c r="AO275" s="2056" t="str">
        <f t="shared" si="94"/>
        <v/>
      </c>
      <c r="AQ275" s="2056" t="str">
        <f t="shared" si="95"/>
        <v/>
      </c>
    </row>
    <row r="276" spans="5:43">
      <c r="E276" s="2056" t="str">
        <f t="shared" si="79"/>
        <v/>
      </c>
      <c r="G276" s="2056" t="str">
        <f t="shared" si="79"/>
        <v/>
      </c>
      <c r="I276" s="2056" t="str">
        <f t="shared" si="80"/>
        <v/>
      </c>
      <c r="K276" s="2056" t="str">
        <f t="shared" si="81"/>
        <v/>
      </c>
      <c r="M276" s="2056" t="str">
        <f t="shared" si="82"/>
        <v/>
      </c>
      <c r="O276" s="2056" t="str">
        <f t="shared" si="83"/>
        <v/>
      </c>
      <c r="Q276" s="2056" t="str">
        <f t="shared" si="77"/>
        <v/>
      </c>
      <c r="S276" s="2056" t="str">
        <f t="shared" si="84"/>
        <v/>
      </c>
      <c r="U276" s="2056" t="str">
        <f t="shared" si="85"/>
        <v/>
      </c>
      <c r="W276" s="2056" t="str">
        <f t="shared" si="78"/>
        <v/>
      </c>
      <c r="Y276" s="2056" t="str">
        <f t="shared" si="86"/>
        <v/>
      </c>
      <c r="AA276" s="2056" t="str">
        <f t="shared" si="87"/>
        <v/>
      </c>
      <c r="AC276" s="2056" t="str">
        <f t="shared" si="88"/>
        <v/>
      </c>
      <c r="AE276" s="2056" t="str">
        <f t="shared" si="89"/>
        <v/>
      </c>
      <c r="AG276" s="2056" t="str">
        <f t="shared" si="90"/>
        <v/>
      </c>
      <c r="AI276" s="2056" t="str">
        <f t="shared" si="91"/>
        <v/>
      </c>
      <c r="AK276" s="2056" t="str">
        <f t="shared" si="92"/>
        <v/>
      </c>
      <c r="AM276" s="2056" t="str">
        <f t="shared" si="93"/>
        <v/>
      </c>
      <c r="AO276" s="2056" t="str">
        <f t="shared" si="94"/>
        <v/>
      </c>
      <c r="AQ276" s="2056" t="str">
        <f t="shared" si="95"/>
        <v/>
      </c>
    </row>
    <row r="277" spans="5:43">
      <c r="E277" s="2056" t="str">
        <f t="shared" si="79"/>
        <v/>
      </c>
      <c r="G277" s="2056" t="str">
        <f t="shared" si="79"/>
        <v/>
      </c>
      <c r="I277" s="2056" t="str">
        <f t="shared" si="80"/>
        <v/>
      </c>
      <c r="K277" s="2056" t="str">
        <f t="shared" si="81"/>
        <v/>
      </c>
      <c r="M277" s="2056" t="str">
        <f t="shared" si="82"/>
        <v/>
      </c>
      <c r="O277" s="2056" t="str">
        <f t="shared" si="83"/>
        <v/>
      </c>
      <c r="Q277" s="2056" t="str">
        <f t="shared" si="77"/>
        <v/>
      </c>
      <c r="S277" s="2056" t="str">
        <f t="shared" si="84"/>
        <v/>
      </c>
      <c r="U277" s="2056" t="str">
        <f t="shared" si="85"/>
        <v/>
      </c>
      <c r="W277" s="2056" t="str">
        <f t="shared" si="78"/>
        <v/>
      </c>
      <c r="Y277" s="2056" t="str">
        <f t="shared" si="86"/>
        <v/>
      </c>
      <c r="AA277" s="2056" t="str">
        <f t="shared" si="87"/>
        <v/>
      </c>
      <c r="AC277" s="2056" t="str">
        <f t="shared" si="88"/>
        <v/>
      </c>
      <c r="AE277" s="2056" t="str">
        <f t="shared" si="89"/>
        <v/>
      </c>
      <c r="AG277" s="2056" t="str">
        <f t="shared" si="90"/>
        <v/>
      </c>
      <c r="AI277" s="2056" t="str">
        <f t="shared" si="91"/>
        <v/>
      </c>
      <c r="AK277" s="2056" t="str">
        <f t="shared" si="92"/>
        <v/>
      </c>
      <c r="AM277" s="2056" t="str">
        <f t="shared" si="93"/>
        <v/>
      </c>
      <c r="AO277" s="2056" t="str">
        <f t="shared" si="94"/>
        <v/>
      </c>
      <c r="AQ277" s="2056" t="str">
        <f t="shared" si="95"/>
        <v/>
      </c>
    </row>
    <row r="278" spans="5:43">
      <c r="E278" s="2056" t="str">
        <f t="shared" si="79"/>
        <v/>
      </c>
      <c r="G278" s="2056" t="str">
        <f t="shared" si="79"/>
        <v/>
      </c>
      <c r="I278" s="2056" t="str">
        <f t="shared" si="80"/>
        <v/>
      </c>
      <c r="K278" s="2056" t="str">
        <f t="shared" si="81"/>
        <v/>
      </c>
      <c r="M278" s="2056" t="str">
        <f t="shared" si="82"/>
        <v/>
      </c>
      <c r="O278" s="2056" t="str">
        <f t="shared" si="83"/>
        <v/>
      </c>
      <c r="Q278" s="2056" t="str">
        <f t="shared" si="77"/>
        <v/>
      </c>
      <c r="S278" s="2056" t="str">
        <f t="shared" si="84"/>
        <v/>
      </c>
      <c r="U278" s="2056" t="str">
        <f t="shared" si="85"/>
        <v/>
      </c>
      <c r="W278" s="2056" t="str">
        <f t="shared" si="78"/>
        <v/>
      </c>
      <c r="Y278" s="2056" t="str">
        <f t="shared" si="86"/>
        <v/>
      </c>
      <c r="AA278" s="2056" t="str">
        <f t="shared" si="87"/>
        <v/>
      </c>
      <c r="AC278" s="2056" t="str">
        <f t="shared" si="88"/>
        <v/>
      </c>
      <c r="AE278" s="2056" t="str">
        <f t="shared" si="89"/>
        <v/>
      </c>
      <c r="AG278" s="2056" t="str">
        <f t="shared" si="90"/>
        <v/>
      </c>
      <c r="AI278" s="2056" t="str">
        <f t="shared" si="91"/>
        <v/>
      </c>
      <c r="AK278" s="2056" t="str">
        <f t="shared" si="92"/>
        <v/>
      </c>
      <c r="AM278" s="2056" t="str">
        <f t="shared" si="93"/>
        <v/>
      </c>
      <c r="AO278" s="2056" t="str">
        <f t="shared" si="94"/>
        <v/>
      </c>
      <c r="AQ278" s="2056" t="str">
        <f t="shared" si="95"/>
        <v/>
      </c>
    </row>
    <row r="279" spans="5:43">
      <c r="E279" s="2056" t="str">
        <f t="shared" si="79"/>
        <v/>
      </c>
      <c r="G279" s="2056" t="str">
        <f t="shared" si="79"/>
        <v/>
      </c>
      <c r="I279" s="2056" t="str">
        <f t="shared" si="80"/>
        <v/>
      </c>
      <c r="K279" s="2056" t="str">
        <f t="shared" si="81"/>
        <v/>
      </c>
      <c r="M279" s="2056" t="str">
        <f t="shared" si="82"/>
        <v/>
      </c>
      <c r="O279" s="2056" t="str">
        <f t="shared" si="83"/>
        <v/>
      </c>
      <c r="Q279" s="2056" t="str">
        <f t="shared" si="77"/>
        <v/>
      </c>
      <c r="S279" s="2056" t="str">
        <f t="shared" si="84"/>
        <v/>
      </c>
      <c r="U279" s="2056" t="str">
        <f t="shared" si="85"/>
        <v/>
      </c>
      <c r="W279" s="2056" t="str">
        <f t="shared" si="78"/>
        <v/>
      </c>
      <c r="Y279" s="2056" t="str">
        <f t="shared" si="86"/>
        <v/>
      </c>
      <c r="AA279" s="2056" t="str">
        <f t="shared" si="87"/>
        <v/>
      </c>
      <c r="AC279" s="2056" t="str">
        <f t="shared" si="88"/>
        <v/>
      </c>
      <c r="AE279" s="2056" t="str">
        <f t="shared" si="89"/>
        <v/>
      </c>
      <c r="AG279" s="2056" t="str">
        <f t="shared" si="90"/>
        <v/>
      </c>
      <c r="AI279" s="2056" t="str">
        <f t="shared" si="91"/>
        <v/>
      </c>
      <c r="AK279" s="2056" t="str">
        <f t="shared" si="92"/>
        <v/>
      </c>
      <c r="AM279" s="2056" t="str">
        <f t="shared" si="93"/>
        <v/>
      </c>
      <c r="AO279" s="2056" t="str">
        <f t="shared" si="94"/>
        <v/>
      </c>
      <c r="AQ279" s="2056" t="str">
        <f t="shared" si="95"/>
        <v/>
      </c>
    </row>
    <row r="280" spans="5:43">
      <c r="E280" s="2056" t="str">
        <f t="shared" si="79"/>
        <v/>
      </c>
      <c r="G280" s="2056" t="str">
        <f t="shared" si="79"/>
        <v/>
      </c>
      <c r="I280" s="2056" t="str">
        <f t="shared" si="80"/>
        <v/>
      </c>
      <c r="K280" s="2056" t="str">
        <f t="shared" si="81"/>
        <v/>
      </c>
      <c r="M280" s="2056" t="str">
        <f t="shared" si="82"/>
        <v/>
      </c>
      <c r="O280" s="2056" t="str">
        <f t="shared" si="83"/>
        <v/>
      </c>
      <c r="Q280" s="2056" t="str">
        <f t="shared" si="77"/>
        <v/>
      </c>
      <c r="S280" s="2056" t="str">
        <f t="shared" si="84"/>
        <v/>
      </c>
      <c r="U280" s="2056" t="str">
        <f t="shared" si="85"/>
        <v/>
      </c>
      <c r="W280" s="2056" t="str">
        <f t="shared" si="78"/>
        <v/>
      </c>
      <c r="Y280" s="2056" t="str">
        <f t="shared" si="86"/>
        <v/>
      </c>
      <c r="AA280" s="2056" t="str">
        <f t="shared" si="87"/>
        <v/>
      </c>
      <c r="AC280" s="2056" t="str">
        <f t="shared" si="88"/>
        <v/>
      </c>
      <c r="AE280" s="2056" t="str">
        <f t="shared" si="89"/>
        <v/>
      </c>
      <c r="AG280" s="2056" t="str">
        <f t="shared" si="90"/>
        <v/>
      </c>
      <c r="AI280" s="2056" t="str">
        <f t="shared" si="91"/>
        <v/>
      </c>
      <c r="AK280" s="2056" t="str">
        <f t="shared" si="92"/>
        <v/>
      </c>
      <c r="AM280" s="2056" t="str">
        <f t="shared" si="93"/>
        <v/>
      </c>
      <c r="AO280" s="2056" t="str">
        <f t="shared" si="94"/>
        <v/>
      </c>
      <c r="AQ280" s="2056" t="str">
        <f t="shared" si="95"/>
        <v/>
      </c>
    </row>
    <row r="281" spans="5:43">
      <c r="E281" s="2056" t="str">
        <f t="shared" si="79"/>
        <v/>
      </c>
      <c r="G281" s="2056" t="str">
        <f t="shared" si="79"/>
        <v/>
      </c>
      <c r="I281" s="2056" t="str">
        <f t="shared" si="80"/>
        <v/>
      </c>
      <c r="K281" s="2056" t="str">
        <f t="shared" si="81"/>
        <v/>
      </c>
      <c r="M281" s="2056" t="str">
        <f t="shared" si="82"/>
        <v/>
      </c>
      <c r="O281" s="2056" t="str">
        <f t="shared" si="83"/>
        <v/>
      </c>
      <c r="Q281" s="2056" t="str">
        <f t="shared" si="77"/>
        <v/>
      </c>
      <c r="S281" s="2056" t="str">
        <f t="shared" si="84"/>
        <v/>
      </c>
      <c r="U281" s="2056" t="str">
        <f t="shared" si="85"/>
        <v/>
      </c>
      <c r="W281" s="2056" t="str">
        <f t="shared" si="78"/>
        <v/>
      </c>
      <c r="Y281" s="2056" t="str">
        <f t="shared" si="86"/>
        <v/>
      </c>
      <c r="AA281" s="2056" t="str">
        <f t="shared" si="87"/>
        <v/>
      </c>
      <c r="AC281" s="2056" t="str">
        <f t="shared" si="88"/>
        <v/>
      </c>
      <c r="AE281" s="2056" t="str">
        <f t="shared" si="89"/>
        <v/>
      </c>
      <c r="AG281" s="2056" t="str">
        <f t="shared" si="90"/>
        <v/>
      </c>
      <c r="AI281" s="2056" t="str">
        <f t="shared" si="91"/>
        <v/>
      </c>
      <c r="AK281" s="2056" t="str">
        <f t="shared" si="92"/>
        <v/>
      </c>
      <c r="AM281" s="2056" t="str">
        <f t="shared" si="93"/>
        <v/>
      </c>
      <c r="AO281" s="2056" t="str">
        <f t="shared" si="94"/>
        <v/>
      </c>
      <c r="AQ281" s="2056" t="str">
        <f t="shared" si="95"/>
        <v/>
      </c>
    </row>
    <row r="282" spans="5:43">
      <c r="E282" s="2056" t="str">
        <f t="shared" si="79"/>
        <v/>
      </c>
      <c r="G282" s="2056" t="str">
        <f t="shared" si="79"/>
        <v/>
      </c>
      <c r="I282" s="2056" t="str">
        <f t="shared" si="80"/>
        <v/>
      </c>
      <c r="K282" s="2056" t="str">
        <f t="shared" si="81"/>
        <v/>
      </c>
      <c r="M282" s="2056" t="str">
        <f t="shared" si="82"/>
        <v/>
      </c>
      <c r="O282" s="2056" t="str">
        <f t="shared" si="83"/>
        <v/>
      </c>
      <c r="Q282" s="2056" t="str">
        <f t="shared" si="77"/>
        <v/>
      </c>
      <c r="S282" s="2056" t="str">
        <f t="shared" si="84"/>
        <v/>
      </c>
      <c r="U282" s="2056" t="str">
        <f t="shared" si="85"/>
        <v/>
      </c>
      <c r="W282" s="2056" t="str">
        <f t="shared" si="78"/>
        <v/>
      </c>
      <c r="Y282" s="2056" t="str">
        <f t="shared" si="86"/>
        <v/>
      </c>
      <c r="AA282" s="2056" t="str">
        <f t="shared" si="87"/>
        <v/>
      </c>
      <c r="AC282" s="2056" t="str">
        <f t="shared" si="88"/>
        <v/>
      </c>
      <c r="AE282" s="2056" t="str">
        <f t="shared" si="89"/>
        <v/>
      </c>
      <c r="AG282" s="2056" t="str">
        <f t="shared" si="90"/>
        <v/>
      </c>
      <c r="AI282" s="2056" t="str">
        <f t="shared" si="91"/>
        <v/>
      </c>
      <c r="AK282" s="2056" t="str">
        <f t="shared" si="92"/>
        <v/>
      </c>
      <c r="AM282" s="2056" t="str">
        <f t="shared" si="93"/>
        <v/>
      </c>
      <c r="AO282" s="2056" t="str">
        <f t="shared" si="94"/>
        <v/>
      </c>
      <c r="AQ282" s="2056" t="str">
        <f t="shared" si="95"/>
        <v/>
      </c>
    </row>
    <row r="283" spans="5:43">
      <c r="E283" s="2056" t="str">
        <f t="shared" si="79"/>
        <v/>
      </c>
      <c r="G283" s="2056" t="str">
        <f t="shared" si="79"/>
        <v/>
      </c>
      <c r="I283" s="2056" t="str">
        <f t="shared" si="80"/>
        <v/>
      </c>
      <c r="K283" s="2056" t="str">
        <f t="shared" si="81"/>
        <v/>
      </c>
      <c r="M283" s="2056" t="str">
        <f t="shared" si="82"/>
        <v/>
      </c>
      <c r="O283" s="2056" t="str">
        <f t="shared" si="83"/>
        <v/>
      </c>
      <c r="Q283" s="2056" t="str">
        <f t="shared" si="77"/>
        <v/>
      </c>
      <c r="S283" s="2056" t="str">
        <f t="shared" si="84"/>
        <v/>
      </c>
      <c r="U283" s="2056" t="str">
        <f t="shared" si="85"/>
        <v/>
      </c>
      <c r="W283" s="2056" t="str">
        <f t="shared" si="78"/>
        <v/>
      </c>
      <c r="Y283" s="2056" t="str">
        <f t="shared" si="86"/>
        <v/>
      </c>
      <c r="AA283" s="2056" t="str">
        <f t="shared" si="87"/>
        <v/>
      </c>
      <c r="AC283" s="2056" t="str">
        <f t="shared" si="88"/>
        <v/>
      </c>
      <c r="AE283" s="2056" t="str">
        <f t="shared" si="89"/>
        <v/>
      </c>
      <c r="AG283" s="2056" t="str">
        <f t="shared" si="90"/>
        <v/>
      </c>
      <c r="AI283" s="2056" t="str">
        <f t="shared" si="91"/>
        <v/>
      </c>
      <c r="AK283" s="2056" t="str">
        <f t="shared" si="92"/>
        <v/>
      </c>
      <c r="AM283" s="2056" t="str">
        <f t="shared" si="93"/>
        <v/>
      </c>
      <c r="AO283" s="2056" t="str">
        <f t="shared" si="94"/>
        <v/>
      </c>
      <c r="AQ283" s="2056" t="str">
        <f t="shared" si="95"/>
        <v/>
      </c>
    </row>
    <row r="284" spans="5:43">
      <c r="E284" s="2056" t="str">
        <f t="shared" si="79"/>
        <v/>
      </c>
      <c r="G284" s="2056" t="str">
        <f t="shared" si="79"/>
        <v/>
      </c>
      <c r="I284" s="2056" t="str">
        <f t="shared" si="80"/>
        <v/>
      </c>
      <c r="K284" s="2056" t="str">
        <f t="shared" si="81"/>
        <v/>
      </c>
      <c r="M284" s="2056" t="str">
        <f t="shared" si="82"/>
        <v/>
      </c>
      <c r="O284" s="2056" t="str">
        <f t="shared" si="83"/>
        <v/>
      </c>
      <c r="Q284" s="2056" t="str">
        <f t="shared" si="77"/>
        <v/>
      </c>
      <c r="S284" s="2056" t="str">
        <f t="shared" si="84"/>
        <v/>
      </c>
      <c r="U284" s="2056" t="str">
        <f t="shared" si="85"/>
        <v/>
      </c>
      <c r="W284" s="2056" t="str">
        <f t="shared" si="78"/>
        <v/>
      </c>
      <c r="Y284" s="2056" t="str">
        <f t="shared" si="86"/>
        <v/>
      </c>
      <c r="AA284" s="2056" t="str">
        <f t="shared" si="87"/>
        <v/>
      </c>
      <c r="AC284" s="2056" t="str">
        <f t="shared" si="88"/>
        <v/>
      </c>
      <c r="AE284" s="2056" t="str">
        <f t="shared" si="89"/>
        <v/>
      </c>
      <c r="AG284" s="2056" t="str">
        <f t="shared" si="90"/>
        <v/>
      </c>
      <c r="AI284" s="2056" t="str">
        <f t="shared" si="91"/>
        <v/>
      </c>
      <c r="AK284" s="2056" t="str">
        <f t="shared" si="92"/>
        <v/>
      </c>
      <c r="AM284" s="2056" t="str">
        <f t="shared" si="93"/>
        <v/>
      </c>
      <c r="AO284" s="2056" t="str">
        <f t="shared" si="94"/>
        <v/>
      </c>
      <c r="AQ284" s="2056" t="str">
        <f t="shared" si="95"/>
        <v/>
      </c>
    </row>
    <row r="285" spans="5:43">
      <c r="E285" s="2056" t="str">
        <f t="shared" si="79"/>
        <v/>
      </c>
      <c r="G285" s="2056" t="str">
        <f t="shared" si="79"/>
        <v/>
      </c>
      <c r="I285" s="2056" t="str">
        <f t="shared" si="80"/>
        <v/>
      </c>
      <c r="K285" s="2056" t="str">
        <f t="shared" si="81"/>
        <v/>
      </c>
      <c r="M285" s="2056" t="str">
        <f t="shared" si="82"/>
        <v/>
      </c>
      <c r="O285" s="2056" t="str">
        <f t="shared" si="83"/>
        <v/>
      </c>
      <c r="Q285" s="2056" t="str">
        <f t="shared" si="77"/>
        <v/>
      </c>
      <c r="S285" s="2056" t="str">
        <f t="shared" si="84"/>
        <v/>
      </c>
      <c r="U285" s="2056" t="str">
        <f t="shared" si="85"/>
        <v/>
      </c>
      <c r="W285" s="2056" t="str">
        <f t="shared" si="78"/>
        <v/>
      </c>
      <c r="Y285" s="2056" t="str">
        <f t="shared" si="86"/>
        <v/>
      </c>
      <c r="AA285" s="2056" t="str">
        <f t="shared" si="87"/>
        <v/>
      </c>
      <c r="AC285" s="2056" t="str">
        <f t="shared" si="88"/>
        <v/>
      </c>
      <c r="AE285" s="2056" t="str">
        <f t="shared" si="89"/>
        <v/>
      </c>
      <c r="AG285" s="2056" t="str">
        <f t="shared" si="90"/>
        <v/>
      </c>
      <c r="AI285" s="2056" t="str">
        <f t="shared" si="91"/>
        <v/>
      </c>
      <c r="AK285" s="2056" t="str">
        <f t="shared" si="92"/>
        <v/>
      </c>
      <c r="AM285" s="2056" t="str">
        <f t="shared" si="93"/>
        <v/>
      </c>
      <c r="AO285" s="2056" t="str">
        <f t="shared" si="94"/>
        <v/>
      </c>
      <c r="AQ285" s="2056" t="str">
        <f t="shared" si="95"/>
        <v/>
      </c>
    </row>
    <row r="286" spans="5:43">
      <c r="E286" s="2056" t="str">
        <f t="shared" si="79"/>
        <v/>
      </c>
      <c r="G286" s="2056" t="str">
        <f t="shared" si="79"/>
        <v/>
      </c>
      <c r="I286" s="2056" t="str">
        <f t="shared" si="80"/>
        <v/>
      </c>
      <c r="K286" s="2056" t="str">
        <f t="shared" si="81"/>
        <v/>
      </c>
      <c r="M286" s="2056" t="str">
        <f t="shared" si="82"/>
        <v/>
      </c>
      <c r="O286" s="2056" t="str">
        <f t="shared" si="83"/>
        <v/>
      </c>
      <c r="Q286" s="2056" t="str">
        <f t="shared" si="77"/>
        <v/>
      </c>
      <c r="S286" s="2056" t="str">
        <f t="shared" si="84"/>
        <v/>
      </c>
      <c r="U286" s="2056" t="str">
        <f t="shared" si="85"/>
        <v/>
      </c>
      <c r="W286" s="2056" t="str">
        <f t="shared" si="78"/>
        <v/>
      </c>
      <c r="Y286" s="2056" t="str">
        <f t="shared" si="86"/>
        <v/>
      </c>
      <c r="AA286" s="2056" t="str">
        <f t="shared" si="87"/>
        <v/>
      </c>
      <c r="AC286" s="2056" t="str">
        <f t="shared" si="88"/>
        <v/>
      </c>
      <c r="AE286" s="2056" t="str">
        <f t="shared" si="89"/>
        <v/>
      </c>
      <c r="AG286" s="2056" t="str">
        <f t="shared" si="90"/>
        <v/>
      </c>
      <c r="AI286" s="2056" t="str">
        <f t="shared" si="91"/>
        <v/>
      </c>
      <c r="AK286" s="2056" t="str">
        <f t="shared" si="92"/>
        <v/>
      </c>
      <c r="AM286" s="2056" t="str">
        <f t="shared" si="93"/>
        <v/>
      </c>
      <c r="AO286" s="2056" t="str">
        <f t="shared" si="94"/>
        <v/>
      </c>
      <c r="AQ286" s="2056" t="str">
        <f t="shared" si="95"/>
        <v/>
      </c>
    </row>
    <row r="287" spans="5:43">
      <c r="E287" s="2056" t="str">
        <f t="shared" si="79"/>
        <v/>
      </c>
      <c r="G287" s="2056" t="str">
        <f t="shared" si="79"/>
        <v/>
      </c>
      <c r="I287" s="2056" t="str">
        <f t="shared" si="80"/>
        <v/>
      </c>
      <c r="K287" s="2056" t="str">
        <f t="shared" si="81"/>
        <v/>
      </c>
      <c r="M287" s="2056" t="str">
        <f t="shared" si="82"/>
        <v/>
      </c>
      <c r="O287" s="2056" t="str">
        <f t="shared" si="83"/>
        <v/>
      </c>
      <c r="Q287" s="2056" t="str">
        <f t="shared" si="77"/>
        <v/>
      </c>
      <c r="S287" s="2056" t="str">
        <f t="shared" si="84"/>
        <v/>
      </c>
      <c r="U287" s="2056" t="str">
        <f t="shared" si="85"/>
        <v/>
      </c>
      <c r="W287" s="2056" t="str">
        <f t="shared" si="78"/>
        <v/>
      </c>
      <c r="Y287" s="2056" t="str">
        <f t="shared" si="86"/>
        <v/>
      </c>
      <c r="AA287" s="2056" t="str">
        <f t="shared" si="87"/>
        <v/>
      </c>
      <c r="AC287" s="2056" t="str">
        <f t="shared" si="88"/>
        <v/>
      </c>
      <c r="AE287" s="2056" t="str">
        <f t="shared" si="89"/>
        <v/>
      </c>
      <c r="AG287" s="2056" t="str">
        <f t="shared" si="90"/>
        <v/>
      </c>
      <c r="AI287" s="2056" t="str">
        <f t="shared" si="91"/>
        <v/>
      </c>
      <c r="AK287" s="2056" t="str">
        <f t="shared" si="92"/>
        <v/>
      </c>
      <c r="AM287" s="2056" t="str">
        <f t="shared" si="93"/>
        <v/>
      </c>
      <c r="AO287" s="2056" t="str">
        <f t="shared" si="94"/>
        <v/>
      </c>
      <c r="AQ287" s="2056" t="str">
        <f t="shared" si="95"/>
        <v/>
      </c>
    </row>
    <row r="288" spans="5:43">
      <c r="E288" s="2056" t="str">
        <f t="shared" si="79"/>
        <v/>
      </c>
      <c r="G288" s="2056" t="str">
        <f t="shared" si="79"/>
        <v/>
      </c>
      <c r="I288" s="2056" t="str">
        <f t="shared" si="80"/>
        <v/>
      </c>
      <c r="K288" s="2056" t="str">
        <f t="shared" si="81"/>
        <v/>
      </c>
      <c r="M288" s="2056" t="str">
        <f t="shared" si="82"/>
        <v/>
      </c>
      <c r="O288" s="2056" t="str">
        <f t="shared" si="83"/>
        <v/>
      </c>
      <c r="Q288" s="2056" t="str">
        <f t="shared" si="77"/>
        <v/>
      </c>
      <c r="S288" s="2056" t="str">
        <f t="shared" si="84"/>
        <v/>
      </c>
      <c r="U288" s="2056" t="str">
        <f t="shared" si="85"/>
        <v/>
      </c>
      <c r="W288" s="2056" t="str">
        <f t="shared" si="78"/>
        <v/>
      </c>
      <c r="Y288" s="2056" t="str">
        <f t="shared" si="86"/>
        <v/>
      </c>
      <c r="AA288" s="2056" t="str">
        <f t="shared" si="87"/>
        <v/>
      </c>
      <c r="AC288" s="2056" t="str">
        <f t="shared" si="88"/>
        <v/>
      </c>
      <c r="AE288" s="2056" t="str">
        <f t="shared" si="89"/>
        <v/>
      </c>
      <c r="AG288" s="2056" t="str">
        <f t="shared" si="90"/>
        <v/>
      </c>
      <c r="AI288" s="2056" t="str">
        <f t="shared" si="91"/>
        <v/>
      </c>
      <c r="AK288" s="2056" t="str">
        <f t="shared" si="92"/>
        <v/>
      </c>
      <c r="AM288" s="2056" t="str">
        <f t="shared" si="93"/>
        <v/>
      </c>
      <c r="AO288" s="2056" t="str">
        <f t="shared" si="94"/>
        <v/>
      </c>
      <c r="AQ288" s="2056" t="str">
        <f t="shared" si="95"/>
        <v/>
      </c>
    </row>
    <row r="289" spans="5:43">
      <c r="E289" s="2056" t="str">
        <f t="shared" si="79"/>
        <v/>
      </c>
      <c r="G289" s="2056" t="str">
        <f t="shared" si="79"/>
        <v/>
      </c>
      <c r="I289" s="2056" t="str">
        <f t="shared" si="80"/>
        <v/>
      </c>
      <c r="K289" s="2056" t="str">
        <f t="shared" si="81"/>
        <v/>
      </c>
      <c r="M289" s="2056" t="str">
        <f t="shared" si="82"/>
        <v/>
      </c>
      <c r="O289" s="2056" t="str">
        <f t="shared" si="83"/>
        <v/>
      </c>
      <c r="Q289" s="2056" t="str">
        <f t="shared" si="77"/>
        <v/>
      </c>
      <c r="S289" s="2056" t="str">
        <f t="shared" si="84"/>
        <v/>
      </c>
      <c r="U289" s="2056" t="str">
        <f t="shared" si="85"/>
        <v/>
      </c>
      <c r="W289" s="2056" t="str">
        <f t="shared" si="78"/>
        <v/>
      </c>
      <c r="Y289" s="2056" t="str">
        <f t="shared" si="86"/>
        <v/>
      </c>
      <c r="AA289" s="2056" t="str">
        <f t="shared" si="87"/>
        <v/>
      </c>
      <c r="AC289" s="2056" t="str">
        <f t="shared" si="88"/>
        <v/>
      </c>
      <c r="AE289" s="2056" t="str">
        <f t="shared" si="89"/>
        <v/>
      </c>
      <c r="AG289" s="2056" t="str">
        <f t="shared" si="90"/>
        <v/>
      </c>
      <c r="AI289" s="2056" t="str">
        <f t="shared" si="91"/>
        <v/>
      </c>
      <c r="AK289" s="2056" t="str">
        <f t="shared" si="92"/>
        <v/>
      </c>
      <c r="AM289" s="2056" t="str">
        <f t="shared" si="93"/>
        <v/>
      </c>
      <c r="AO289" s="2056" t="str">
        <f t="shared" si="94"/>
        <v/>
      </c>
      <c r="AQ289" s="2056" t="str">
        <f t="shared" si="95"/>
        <v/>
      </c>
    </row>
    <row r="290" spans="5:43">
      <c r="E290" s="2056" t="str">
        <f t="shared" si="79"/>
        <v/>
      </c>
      <c r="G290" s="2056" t="str">
        <f t="shared" si="79"/>
        <v/>
      </c>
      <c r="I290" s="2056" t="str">
        <f t="shared" si="80"/>
        <v/>
      </c>
      <c r="K290" s="2056" t="str">
        <f t="shared" si="81"/>
        <v/>
      </c>
      <c r="M290" s="2056" t="str">
        <f t="shared" si="82"/>
        <v/>
      </c>
      <c r="O290" s="2056" t="str">
        <f t="shared" si="83"/>
        <v/>
      </c>
      <c r="Q290" s="2056" t="str">
        <f t="shared" si="77"/>
        <v/>
      </c>
      <c r="S290" s="2056" t="str">
        <f t="shared" si="84"/>
        <v/>
      </c>
      <c r="U290" s="2056" t="str">
        <f t="shared" si="85"/>
        <v/>
      </c>
      <c r="W290" s="2056" t="str">
        <f t="shared" si="78"/>
        <v/>
      </c>
      <c r="Y290" s="2056" t="str">
        <f t="shared" si="86"/>
        <v/>
      </c>
      <c r="AA290" s="2056" t="str">
        <f t="shared" si="87"/>
        <v/>
      </c>
      <c r="AC290" s="2056" t="str">
        <f t="shared" si="88"/>
        <v/>
      </c>
      <c r="AE290" s="2056" t="str">
        <f t="shared" si="89"/>
        <v/>
      </c>
      <c r="AG290" s="2056" t="str">
        <f t="shared" si="90"/>
        <v/>
      </c>
      <c r="AI290" s="2056" t="str">
        <f t="shared" si="91"/>
        <v/>
      </c>
      <c r="AK290" s="2056" t="str">
        <f t="shared" si="92"/>
        <v/>
      </c>
      <c r="AM290" s="2056" t="str">
        <f t="shared" si="93"/>
        <v/>
      </c>
      <c r="AO290" s="2056" t="str">
        <f t="shared" si="94"/>
        <v/>
      </c>
      <c r="AQ290" s="2056" t="str">
        <f t="shared" si="95"/>
        <v/>
      </c>
    </row>
    <row r="291" spans="5:43">
      <c r="E291" s="2056" t="str">
        <f t="shared" si="79"/>
        <v/>
      </c>
      <c r="G291" s="2056" t="str">
        <f t="shared" si="79"/>
        <v/>
      </c>
      <c r="I291" s="2056" t="str">
        <f t="shared" si="80"/>
        <v/>
      </c>
      <c r="K291" s="2056" t="str">
        <f t="shared" si="81"/>
        <v/>
      </c>
      <c r="M291" s="2056" t="str">
        <f t="shared" si="82"/>
        <v/>
      </c>
      <c r="O291" s="2056" t="str">
        <f t="shared" si="83"/>
        <v/>
      </c>
      <c r="Q291" s="2056" t="str">
        <f t="shared" si="77"/>
        <v/>
      </c>
      <c r="S291" s="2056" t="str">
        <f t="shared" si="84"/>
        <v/>
      </c>
      <c r="U291" s="2056" t="str">
        <f t="shared" si="85"/>
        <v/>
      </c>
      <c r="W291" s="2056" t="str">
        <f t="shared" si="78"/>
        <v/>
      </c>
      <c r="Y291" s="2056" t="str">
        <f t="shared" si="86"/>
        <v/>
      </c>
      <c r="AA291" s="2056" t="str">
        <f t="shared" si="87"/>
        <v/>
      </c>
      <c r="AC291" s="2056" t="str">
        <f t="shared" si="88"/>
        <v/>
      </c>
      <c r="AE291" s="2056" t="str">
        <f t="shared" si="89"/>
        <v/>
      </c>
      <c r="AG291" s="2056" t="str">
        <f t="shared" si="90"/>
        <v/>
      </c>
      <c r="AI291" s="2056" t="str">
        <f t="shared" si="91"/>
        <v/>
      </c>
      <c r="AK291" s="2056" t="str">
        <f t="shared" si="92"/>
        <v/>
      </c>
      <c r="AM291" s="2056" t="str">
        <f t="shared" si="93"/>
        <v/>
      </c>
      <c r="AO291" s="2056" t="str">
        <f t="shared" si="94"/>
        <v/>
      </c>
      <c r="AQ291" s="2056" t="str">
        <f t="shared" si="95"/>
        <v/>
      </c>
    </row>
    <row r="292" spans="5:43">
      <c r="E292" s="2056" t="str">
        <f t="shared" si="79"/>
        <v/>
      </c>
      <c r="G292" s="2056" t="str">
        <f t="shared" si="79"/>
        <v/>
      </c>
      <c r="I292" s="2056" t="str">
        <f t="shared" si="80"/>
        <v/>
      </c>
      <c r="K292" s="2056" t="str">
        <f t="shared" si="81"/>
        <v/>
      </c>
      <c r="M292" s="2056" t="str">
        <f t="shared" si="82"/>
        <v/>
      </c>
      <c r="O292" s="2056" t="str">
        <f t="shared" si="83"/>
        <v/>
      </c>
      <c r="Q292" s="2056" t="str">
        <f t="shared" si="77"/>
        <v/>
      </c>
      <c r="S292" s="2056" t="str">
        <f t="shared" si="84"/>
        <v/>
      </c>
      <c r="U292" s="2056" t="str">
        <f t="shared" si="85"/>
        <v/>
      </c>
      <c r="W292" s="2056" t="str">
        <f t="shared" si="78"/>
        <v/>
      </c>
      <c r="Y292" s="2056" t="str">
        <f t="shared" si="86"/>
        <v/>
      </c>
      <c r="AA292" s="2056" t="str">
        <f t="shared" si="87"/>
        <v/>
      </c>
      <c r="AC292" s="2056" t="str">
        <f t="shared" si="88"/>
        <v/>
      </c>
      <c r="AE292" s="2056" t="str">
        <f t="shared" si="89"/>
        <v/>
      </c>
      <c r="AG292" s="2056" t="str">
        <f t="shared" si="90"/>
        <v/>
      </c>
      <c r="AI292" s="2056" t="str">
        <f t="shared" si="91"/>
        <v/>
      </c>
      <c r="AK292" s="2056" t="str">
        <f t="shared" si="92"/>
        <v/>
      </c>
      <c r="AM292" s="2056" t="str">
        <f t="shared" si="93"/>
        <v/>
      </c>
      <c r="AO292" s="2056" t="str">
        <f t="shared" si="94"/>
        <v/>
      </c>
      <c r="AQ292" s="2056" t="str">
        <f t="shared" si="95"/>
        <v/>
      </c>
    </row>
    <row r="293" spans="5:43">
      <c r="E293" s="2056" t="str">
        <f t="shared" si="79"/>
        <v/>
      </c>
      <c r="G293" s="2056" t="str">
        <f t="shared" si="79"/>
        <v/>
      </c>
      <c r="I293" s="2056" t="str">
        <f t="shared" si="80"/>
        <v/>
      </c>
      <c r="K293" s="2056" t="str">
        <f t="shared" si="81"/>
        <v/>
      </c>
      <c r="M293" s="2056" t="str">
        <f t="shared" si="82"/>
        <v/>
      </c>
      <c r="O293" s="2056" t="str">
        <f t="shared" si="83"/>
        <v/>
      </c>
      <c r="Q293" s="2056" t="str">
        <f t="shared" si="77"/>
        <v/>
      </c>
      <c r="S293" s="2056" t="str">
        <f t="shared" si="84"/>
        <v/>
      </c>
      <c r="U293" s="2056" t="str">
        <f t="shared" si="85"/>
        <v/>
      </c>
      <c r="W293" s="2056" t="str">
        <f t="shared" si="78"/>
        <v/>
      </c>
      <c r="Y293" s="2056" t="str">
        <f t="shared" si="86"/>
        <v/>
      </c>
      <c r="AA293" s="2056" t="str">
        <f t="shared" si="87"/>
        <v/>
      </c>
      <c r="AC293" s="2056" t="str">
        <f t="shared" si="88"/>
        <v/>
      </c>
      <c r="AE293" s="2056" t="str">
        <f t="shared" si="89"/>
        <v/>
      </c>
      <c r="AG293" s="2056" t="str">
        <f t="shared" si="90"/>
        <v/>
      </c>
      <c r="AI293" s="2056" t="str">
        <f t="shared" si="91"/>
        <v/>
      </c>
      <c r="AK293" s="2056" t="str">
        <f t="shared" si="92"/>
        <v/>
      </c>
      <c r="AM293" s="2056" t="str">
        <f t="shared" si="93"/>
        <v/>
      </c>
      <c r="AO293" s="2056" t="str">
        <f t="shared" si="94"/>
        <v/>
      </c>
      <c r="AQ293" s="2056" t="str">
        <f t="shared" si="95"/>
        <v/>
      </c>
    </row>
    <row r="294" spans="5:43">
      <c r="E294" s="2056" t="str">
        <f t="shared" si="79"/>
        <v/>
      </c>
      <c r="G294" s="2056" t="str">
        <f t="shared" si="79"/>
        <v/>
      </c>
      <c r="I294" s="2056" t="str">
        <f t="shared" si="80"/>
        <v/>
      </c>
      <c r="K294" s="2056" t="str">
        <f t="shared" si="81"/>
        <v/>
      </c>
      <c r="M294" s="2056" t="str">
        <f t="shared" si="82"/>
        <v/>
      </c>
      <c r="O294" s="2056" t="str">
        <f t="shared" si="83"/>
        <v/>
      </c>
      <c r="Q294" s="2056" t="str">
        <f t="shared" si="77"/>
        <v/>
      </c>
      <c r="S294" s="2056" t="str">
        <f t="shared" si="84"/>
        <v/>
      </c>
      <c r="U294" s="2056" t="str">
        <f t="shared" si="85"/>
        <v/>
      </c>
      <c r="W294" s="2056" t="str">
        <f t="shared" si="78"/>
        <v/>
      </c>
      <c r="Y294" s="2056" t="str">
        <f t="shared" si="86"/>
        <v/>
      </c>
      <c r="AA294" s="2056" t="str">
        <f t="shared" si="87"/>
        <v/>
      </c>
      <c r="AC294" s="2056" t="str">
        <f t="shared" si="88"/>
        <v/>
      </c>
      <c r="AE294" s="2056" t="str">
        <f t="shared" si="89"/>
        <v/>
      </c>
      <c r="AG294" s="2056" t="str">
        <f t="shared" si="90"/>
        <v/>
      </c>
      <c r="AI294" s="2056" t="str">
        <f t="shared" si="91"/>
        <v/>
      </c>
      <c r="AK294" s="2056" t="str">
        <f t="shared" si="92"/>
        <v/>
      </c>
      <c r="AM294" s="2056" t="str">
        <f t="shared" si="93"/>
        <v/>
      </c>
      <c r="AO294" s="2056" t="str">
        <f t="shared" si="94"/>
        <v/>
      </c>
      <c r="AQ294" s="2056" t="str">
        <f t="shared" si="95"/>
        <v/>
      </c>
    </row>
    <row r="295" spans="5:43">
      <c r="E295" s="2056" t="str">
        <f t="shared" si="79"/>
        <v/>
      </c>
      <c r="G295" s="2056" t="str">
        <f t="shared" si="79"/>
        <v/>
      </c>
      <c r="I295" s="2056" t="str">
        <f t="shared" si="80"/>
        <v/>
      </c>
      <c r="K295" s="2056" t="str">
        <f t="shared" si="81"/>
        <v/>
      </c>
      <c r="M295" s="2056" t="str">
        <f t="shared" si="82"/>
        <v/>
      </c>
      <c r="O295" s="2056" t="str">
        <f t="shared" si="83"/>
        <v/>
      </c>
      <c r="Q295" s="2056" t="str">
        <f t="shared" si="77"/>
        <v/>
      </c>
      <c r="S295" s="2056" t="str">
        <f t="shared" si="84"/>
        <v/>
      </c>
      <c r="U295" s="2056" t="str">
        <f t="shared" si="85"/>
        <v/>
      </c>
      <c r="W295" s="2056" t="str">
        <f t="shared" si="78"/>
        <v/>
      </c>
      <c r="Y295" s="2056" t="str">
        <f t="shared" si="86"/>
        <v/>
      </c>
      <c r="AA295" s="2056" t="str">
        <f t="shared" si="87"/>
        <v/>
      </c>
      <c r="AC295" s="2056" t="str">
        <f t="shared" si="88"/>
        <v/>
      </c>
      <c r="AE295" s="2056" t="str">
        <f t="shared" si="89"/>
        <v/>
      </c>
      <c r="AG295" s="2056" t="str">
        <f t="shared" si="90"/>
        <v/>
      </c>
      <c r="AI295" s="2056" t="str">
        <f t="shared" si="91"/>
        <v/>
      </c>
      <c r="AK295" s="2056" t="str">
        <f t="shared" si="92"/>
        <v/>
      </c>
      <c r="AM295" s="2056" t="str">
        <f t="shared" si="93"/>
        <v/>
      </c>
      <c r="AO295" s="2056" t="str">
        <f t="shared" si="94"/>
        <v/>
      </c>
      <c r="AQ295" s="2056" t="str">
        <f t="shared" si="95"/>
        <v/>
      </c>
    </row>
    <row r="296" spans="5:43">
      <c r="E296" s="2056" t="str">
        <f t="shared" si="79"/>
        <v/>
      </c>
      <c r="G296" s="2056" t="str">
        <f t="shared" si="79"/>
        <v/>
      </c>
      <c r="I296" s="2056" t="str">
        <f t="shared" si="80"/>
        <v/>
      </c>
      <c r="K296" s="2056" t="str">
        <f t="shared" si="81"/>
        <v/>
      </c>
      <c r="M296" s="2056" t="str">
        <f t="shared" si="82"/>
        <v/>
      </c>
      <c r="O296" s="2056" t="str">
        <f t="shared" si="83"/>
        <v/>
      </c>
      <c r="Q296" s="2056" t="str">
        <f t="shared" si="77"/>
        <v/>
      </c>
      <c r="S296" s="2056" t="str">
        <f t="shared" si="84"/>
        <v/>
      </c>
      <c r="U296" s="2056" t="str">
        <f t="shared" si="85"/>
        <v/>
      </c>
      <c r="W296" s="2056" t="str">
        <f t="shared" si="78"/>
        <v/>
      </c>
      <c r="Y296" s="2056" t="str">
        <f t="shared" si="86"/>
        <v/>
      </c>
      <c r="AA296" s="2056" t="str">
        <f t="shared" si="87"/>
        <v/>
      </c>
      <c r="AC296" s="2056" t="str">
        <f t="shared" si="88"/>
        <v/>
      </c>
      <c r="AE296" s="2056" t="str">
        <f t="shared" si="89"/>
        <v/>
      </c>
      <c r="AG296" s="2056" t="str">
        <f t="shared" si="90"/>
        <v/>
      </c>
      <c r="AI296" s="2056" t="str">
        <f t="shared" si="91"/>
        <v/>
      </c>
      <c r="AK296" s="2056" t="str">
        <f t="shared" si="92"/>
        <v/>
      </c>
      <c r="AM296" s="2056" t="str">
        <f t="shared" si="93"/>
        <v/>
      </c>
      <c r="AO296" s="2056" t="str">
        <f t="shared" si="94"/>
        <v/>
      </c>
      <c r="AQ296" s="2056" t="str">
        <f t="shared" si="95"/>
        <v/>
      </c>
    </row>
    <row r="297" spans="5:43">
      <c r="E297" s="2056" t="str">
        <f t="shared" si="79"/>
        <v/>
      </c>
      <c r="G297" s="2056" t="str">
        <f t="shared" si="79"/>
        <v/>
      </c>
      <c r="I297" s="2056" t="str">
        <f t="shared" si="80"/>
        <v/>
      </c>
      <c r="K297" s="2056" t="str">
        <f t="shared" si="81"/>
        <v/>
      </c>
      <c r="M297" s="2056" t="str">
        <f t="shared" si="82"/>
        <v/>
      </c>
      <c r="O297" s="2056" t="str">
        <f t="shared" si="83"/>
        <v/>
      </c>
      <c r="Q297" s="2056" t="str">
        <f t="shared" si="77"/>
        <v/>
      </c>
      <c r="S297" s="2056" t="str">
        <f t="shared" si="84"/>
        <v/>
      </c>
      <c r="U297" s="2056" t="str">
        <f t="shared" si="85"/>
        <v/>
      </c>
      <c r="W297" s="2056" t="str">
        <f t="shared" si="78"/>
        <v/>
      </c>
      <c r="Y297" s="2056" t="str">
        <f t="shared" si="86"/>
        <v/>
      </c>
      <c r="AA297" s="2056" t="str">
        <f t="shared" si="87"/>
        <v/>
      </c>
      <c r="AC297" s="2056" t="str">
        <f t="shared" si="88"/>
        <v/>
      </c>
      <c r="AE297" s="2056" t="str">
        <f t="shared" si="89"/>
        <v/>
      </c>
      <c r="AG297" s="2056" t="str">
        <f t="shared" si="90"/>
        <v/>
      </c>
      <c r="AI297" s="2056" t="str">
        <f t="shared" si="91"/>
        <v/>
      </c>
      <c r="AK297" s="2056" t="str">
        <f t="shared" si="92"/>
        <v/>
      </c>
      <c r="AM297" s="2056" t="str">
        <f t="shared" si="93"/>
        <v/>
      </c>
      <c r="AO297" s="2056" t="str">
        <f t="shared" si="94"/>
        <v/>
      </c>
      <c r="AQ297" s="2056" t="str">
        <f t="shared" si="95"/>
        <v/>
      </c>
    </row>
    <row r="298" spans="5:43">
      <c r="E298" s="2056" t="str">
        <f t="shared" si="79"/>
        <v/>
      </c>
      <c r="G298" s="2056" t="str">
        <f t="shared" si="79"/>
        <v/>
      </c>
      <c r="I298" s="2056" t="str">
        <f t="shared" si="80"/>
        <v/>
      </c>
      <c r="K298" s="2056" t="str">
        <f t="shared" si="81"/>
        <v/>
      </c>
      <c r="M298" s="2056" t="str">
        <f t="shared" si="82"/>
        <v/>
      </c>
      <c r="O298" s="2056" t="str">
        <f t="shared" si="83"/>
        <v/>
      </c>
      <c r="Q298" s="2056" t="str">
        <f t="shared" si="77"/>
        <v/>
      </c>
      <c r="S298" s="2056" t="str">
        <f t="shared" si="84"/>
        <v/>
      </c>
      <c r="U298" s="2056" t="str">
        <f t="shared" si="85"/>
        <v/>
      </c>
      <c r="W298" s="2056" t="str">
        <f t="shared" si="78"/>
        <v/>
      </c>
      <c r="Y298" s="2056" t="str">
        <f t="shared" si="86"/>
        <v/>
      </c>
      <c r="AA298" s="2056" t="str">
        <f t="shared" si="87"/>
        <v/>
      </c>
      <c r="AC298" s="2056" t="str">
        <f t="shared" si="88"/>
        <v/>
      </c>
      <c r="AE298" s="2056" t="str">
        <f t="shared" si="89"/>
        <v/>
      </c>
      <c r="AG298" s="2056" t="str">
        <f t="shared" si="90"/>
        <v/>
      </c>
      <c r="AI298" s="2056" t="str">
        <f t="shared" si="91"/>
        <v/>
      </c>
      <c r="AK298" s="2056" t="str">
        <f t="shared" si="92"/>
        <v/>
      </c>
      <c r="AM298" s="2056" t="str">
        <f t="shared" si="93"/>
        <v/>
      </c>
      <c r="AO298" s="2056" t="str">
        <f t="shared" si="94"/>
        <v/>
      </c>
      <c r="AQ298" s="2056" t="str">
        <f t="shared" si="95"/>
        <v/>
      </c>
    </row>
    <row r="299" spans="5:43">
      <c r="E299" s="2056" t="str">
        <f t="shared" si="79"/>
        <v/>
      </c>
      <c r="G299" s="2056" t="str">
        <f t="shared" si="79"/>
        <v/>
      </c>
      <c r="I299" s="2056" t="str">
        <f t="shared" si="80"/>
        <v/>
      </c>
      <c r="K299" s="2056" t="str">
        <f t="shared" si="81"/>
        <v/>
      </c>
      <c r="M299" s="2056" t="str">
        <f t="shared" si="82"/>
        <v/>
      </c>
      <c r="O299" s="2056" t="str">
        <f t="shared" si="83"/>
        <v/>
      </c>
      <c r="Q299" s="2056" t="str">
        <f t="shared" si="77"/>
        <v/>
      </c>
      <c r="S299" s="2056" t="str">
        <f t="shared" si="84"/>
        <v/>
      </c>
      <c r="U299" s="2056" t="str">
        <f t="shared" si="85"/>
        <v/>
      </c>
      <c r="W299" s="2056" t="str">
        <f t="shared" si="78"/>
        <v/>
      </c>
      <c r="Y299" s="2056" t="str">
        <f t="shared" si="86"/>
        <v/>
      </c>
      <c r="AA299" s="2056" t="str">
        <f t="shared" si="87"/>
        <v/>
      </c>
      <c r="AC299" s="2056" t="str">
        <f t="shared" si="88"/>
        <v/>
      </c>
      <c r="AE299" s="2056" t="str">
        <f t="shared" si="89"/>
        <v/>
      </c>
      <c r="AG299" s="2056" t="str">
        <f t="shared" si="90"/>
        <v/>
      </c>
      <c r="AI299" s="2056" t="str">
        <f t="shared" si="91"/>
        <v/>
      </c>
      <c r="AK299" s="2056" t="str">
        <f t="shared" si="92"/>
        <v/>
      </c>
      <c r="AM299" s="2056" t="str">
        <f t="shared" si="93"/>
        <v/>
      </c>
      <c r="AO299" s="2056" t="str">
        <f t="shared" si="94"/>
        <v/>
      </c>
      <c r="AQ299" s="2056" t="str">
        <f t="shared" si="95"/>
        <v/>
      </c>
    </row>
    <row r="300" spans="5:43">
      <c r="E300" s="2056" t="str">
        <f t="shared" si="79"/>
        <v/>
      </c>
      <c r="G300" s="2056" t="str">
        <f t="shared" si="79"/>
        <v/>
      </c>
      <c r="I300" s="2056" t="str">
        <f t="shared" si="80"/>
        <v/>
      </c>
      <c r="K300" s="2056" t="str">
        <f t="shared" si="81"/>
        <v/>
      </c>
      <c r="M300" s="2056" t="str">
        <f t="shared" si="82"/>
        <v/>
      </c>
      <c r="O300" s="2056" t="str">
        <f t="shared" si="83"/>
        <v/>
      </c>
      <c r="Q300" s="2056" t="str">
        <f t="shared" si="77"/>
        <v/>
      </c>
      <c r="S300" s="2056" t="str">
        <f t="shared" si="84"/>
        <v/>
      </c>
      <c r="U300" s="2056" t="str">
        <f t="shared" si="85"/>
        <v/>
      </c>
      <c r="W300" s="2056" t="str">
        <f t="shared" si="78"/>
        <v/>
      </c>
      <c r="Y300" s="2056" t="str">
        <f t="shared" si="86"/>
        <v/>
      </c>
      <c r="AA300" s="2056" t="str">
        <f t="shared" si="87"/>
        <v/>
      </c>
      <c r="AC300" s="2056" t="str">
        <f t="shared" si="88"/>
        <v/>
      </c>
      <c r="AE300" s="2056" t="str">
        <f t="shared" si="89"/>
        <v/>
      </c>
      <c r="AG300" s="2056" t="str">
        <f t="shared" si="90"/>
        <v/>
      </c>
      <c r="AI300" s="2056" t="str">
        <f t="shared" si="91"/>
        <v/>
      </c>
      <c r="AK300" s="2056" t="str">
        <f t="shared" si="92"/>
        <v/>
      </c>
      <c r="AM300" s="2056" t="str">
        <f t="shared" si="93"/>
        <v/>
      </c>
      <c r="AO300" s="2056" t="str">
        <f t="shared" si="94"/>
        <v/>
      </c>
      <c r="AQ300" s="2056" t="str">
        <f t="shared" si="95"/>
        <v/>
      </c>
    </row>
  </sheetData>
  <mergeCells count="1">
    <mergeCell ref="A3:A6"/>
  </mergeCells>
  <conditionalFormatting sqref="E12:E300">
    <cfRule type="expression" dxfId="2" priority="4">
      <formula>AND(LEN(E12)&gt;0,OR(E12&lt;E$2,E12&gt;E$3))</formula>
    </cfRule>
  </conditionalFormatting>
  <conditionalFormatting sqref="G12:G300 I12:I300 K12:K300 M12:M300 O12:O300 Q12:Q300 S12:S300 U12:U300 Y12:Y300 AA12:AA300 AC12:AC300 AE12:AE300 AG12:AG300 AI12:AI300 AK12:AK300 AM12:AM300 AO12:AO300 AQ12:AQ300">
    <cfRule type="expression" dxfId="1" priority="3">
      <formula>AND(LEN(G12)&gt;0,OR(G12&lt;G$2,G12&gt;G$3))</formula>
    </cfRule>
  </conditionalFormatting>
  <conditionalFormatting sqref="W12:W300">
    <cfRule type="expression" dxfId="0" priority="1">
      <formula>AND(LEN(W12)&gt;0,OR(W12&lt;W$2,W12&gt;W$3))</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Z83"/>
  <sheetViews>
    <sheetView topLeftCell="A28" zoomScale="80" zoomScaleNormal="80" workbookViewId="0">
      <selection activeCell="F93" sqref="F92:G93"/>
    </sheetView>
  </sheetViews>
  <sheetFormatPr defaultColWidth="9.42578125" defaultRowHeight="15"/>
  <cols>
    <col min="1" max="1" width="5.5703125" customWidth="1"/>
    <col min="2" max="2" width="36.42578125" customWidth="1"/>
    <col min="3" max="3" width="19.42578125" customWidth="1"/>
    <col min="4" max="4" width="18.42578125" customWidth="1"/>
    <col min="5" max="5" width="13.42578125" style="713" customWidth="1"/>
    <col min="6" max="6" width="14.5703125" style="713" bestFit="1" customWidth="1"/>
    <col min="7" max="7" width="8.42578125" style="711" customWidth="1"/>
    <col min="8" max="8" width="18.5703125" style="711" bestFit="1" customWidth="1"/>
    <col min="9" max="9" width="15.5703125" style="711" bestFit="1" customWidth="1"/>
    <col min="10" max="16" width="10.5703125" style="716" customWidth="1"/>
    <col min="17" max="17" width="9.42578125" style="711" customWidth="1"/>
    <col min="18" max="18" width="11.5703125" style="716" bestFit="1" customWidth="1"/>
    <col min="19" max="19" width="9.5703125" style="711" customWidth="1"/>
    <col min="20" max="20" width="15.5703125" style="711" customWidth="1"/>
    <col min="21" max="21" width="27.5703125" style="712" customWidth="1"/>
    <col min="22" max="22" width="30.5703125" style="713" bestFit="1" customWidth="1"/>
    <col min="23" max="23" width="17.42578125" style="713" bestFit="1" customWidth="1"/>
    <col min="24" max="24" width="13.42578125" bestFit="1" customWidth="1"/>
    <col min="25" max="25" width="13.42578125" customWidth="1"/>
    <col min="26" max="26" width="9.42578125" style="640"/>
  </cols>
  <sheetData>
    <row r="1" spans="1:26" ht="15.75" thickBot="1">
      <c r="K1" s="716" t="s">
        <v>724</v>
      </c>
    </row>
    <row r="2" spans="1:26">
      <c r="A2" s="637"/>
      <c r="B2" s="638"/>
      <c r="C2" s="2429" t="s">
        <v>606</v>
      </c>
      <c r="D2" s="2430"/>
      <c r="E2" s="2431"/>
      <c r="F2" s="639"/>
      <c r="G2" s="717"/>
      <c r="H2" s="718"/>
      <c r="I2" s="718"/>
      <c r="J2" s="718"/>
      <c r="K2" s="719" t="s">
        <v>118</v>
      </c>
      <c r="L2" s="720" t="s">
        <v>119</v>
      </c>
      <c r="M2" s="720" t="s">
        <v>120</v>
      </c>
      <c r="N2" s="720" t="s">
        <v>354</v>
      </c>
      <c r="O2" s="720" t="s">
        <v>352</v>
      </c>
      <c r="P2" s="720" t="s">
        <v>353</v>
      </c>
      <c r="Q2" s="721"/>
      <c r="R2" s="721" t="s">
        <v>725</v>
      </c>
      <c r="S2" s="718"/>
      <c r="T2" s="718"/>
      <c r="U2" s="718"/>
      <c r="V2" s="718"/>
      <c r="W2" s="718"/>
      <c r="X2" s="718"/>
    </row>
    <row r="3" spans="1:26" ht="51.6" customHeight="1" thickBot="1">
      <c r="A3" s="641" t="s">
        <v>607</v>
      </c>
      <c r="B3" s="642" t="s">
        <v>608</v>
      </c>
      <c r="C3" s="643" t="s">
        <v>609</v>
      </c>
      <c r="D3" s="644" t="s">
        <v>610</v>
      </c>
      <c r="E3" s="645" t="s">
        <v>611</v>
      </c>
      <c r="F3" s="646" t="s">
        <v>607</v>
      </c>
      <c r="G3" s="646" t="s">
        <v>612</v>
      </c>
      <c r="H3" s="647" t="s">
        <v>613</v>
      </c>
      <c r="I3" s="648" t="s">
        <v>614</v>
      </c>
      <c r="J3" s="649">
        <f>'Integrated Team (FY21)'!O47</f>
        <v>41.218146467659885</v>
      </c>
      <c r="K3" s="722" t="e">
        <f>GLE!#REF!</f>
        <v>#REF!</v>
      </c>
      <c r="L3" s="722" t="e">
        <f>GLE!#REF!</f>
        <v>#REF!</v>
      </c>
      <c r="M3" s="722" t="e">
        <f>GLE!#REF!</f>
        <v>#REF!</v>
      </c>
      <c r="N3" s="722">
        <f>GLE!P84</f>
        <v>0</v>
      </c>
      <c r="O3" s="722">
        <f>GLE!V84</f>
        <v>0</v>
      </c>
      <c r="P3" s="722">
        <f>GLE!AB84</f>
        <v>0</v>
      </c>
      <c r="Q3" s="723" t="s">
        <v>615</v>
      </c>
      <c r="R3" s="722">
        <f>'Integrated Team (FY21)'!O95</f>
        <v>28.72414495221259</v>
      </c>
      <c r="S3" s="647" t="s">
        <v>616</v>
      </c>
      <c r="T3" s="730" t="s">
        <v>726</v>
      </c>
      <c r="U3" s="650" t="s">
        <v>617</v>
      </c>
      <c r="V3" s="651" t="s">
        <v>618</v>
      </c>
      <c r="W3" s="651" t="s">
        <v>619</v>
      </c>
      <c r="X3" s="651" t="s">
        <v>620</v>
      </c>
    </row>
    <row r="4" spans="1:26">
      <c r="A4" s="637" t="s">
        <v>621</v>
      </c>
      <c r="B4" s="638" t="s">
        <v>622</v>
      </c>
      <c r="C4" s="652" t="s">
        <v>623</v>
      </c>
      <c r="D4" s="653">
        <v>61</v>
      </c>
      <c r="E4" s="654">
        <v>1510253</v>
      </c>
      <c r="F4" s="2434" t="s">
        <v>624</v>
      </c>
      <c r="G4" s="2424" t="s">
        <v>625</v>
      </c>
      <c r="H4" s="2416">
        <v>430</v>
      </c>
      <c r="I4" s="2457">
        <v>337</v>
      </c>
      <c r="J4" s="2455">
        <f>I4*J3*365</f>
        <v>5070038.1062545041</v>
      </c>
      <c r="K4" s="724"/>
      <c r="L4" s="724"/>
      <c r="M4" s="724"/>
      <c r="N4" s="724"/>
      <c r="O4" s="724"/>
      <c r="P4" s="724"/>
      <c r="Q4" s="2448">
        <v>85</v>
      </c>
      <c r="R4" s="2442">
        <f>Q4*$R$3*365</f>
        <v>891166.59714239568</v>
      </c>
      <c r="S4" s="2416">
        <v>8</v>
      </c>
      <c r="T4" s="697"/>
      <c r="U4" s="2444" t="e">
        <f>SUM(J4+K5+L5+M5+R4+T5)</f>
        <v>#REF!</v>
      </c>
      <c r="V4" s="2418">
        <v>12343325.449999999</v>
      </c>
      <c r="W4" s="2420">
        <v>1315650</v>
      </c>
      <c r="X4" s="2422">
        <v>501434</v>
      </c>
      <c r="Y4" s="655"/>
    </row>
    <row r="5" spans="1:26">
      <c r="A5" s="656" t="s">
        <v>621</v>
      </c>
      <c r="B5" s="657" t="s">
        <v>622</v>
      </c>
      <c r="C5" s="658" t="s">
        <v>626</v>
      </c>
      <c r="D5" s="659">
        <v>138</v>
      </c>
      <c r="E5" s="660">
        <v>4123148</v>
      </c>
      <c r="F5" s="2435"/>
      <c r="G5" s="2437"/>
      <c r="H5" s="2438"/>
      <c r="I5" s="2463"/>
      <c r="J5" s="2464"/>
      <c r="K5" s="732" t="e">
        <f>33*K3*365</f>
        <v>#REF!</v>
      </c>
      <c r="L5" s="732" t="e">
        <f>32*L3*365</f>
        <v>#REF!</v>
      </c>
      <c r="M5" s="732" t="e">
        <f>20*M3*365</f>
        <v>#REF!</v>
      </c>
      <c r="N5" s="732">
        <v>0</v>
      </c>
      <c r="O5" s="732">
        <v>0</v>
      </c>
      <c r="P5" s="732">
        <v>0</v>
      </c>
      <c r="Q5" s="2459"/>
      <c r="R5" s="2460"/>
      <c r="S5" s="2438"/>
      <c r="T5" s="733" t="e">
        <f>S4*Z12*365</f>
        <v>#REF!</v>
      </c>
      <c r="U5" s="2461"/>
      <c r="V5" s="2428"/>
      <c r="W5" s="2439"/>
      <c r="X5" s="2440"/>
      <c r="Y5" s="655"/>
    </row>
    <row r="6" spans="1:26" ht="15.75" thickBot="1">
      <c r="A6" s="661" t="s">
        <v>621</v>
      </c>
      <c r="B6" s="662" t="s">
        <v>622</v>
      </c>
      <c r="C6" s="663" t="s">
        <v>627</v>
      </c>
      <c r="D6" s="664">
        <v>340</v>
      </c>
      <c r="E6" s="665">
        <v>7126390</v>
      </c>
      <c r="F6" s="2436"/>
      <c r="G6" s="2425"/>
      <c r="H6" s="2417"/>
      <c r="I6" s="2458"/>
      <c r="J6" s="2456"/>
      <c r="K6" s="725"/>
      <c r="L6" s="725"/>
      <c r="M6" s="725"/>
      <c r="N6" s="725"/>
      <c r="O6" s="725"/>
      <c r="P6" s="725"/>
      <c r="Q6" s="2449"/>
      <c r="R6" s="2443"/>
      <c r="S6" s="2417"/>
      <c r="T6" s="731"/>
      <c r="U6" s="2462"/>
      <c r="V6" s="2419"/>
      <c r="W6" s="2421"/>
      <c r="X6" s="2423"/>
      <c r="Y6" s="655"/>
    </row>
    <row r="7" spans="1:26">
      <c r="A7" s="637" t="s">
        <v>621</v>
      </c>
      <c r="B7" s="638" t="s">
        <v>628</v>
      </c>
      <c r="C7" s="652" t="s">
        <v>629</v>
      </c>
      <c r="D7" s="653">
        <v>300</v>
      </c>
      <c r="E7" s="654">
        <v>5538887</v>
      </c>
      <c r="F7" s="2424" t="s">
        <v>624</v>
      </c>
      <c r="G7" s="2424" t="s">
        <v>630</v>
      </c>
      <c r="H7" s="2416">
        <v>492</v>
      </c>
      <c r="I7" s="2457">
        <v>425</v>
      </c>
      <c r="J7" s="2455">
        <f>I7*J3*365</f>
        <v>6393964.9707957394</v>
      </c>
      <c r="K7" s="2442" t="e">
        <f>21*K3*365</f>
        <v>#REF!</v>
      </c>
      <c r="L7" s="2442" t="e">
        <f>24*L3*365</f>
        <v>#REF!</v>
      </c>
      <c r="M7" s="2442" t="e">
        <f>10*M3*365</f>
        <v>#REF!</v>
      </c>
      <c r="N7" s="2442">
        <v>0</v>
      </c>
      <c r="O7" s="2442">
        <v>0</v>
      </c>
      <c r="P7" s="2442">
        <v>0</v>
      </c>
      <c r="Q7" s="2448">
        <v>55</v>
      </c>
      <c r="R7" s="2442">
        <f>Q7*$R$3*365</f>
        <v>576637.20991566777</v>
      </c>
      <c r="S7" s="2416">
        <v>12</v>
      </c>
      <c r="T7" s="2453" t="e">
        <f>SUM(4*Z11)*365+SUM(8*Z12)*365</f>
        <v>#REF!</v>
      </c>
      <c r="U7" s="2444" t="e">
        <f>SUM(J7:P8)+T7+R7</f>
        <v>#REF!</v>
      </c>
      <c r="V7" s="2418">
        <v>11894317.050000001</v>
      </c>
      <c r="W7" s="2420">
        <v>1027987.4999999999</v>
      </c>
      <c r="X7" s="2422">
        <v>310467</v>
      </c>
      <c r="Y7" s="666"/>
    </row>
    <row r="8" spans="1:26" ht="15.75" thickBot="1">
      <c r="A8" s="661" t="s">
        <v>621</v>
      </c>
      <c r="B8" s="662" t="s">
        <v>628</v>
      </c>
      <c r="C8" s="663" t="s">
        <v>629</v>
      </c>
      <c r="D8" s="664">
        <v>296</v>
      </c>
      <c r="E8" s="665">
        <v>4982208</v>
      </c>
      <c r="F8" s="2425"/>
      <c r="G8" s="2425"/>
      <c r="H8" s="2417"/>
      <c r="I8" s="2458"/>
      <c r="J8" s="2456"/>
      <c r="K8" s="2443"/>
      <c r="L8" s="2443"/>
      <c r="M8" s="2443"/>
      <c r="N8" s="2443"/>
      <c r="O8" s="2443"/>
      <c r="P8" s="2443"/>
      <c r="Q8" s="2449"/>
      <c r="R8" s="2443"/>
      <c r="S8" s="2417"/>
      <c r="T8" s="2454"/>
      <c r="U8" s="2445"/>
      <c r="V8" s="2419"/>
      <c r="W8" s="2421"/>
      <c r="X8" s="2423"/>
      <c r="Y8" s="666"/>
    </row>
    <row r="9" spans="1:26">
      <c r="A9" s="637" t="s">
        <v>631</v>
      </c>
      <c r="B9" s="638" t="s">
        <v>539</v>
      </c>
      <c r="C9" s="652" t="s">
        <v>632</v>
      </c>
      <c r="D9" s="653">
        <v>203</v>
      </c>
      <c r="E9" s="654">
        <v>4221948</v>
      </c>
      <c r="F9" s="2424" t="s">
        <v>624</v>
      </c>
      <c r="G9" s="2424" t="s">
        <v>633</v>
      </c>
      <c r="H9" s="2416">
        <v>403</v>
      </c>
      <c r="I9" s="2457">
        <v>345</v>
      </c>
      <c r="J9" s="2455">
        <f>I9*$J$3*365</f>
        <v>5190395.0939400718</v>
      </c>
      <c r="K9" s="2442" t="e">
        <f>16*K3*365</f>
        <v>#REF!</v>
      </c>
      <c r="L9" s="2442" t="e">
        <f>32*L3*365</f>
        <v>#REF!</v>
      </c>
      <c r="M9" s="2442" t="e">
        <f>10*M3*365</f>
        <v>#REF!</v>
      </c>
      <c r="N9" s="2442">
        <v>0</v>
      </c>
      <c r="O9" s="2442">
        <v>0</v>
      </c>
      <c r="P9" s="2442">
        <v>0</v>
      </c>
      <c r="Q9" s="2448">
        <v>58</v>
      </c>
      <c r="R9" s="2442">
        <f>Q9*$R$3*365</f>
        <v>608090.14863834053</v>
      </c>
      <c r="S9" s="2416">
        <v>0</v>
      </c>
      <c r="T9" s="2446">
        <v>0</v>
      </c>
      <c r="U9" s="2444" t="e">
        <f>SUM(J9:M10)+SUM(R9+T9)</f>
        <v>#REF!</v>
      </c>
      <c r="V9" s="2418">
        <v>9355238.3500000015</v>
      </c>
      <c r="W9" s="2420">
        <v>746750</v>
      </c>
      <c r="X9" s="2422">
        <v>176571</v>
      </c>
      <c r="Y9" s="666"/>
    </row>
    <row r="10" spans="1:26" ht="15.75" thickBot="1">
      <c r="A10" s="661" t="s">
        <v>631</v>
      </c>
      <c r="B10" s="662" t="s">
        <v>539</v>
      </c>
      <c r="C10" s="663" t="s">
        <v>629</v>
      </c>
      <c r="D10" s="664">
        <v>200</v>
      </c>
      <c r="E10" s="665">
        <v>3542551</v>
      </c>
      <c r="F10" s="2425"/>
      <c r="G10" s="2425"/>
      <c r="H10" s="2417"/>
      <c r="I10" s="2458"/>
      <c r="J10" s="2456"/>
      <c r="K10" s="2443"/>
      <c r="L10" s="2443"/>
      <c r="M10" s="2443"/>
      <c r="N10" s="2443"/>
      <c r="O10" s="2443"/>
      <c r="P10" s="2443"/>
      <c r="Q10" s="2449"/>
      <c r="R10" s="2443"/>
      <c r="S10" s="2417"/>
      <c r="T10" s="2447"/>
      <c r="U10" s="2445"/>
      <c r="V10" s="2419"/>
      <c r="W10" s="2421"/>
      <c r="X10" s="2423"/>
      <c r="Y10" s="666"/>
    </row>
    <row r="11" spans="1:26" ht="15.75" thickBot="1">
      <c r="A11" s="667" t="s">
        <v>621</v>
      </c>
      <c r="B11" s="668" t="s">
        <v>634</v>
      </c>
      <c r="C11" s="669" t="s">
        <v>626</v>
      </c>
      <c r="D11" s="670">
        <v>383</v>
      </c>
      <c r="E11" s="671">
        <v>6284813</v>
      </c>
      <c r="F11" s="672" t="s">
        <v>624</v>
      </c>
      <c r="G11" s="672" t="s">
        <v>635</v>
      </c>
      <c r="H11" s="673">
        <v>332</v>
      </c>
      <c r="I11" s="674">
        <v>278</v>
      </c>
      <c r="J11" s="745">
        <f>I11*$J$3*365</f>
        <v>4182405.3220734484</v>
      </c>
      <c r="K11" s="734" t="e">
        <f>10*K3*365</f>
        <v>#REF!</v>
      </c>
      <c r="L11" s="734" t="e">
        <f>17*L3*365</f>
        <v>#REF!</v>
      </c>
      <c r="M11" s="734" t="e">
        <f>12*M3*365</f>
        <v>#REF!</v>
      </c>
      <c r="N11" s="734">
        <f>15*N3*365</f>
        <v>0</v>
      </c>
      <c r="O11" s="734">
        <v>0</v>
      </c>
      <c r="P11" s="734">
        <v>0</v>
      </c>
      <c r="Q11" s="726">
        <v>54</v>
      </c>
      <c r="R11" s="734">
        <f>Q11*$R$3*365</f>
        <v>566152.89700811007</v>
      </c>
      <c r="S11" s="673">
        <v>0</v>
      </c>
      <c r="T11" s="739">
        <v>0</v>
      </c>
      <c r="U11" s="746" t="e">
        <f>SUM(J11:P11)+SUM(R11+T11)</f>
        <v>#REF!</v>
      </c>
      <c r="V11" s="675">
        <v>7310238.25</v>
      </c>
      <c r="W11" s="675">
        <v>798250</v>
      </c>
      <c r="X11" s="676">
        <v>256688</v>
      </c>
      <c r="Y11" s="666" t="s">
        <v>636</v>
      </c>
      <c r="Z11" s="677" t="e">
        <f>Med_Int_Spec!M50</f>
        <v>#REF!</v>
      </c>
    </row>
    <row r="12" spans="1:26">
      <c r="A12" s="637" t="s">
        <v>621</v>
      </c>
      <c r="B12" s="638" t="s">
        <v>637</v>
      </c>
      <c r="C12" s="652" t="s">
        <v>626</v>
      </c>
      <c r="D12" s="653">
        <v>256</v>
      </c>
      <c r="E12" s="654">
        <v>5300098</v>
      </c>
      <c r="F12" s="2424" t="s">
        <v>624</v>
      </c>
      <c r="G12" s="2424" t="s">
        <v>638</v>
      </c>
      <c r="H12" s="2416">
        <v>411</v>
      </c>
      <c r="I12" s="2457">
        <v>332</v>
      </c>
      <c r="J12" s="2455">
        <f>I12*$J$3*365</f>
        <v>4994814.9889510255</v>
      </c>
      <c r="K12" s="2442" t="e">
        <f>40*K3*365</f>
        <v>#REF!</v>
      </c>
      <c r="L12" s="2442" t="e">
        <f>8*L3*365</f>
        <v>#REF!</v>
      </c>
      <c r="M12" s="2442" t="e">
        <f>31*M3*365</f>
        <v>#REF!</v>
      </c>
      <c r="N12" s="2442">
        <v>0</v>
      </c>
      <c r="O12" s="2442">
        <v>0</v>
      </c>
      <c r="P12" s="2442">
        <v>0</v>
      </c>
      <c r="Q12" s="2448">
        <v>79</v>
      </c>
      <c r="R12" s="2442">
        <f>Q12*R3*365</f>
        <v>828260.71969705005</v>
      </c>
      <c r="S12" s="2416">
        <v>0</v>
      </c>
      <c r="T12" s="2446">
        <v>0</v>
      </c>
      <c r="U12" s="2444" t="e">
        <f>SUM(J12:P13)+SUM(R12+T12)</f>
        <v>#REF!</v>
      </c>
      <c r="V12" s="2418">
        <v>11000610.900000002</v>
      </c>
      <c r="W12" s="2420">
        <v>1017125</v>
      </c>
      <c r="X12" s="2422">
        <v>381277</v>
      </c>
      <c r="Y12" s="666" t="s">
        <v>639</v>
      </c>
      <c r="Z12" s="640" t="e">
        <f>Med_Int_Spec!M93</f>
        <v>#REF!</v>
      </c>
    </row>
    <row r="13" spans="1:26" ht="15.75" thickBot="1">
      <c r="A13" s="661" t="s">
        <v>621</v>
      </c>
      <c r="B13" s="662" t="s">
        <v>637</v>
      </c>
      <c r="C13" s="663" t="s">
        <v>640</v>
      </c>
      <c r="D13" s="664">
        <v>253</v>
      </c>
      <c r="E13" s="665">
        <v>4939030</v>
      </c>
      <c r="F13" s="2425"/>
      <c r="G13" s="2425"/>
      <c r="H13" s="2417"/>
      <c r="I13" s="2458"/>
      <c r="J13" s="2456"/>
      <c r="K13" s="2443"/>
      <c r="L13" s="2443"/>
      <c r="M13" s="2443"/>
      <c r="N13" s="2443"/>
      <c r="O13" s="2443"/>
      <c r="P13" s="2443"/>
      <c r="Q13" s="2449"/>
      <c r="R13" s="2443"/>
      <c r="S13" s="2417"/>
      <c r="T13" s="2447"/>
      <c r="U13" s="2445"/>
      <c r="V13" s="2419"/>
      <c r="W13" s="2421"/>
      <c r="X13" s="2423"/>
      <c r="Y13" s="666" t="s">
        <v>641</v>
      </c>
      <c r="Z13" s="640" t="e">
        <f>Med_Int_Spec!M136</f>
        <v>#REF!</v>
      </c>
    </row>
    <row r="14" spans="1:26" ht="15.75" thickBot="1">
      <c r="A14" s="667" t="s">
        <v>621</v>
      </c>
      <c r="B14" s="668" t="s">
        <v>642</v>
      </c>
      <c r="C14" s="669" t="s">
        <v>626</v>
      </c>
      <c r="D14" s="670">
        <v>478</v>
      </c>
      <c r="E14" s="671">
        <v>12040371</v>
      </c>
      <c r="F14" s="672" t="s">
        <v>624</v>
      </c>
      <c r="G14" s="672" t="s">
        <v>643</v>
      </c>
      <c r="H14" s="673">
        <v>442</v>
      </c>
      <c r="I14" s="674">
        <v>342</v>
      </c>
      <c r="J14" s="745">
        <f>J3*I14*365</f>
        <v>5145261.2235579835</v>
      </c>
      <c r="K14" s="734">
        <v>0</v>
      </c>
      <c r="L14" s="734" t="e">
        <f>46*L3*365</f>
        <v>#REF!</v>
      </c>
      <c r="M14" s="734" t="e">
        <f>10*M3*365</f>
        <v>#REF!</v>
      </c>
      <c r="N14" s="734">
        <v>0</v>
      </c>
      <c r="O14" s="734">
        <f>18*O3*365</f>
        <v>0</v>
      </c>
      <c r="P14" s="734">
        <v>0</v>
      </c>
      <c r="Q14" s="726">
        <v>74</v>
      </c>
      <c r="R14" s="734">
        <f>Q14*R3*365</f>
        <v>775839.15515926213</v>
      </c>
      <c r="S14" s="673">
        <v>33</v>
      </c>
      <c r="T14" s="743" t="e">
        <f>SUM(11*Z13)*365+SUM(10*Z22)*365+SUM(4*Z14)*365+SUM(8*Z15)*365</f>
        <v>#REF!</v>
      </c>
      <c r="U14" s="746" t="e">
        <f>SUM(J14:P14)+SUM(R14+T14)</f>
        <v>#REF!</v>
      </c>
      <c r="V14" s="678">
        <v>12955744.350000001</v>
      </c>
      <c r="W14" s="678">
        <v>1493500</v>
      </c>
      <c r="X14" s="679">
        <v>306078</v>
      </c>
      <c r="Y14" s="666" t="s">
        <v>644</v>
      </c>
      <c r="Z14" s="680" t="e">
        <f>Int_Beh!M47</f>
        <v>#REF!</v>
      </c>
    </row>
    <row r="15" spans="1:26">
      <c r="A15" s="637" t="s">
        <v>645</v>
      </c>
      <c r="B15" s="638" t="s">
        <v>646</v>
      </c>
      <c r="C15" s="652" t="s">
        <v>647</v>
      </c>
      <c r="D15" s="653">
        <v>95</v>
      </c>
      <c r="E15" s="654">
        <v>1705563</v>
      </c>
      <c r="F15" s="2424" t="s">
        <v>648</v>
      </c>
      <c r="G15" s="2424" t="s">
        <v>649</v>
      </c>
      <c r="H15" s="2416">
        <v>305</v>
      </c>
      <c r="I15" s="2457">
        <v>256</v>
      </c>
      <c r="J15" s="2455">
        <f>I15*$J$3*365</f>
        <v>3851423.6059381398</v>
      </c>
      <c r="K15" s="2442" t="e">
        <f>15*K3*365</f>
        <v>#REF!</v>
      </c>
      <c r="L15" s="2442" t="e">
        <f>34*L3*365</f>
        <v>#REF!</v>
      </c>
      <c r="M15" s="2442">
        <v>0</v>
      </c>
      <c r="N15" s="2442">
        <v>0</v>
      </c>
      <c r="O15" s="2442">
        <v>0</v>
      </c>
      <c r="P15" s="2442">
        <v>0</v>
      </c>
      <c r="Q15" s="2448">
        <v>49</v>
      </c>
      <c r="R15" s="2442">
        <f>Q15*R3*365</f>
        <v>513731.3324703222</v>
      </c>
      <c r="S15" s="2416">
        <v>0</v>
      </c>
      <c r="T15" s="2446">
        <v>0</v>
      </c>
      <c r="U15" s="2444" t="e">
        <f>SUM(J15:P16)+R15</f>
        <v>#REF!</v>
      </c>
      <c r="V15" s="2418">
        <v>7524117.3000000007</v>
      </c>
      <c r="W15" s="2420">
        <v>583100</v>
      </c>
      <c r="X15" s="2420">
        <v>73505</v>
      </c>
      <c r="Y15" s="666" t="s">
        <v>650</v>
      </c>
      <c r="Z15" s="640" t="e">
        <f>Int_Beh!M87</f>
        <v>#REF!</v>
      </c>
    </row>
    <row r="16" spans="1:26" ht="15.75" thickBot="1">
      <c r="A16" s="661" t="s">
        <v>645</v>
      </c>
      <c r="B16" s="662" t="s">
        <v>646</v>
      </c>
      <c r="C16" s="663" t="s">
        <v>647</v>
      </c>
      <c r="D16" s="664">
        <v>260</v>
      </c>
      <c r="E16" s="665">
        <v>4889973</v>
      </c>
      <c r="F16" s="2425"/>
      <c r="G16" s="2425"/>
      <c r="H16" s="2417"/>
      <c r="I16" s="2458"/>
      <c r="J16" s="2456"/>
      <c r="K16" s="2443"/>
      <c r="L16" s="2443"/>
      <c r="M16" s="2443"/>
      <c r="N16" s="2443"/>
      <c r="O16" s="2443"/>
      <c r="P16" s="2443"/>
      <c r="Q16" s="2449"/>
      <c r="R16" s="2443"/>
      <c r="S16" s="2417"/>
      <c r="T16" s="2447"/>
      <c r="U16" s="2445"/>
      <c r="V16" s="2419"/>
      <c r="W16" s="2421"/>
      <c r="X16" s="2421"/>
      <c r="Y16" s="666" t="s">
        <v>651</v>
      </c>
      <c r="Z16" s="640" t="e">
        <f>Int_Beh!M129</f>
        <v>#REF!</v>
      </c>
    </row>
    <row r="17" spans="1:26">
      <c r="A17" s="637" t="s">
        <v>645</v>
      </c>
      <c r="B17" s="638" t="s">
        <v>652</v>
      </c>
      <c r="C17" s="652" t="s">
        <v>653</v>
      </c>
      <c r="D17" s="653">
        <v>210</v>
      </c>
      <c r="E17" s="654">
        <v>4448029</v>
      </c>
      <c r="F17" s="2424" t="s">
        <v>648</v>
      </c>
      <c r="G17" s="2424" t="s">
        <v>654</v>
      </c>
      <c r="H17" s="2416">
        <f>188+12</f>
        <v>200</v>
      </c>
      <c r="I17" s="2457">
        <f>153+12</f>
        <v>165</v>
      </c>
      <c r="J17" s="2455">
        <f>I17*$J$3*365</f>
        <v>2482362.8710148167</v>
      </c>
      <c r="K17" s="2442" t="e">
        <f>24*K3*365</f>
        <v>#REF!</v>
      </c>
      <c r="L17" s="2442" t="e">
        <f>7*L3*365</f>
        <v>#REF!</v>
      </c>
      <c r="M17" s="2442">
        <v>0</v>
      </c>
      <c r="N17" s="2442">
        <v>0</v>
      </c>
      <c r="O17" s="2442">
        <v>0</v>
      </c>
      <c r="P17" s="2442">
        <v>0</v>
      </c>
      <c r="Q17" s="2448">
        <v>31</v>
      </c>
      <c r="R17" s="2442">
        <f>Q17*R3*365</f>
        <v>325013.70013428549</v>
      </c>
      <c r="S17" s="2416">
        <v>4</v>
      </c>
      <c r="T17" s="2453">
        <f>(4*Z20)*365</f>
        <v>0</v>
      </c>
      <c r="U17" s="2444" t="e">
        <f>SUM(J17:P18)+R17+T17</f>
        <v>#REF!</v>
      </c>
      <c r="V17" s="2418">
        <v>5819432.2500000009</v>
      </c>
      <c r="W17" s="2420">
        <v>725900</v>
      </c>
      <c r="X17" s="2420">
        <v>45308</v>
      </c>
      <c r="Y17" s="666" t="s">
        <v>655</v>
      </c>
      <c r="Z17" s="640" t="e">
        <f>Int_Beh!G139</f>
        <v>#REF!</v>
      </c>
    </row>
    <row r="18" spans="1:26" ht="15.75" thickBot="1">
      <c r="A18" s="661" t="s">
        <v>645</v>
      </c>
      <c r="B18" s="662" t="s">
        <v>656</v>
      </c>
      <c r="C18" s="663" t="s">
        <v>653</v>
      </c>
      <c r="D18" s="664">
        <v>60</v>
      </c>
      <c r="E18" s="665">
        <v>1217626</v>
      </c>
      <c r="F18" s="2425"/>
      <c r="G18" s="2425"/>
      <c r="H18" s="2417"/>
      <c r="I18" s="2458"/>
      <c r="J18" s="2456"/>
      <c r="K18" s="2443"/>
      <c r="L18" s="2443"/>
      <c r="M18" s="2443"/>
      <c r="N18" s="2443"/>
      <c r="O18" s="2443"/>
      <c r="P18" s="2443"/>
      <c r="Q18" s="2449"/>
      <c r="R18" s="2443"/>
      <c r="S18" s="2417"/>
      <c r="T18" s="2454"/>
      <c r="U18" s="2445"/>
      <c r="V18" s="2419"/>
      <c r="W18" s="2421"/>
      <c r="X18" s="2421"/>
      <c r="Y18" s="666" t="s">
        <v>657</v>
      </c>
      <c r="Z18" s="640" t="e">
        <f>Int_Beh!G180</f>
        <v>#REF!</v>
      </c>
    </row>
    <row r="19" spans="1:26">
      <c r="A19" s="637" t="s">
        <v>645</v>
      </c>
      <c r="B19" s="638" t="s">
        <v>658</v>
      </c>
      <c r="C19" s="652" t="s">
        <v>659</v>
      </c>
      <c r="D19" s="653">
        <v>43</v>
      </c>
      <c r="E19" s="654">
        <v>671099</v>
      </c>
      <c r="F19" s="2424" t="s">
        <v>648</v>
      </c>
      <c r="G19" s="2424" t="s">
        <v>660</v>
      </c>
      <c r="H19" s="2416">
        <f>308-8</f>
        <v>300</v>
      </c>
      <c r="I19" s="2457">
        <f>228-8</f>
        <v>220</v>
      </c>
      <c r="J19" s="2455">
        <f>I19*$J$3*365</f>
        <v>3309817.1613530889</v>
      </c>
      <c r="K19" s="2442" t="e">
        <f>40*K3*365</f>
        <v>#REF!</v>
      </c>
      <c r="L19" s="2442" t="e">
        <f>8*L3*365</f>
        <v>#REF!</v>
      </c>
      <c r="M19" s="2442" t="e">
        <f>12*M3*365</f>
        <v>#REF!</v>
      </c>
      <c r="N19" s="2442">
        <f>15*N3*365</f>
        <v>0</v>
      </c>
      <c r="O19" s="2442">
        <v>0</v>
      </c>
      <c r="P19" s="2442">
        <v>0</v>
      </c>
      <c r="Q19" s="2448">
        <v>75</v>
      </c>
      <c r="R19" s="2442">
        <f>Q19*R3*365</f>
        <v>786323.46806681971</v>
      </c>
      <c r="S19" s="2416">
        <v>5</v>
      </c>
      <c r="T19" s="2453">
        <f>(5*Z20)*365</f>
        <v>0</v>
      </c>
      <c r="U19" s="2444" t="e">
        <f>SUM(J19:P20)+R19+T19</f>
        <v>#REF!</v>
      </c>
      <c r="V19" s="2418">
        <v>9382792.1999999993</v>
      </c>
      <c r="W19" s="2420">
        <v>974775</v>
      </c>
      <c r="X19" s="2420">
        <v>74228</v>
      </c>
      <c r="Y19" s="666" t="s">
        <v>661</v>
      </c>
      <c r="Z19" s="640">
        <f>Int_Fire_Safety!M47</f>
        <v>0</v>
      </c>
    </row>
    <row r="20" spans="1:26" ht="15.75" thickBot="1">
      <c r="A20" s="661" t="s">
        <v>645</v>
      </c>
      <c r="B20" s="662" t="s">
        <v>658</v>
      </c>
      <c r="C20" s="663" t="s">
        <v>662</v>
      </c>
      <c r="D20" s="664">
        <v>301</v>
      </c>
      <c r="E20" s="665">
        <v>7524105</v>
      </c>
      <c r="F20" s="2425"/>
      <c r="G20" s="2425"/>
      <c r="H20" s="2417"/>
      <c r="I20" s="2458"/>
      <c r="J20" s="2456"/>
      <c r="K20" s="2443"/>
      <c r="L20" s="2443"/>
      <c r="M20" s="2443"/>
      <c r="N20" s="2443"/>
      <c r="O20" s="2443"/>
      <c r="P20" s="2443"/>
      <c r="Q20" s="2449"/>
      <c r="R20" s="2443"/>
      <c r="S20" s="2417"/>
      <c r="T20" s="2454"/>
      <c r="U20" s="2445"/>
      <c r="V20" s="2419"/>
      <c r="W20" s="2421"/>
      <c r="X20" s="2421"/>
      <c r="Y20" s="666" t="s">
        <v>663</v>
      </c>
      <c r="Z20" s="640">
        <f>'Clin_Int (FY21)'!L46</f>
        <v>0</v>
      </c>
    </row>
    <row r="21" spans="1:26" ht="15.75" thickBot="1">
      <c r="A21" s="667" t="s">
        <v>645</v>
      </c>
      <c r="B21" s="668" t="s">
        <v>542</v>
      </c>
      <c r="C21" s="669" t="s">
        <v>662</v>
      </c>
      <c r="D21" s="670">
        <v>540</v>
      </c>
      <c r="E21" s="671">
        <v>11742750</v>
      </c>
      <c r="F21" s="672" t="s">
        <v>648</v>
      </c>
      <c r="G21" s="672" t="s">
        <v>664</v>
      </c>
      <c r="H21" s="673">
        <f>485-8</f>
        <v>477</v>
      </c>
      <c r="I21" s="674">
        <f>400-8</f>
        <v>392</v>
      </c>
      <c r="J21" s="745">
        <f>I21*$J$3*365</f>
        <v>5897492.3965927763</v>
      </c>
      <c r="K21" s="734" t="e">
        <f>57*K3*365</f>
        <v>#REF!</v>
      </c>
      <c r="L21" s="734" t="e">
        <f>23*L3*365</f>
        <v>#REF!</v>
      </c>
      <c r="M21" s="734">
        <v>0</v>
      </c>
      <c r="N21" s="734">
        <v>0</v>
      </c>
      <c r="O21" s="734">
        <v>0</v>
      </c>
      <c r="P21" s="734">
        <v>0</v>
      </c>
      <c r="Q21" s="726">
        <v>80</v>
      </c>
      <c r="R21" s="734">
        <f>Q21*R3*365</f>
        <v>838745.03260460764</v>
      </c>
      <c r="S21" s="673">
        <v>5</v>
      </c>
      <c r="T21" s="743">
        <f>S21*Z20*365</f>
        <v>0</v>
      </c>
      <c r="U21" s="746" t="e">
        <f>SUM(J21:P21)+SUM(R21+T21)</f>
        <v>#REF!</v>
      </c>
      <c r="V21" s="678">
        <v>13547924</v>
      </c>
      <c r="W21" s="678">
        <v>1214525</v>
      </c>
      <c r="X21" s="679">
        <v>116885</v>
      </c>
      <c r="Y21" s="666" t="s">
        <v>665</v>
      </c>
      <c r="Z21" s="680">
        <f>'Clin_Int (FY21)'!F98</f>
        <v>402.33322394882401</v>
      </c>
    </row>
    <row r="22" spans="1:26" ht="15.75" thickBot="1">
      <c r="A22" s="667" t="s">
        <v>645</v>
      </c>
      <c r="B22" s="668" t="s">
        <v>666</v>
      </c>
      <c r="C22" s="669" t="s">
        <v>653</v>
      </c>
      <c r="D22" s="670">
        <v>195</v>
      </c>
      <c r="E22" s="671">
        <v>3676663</v>
      </c>
      <c r="F22" s="672" t="s">
        <v>648</v>
      </c>
      <c r="G22" s="672" t="s">
        <v>667</v>
      </c>
      <c r="H22" s="673">
        <f>183+4</f>
        <v>187</v>
      </c>
      <c r="I22" s="674">
        <f>154+4</f>
        <v>158</v>
      </c>
      <c r="J22" s="745">
        <f t="shared" ref="J22:J28" si="0">I22*$J$3*365</f>
        <v>2377050.5067899455</v>
      </c>
      <c r="K22" s="734" t="e">
        <f>29*K3*365</f>
        <v>#REF!</v>
      </c>
      <c r="L22" s="734">
        <v>0</v>
      </c>
      <c r="M22" s="734">
        <v>0</v>
      </c>
      <c r="N22" s="734">
        <v>0</v>
      </c>
      <c r="O22" s="734">
        <v>0</v>
      </c>
      <c r="P22" s="734">
        <v>0</v>
      </c>
      <c r="Q22" s="726">
        <v>29</v>
      </c>
      <c r="R22" s="734">
        <f>Q22*R3*365</f>
        <v>304045.07431917026</v>
      </c>
      <c r="S22" s="673">
        <v>0</v>
      </c>
      <c r="T22" s="739">
        <v>0</v>
      </c>
      <c r="U22" s="746" t="e">
        <f t="shared" ref="U22:U28" si="1">SUM(J22:P22)+SUM(R22+T22)</f>
        <v>#REF!</v>
      </c>
      <c r="V22" s="678">
        <v>5070623.8</v>
      </c>
      <c r="W22" s="678">
        <v>582487.5</v>
      </c>
      <c r="X22" s="679">
        <v>44103</v>
      </c>
      <c r="Y22" s="666" t="s">
        <v>668</v>
      </c>
      <c r="Z22" s="680">
        <f>'Clin_Int (FY21)'!L97</f>
        <v>364.62152740133428</v>
      </c>
    </row>
    <row r="23" spans="1:26" ht="15.75" thickBot="1">
      <c r="A23" s="667" t="s">
        <v>645</v>
      </c>
      <c r="B23" s="668" t="s">
        <v>669</v>
      </c>
      <c r="C23" s="669" t="s">
        <v>659</v>
      </c>
      <c r="D23" s="670">
        <v>255</v>
      </c>
      <c r="E23" s="671">
        <v>5292881</v>
      </c>
      <c r="F23" s="672" t="s">
        <v>648</v>
      </c>
      <c r="G23" s="672" t="s">
        <v>670</v>
      </c>
      <c r="H23" s="673">
        <v>216</v>
      </c>
      <c r="I23" s="674">
        <v>183</v>
      </c>
      <c r="J23" s="745">
        <f t="shared" si="0"/>
        <v>2753166.0933073419</v>
      </c>
      <c r="K23" s="734" t="e">
        <f>23*K3*365</f>
        <v>#REF!</v>
      </c>
      <c r="L23" s="734">
        <v>0</v>
      </c>
      <c r="M23" s="734" t="e">
        <f>10*M3*365</f>
        <v>#REF!</v>
      </c>
      <c r="N23" s="734">
        <v>0</v>
      </c>
      <c r="O23" s="734">
        <v>0</v>
      </c>
      <c r="P23" s="734">
        <v>0</v>
      </c>
      <c r="Q23" s="726">
        <v>33</v>
      </c>
      <c r="R23" s="734">
        <f>Q23*R3*365</f>
        <v>345982.32594940066</v>
      </c>
      <c r="S23" s="673">
        <v>0</v>
      </c>
      <c r="T23" s="739">
        <v>0</v>
      </c>
      <c r="U23" s="746" t="e">
        <f t="shared" si="1"/>
        <v>#REF!</v>
      </c>
      <c r="V23" s="678">
        <v>5439518.3499999996</v>
      </c>
      <c r="W23" s="678">
        <v>392287.5</v>
      </c>
      <c r="X23" s="679">
        <v>52056</v>
      </c>
      <c r="Y23" s="666" t="s">
        <v>671</v>
      </c>
      <c r="Z23" s="680">
        <f>'Int_DBT(FY21)'!M47</f>
        <v>386.07389804641952</v>
      </c>
    </row>
    <row r="24" spans="1:26" ht="15.75" thickBot="1">
      <c r="A24" s="637" t="s">
        <v>672</v>
      </c>
      <c r="B24" s="638" t="s">
        <v>673</v>
      </c>
      <c r="C24" s="652" t="s">
        <v>623</v>
      </c>
      <c r="D24" s="653">
        <v>129</v>
      </c>
      <c r="E24" s="654">
        <v>4596558</v>
      </c>
      <c r="F24" s="681" t="s">
        <v>674</v>
      </c>
      <c r="G24" s="681" t="s">
        <v>675</v>
      </c>
      <c r="H24" s="682">
        <v>106</v>
      </c>
      <c r="I24" s="683">
        <v>60</v>
      </c>
      <c r="J24" s="745">
        <f t="shared" si="0"/>
        <v>902677.40764175158</v>
      </c>
      <c r="K24" s="735" t="e">
        <f>13*K3*365</f>
        <v>#REF!</v>
      </c>
      <c r="L24" s="735" t="e">
        <f>23*L3*365</f>
        <v>#REF!</v>
      </c>
      <c r="M24" s="735" t="e">
        <f>10*M3*365</f>
        <v>#REF!</v>
      </c>
      <c r="N24" s="735">
        <v>0</v>
      </c>
      <c r="O24" s="735">
        <v>0</v>
      </c>
      <c r="P24" s="735">
        <v>0</v>
      </c>
      <c r="Q24" s="727">
        <v>46</v>
      </c>
      <c r="R24" s="735">
        <f>Q24*R3*365</f>
        <v>482278.39374764939</v>
      </c>
      <c r="S24" s="682">
        <v>0</v>
      </c>
      <c r="T24" s="740">
        <v>0</v>
      </c>
      <c r="U24" s="746" t="e">
        <f t="shared" si="1"/>
        <v>#REF!</v>
      </c>
      <c r="V24" s="684">
        <v>4288487.2</v>
      </c>
      <c r="W24" s="684">
        <v>575000</v>
      </c>
      <c r="X24" s="685">
        <v>127314.09</v>
      </c>
      <c r="Y24" s="666" t="s">
        <v>676</v>
      </c>
      <c r="Z24" s="680">
        <f>'Int_DBT(FY21)'!M90</f>
        <v>299.36603857138306</v>
      </c>
    </row>
    <row r="25" spans="1:26" ht="15.75" thickBot="1">
      <c r="A25" s="661" t="s">
        <v>672</v>
      </c>
      <c r="B25" s="662" t="s">
        <v>673</v>
      </c>
      <c r="C25" s="663" t="s">
        <v>640</v>
      </c>
      <c r="D25" s="664">
        <v>215</v>
      </c>
      <c r="E25" s="665">
        <v>6227245</v>
      </c>
      <c r="F25" s="686" t="s">
        <v>674</v>
      </c>
      <c r="G25" s="686" t="s">
        <v>677</v>
      </c>
      <c r="H25" s="687">
        <v>177</v>
      </c>
      <c r="I25" s="688">
        <v>139</v>
      </c>
      <c r="J25" s="745">
        <f t="shared" si="0"/>
        <v>2091202.6610367242</v>
      </c>
      <c r="K25" s="736" t="e">
        <f>23*K3*365</f>
        <v>#REF!</v>
      </c>
      <c r="L25" s="736" t="e">
        <f>15*L3*365</f>
        <v>#REF!</v>
      </c>
      <c r="M25" s="736">
        <v>0</v>
      </c>
      <c r="N25" s="736">
        <v>0</v>
      </c>
      <c r="O25" s="736">
        <v>0</v>
      </c>
      <c r="P25" s="736">
        <v>0</v>
      </c>
      <c r="Q25" s="728">
        <v>38</v>
      </c>
      <c r="R25" s="736">
        <f>Q25*R3*365</f>
        <v>398403.89048718865</v>
      </c>
      <c r="S25" s="687">
        <v>0</v>
      </c>
      <c r="T25" s="741">
        <v>0</v>
      </c>
      <c r="U25" s="746" t="e">
        <f t="shared" si="1"/>
        <v>#REF!</v>
      </c>
      <c r="V25" s="689">
        <v>5262383.8499999996</v>
      </c>
      <c r="W25" s="689">
        <v>475000</v>
      </c>
      <c r="X25" s="690">
        <v>406120.63</v>
      </c>
    </row>
    <row r="26" spans="1:26" ht="15.75" thickBot="1">
      <c r="A26" s="667" t="s">
        <v>672</v>
      </c>
      <c r="B26" s="668" t="s">
        <v>678</v>
      </c>
      <c r="C26" s="669" t="s">
        <v>679</v>
      </c>
      <c r="D26" s="670">
        <v>380</v>
      </c>
      <c r="E26" s="671">
        <v>8093191</v>
      </c>
      <c r="F26" s="672" t="s">
        <v>674</v>
      </c>
      <c r="G26" s="672" t="s">
        <v>680</v>
      </c>
      <c r="H26" s="673">
        <v>342</v>
      </c>
      <c r="I26" s="674">
        <v>259</v>
      </c>
      <c r="J26" s="745">
        <f t="shared" si="0"/>
        <v>3896557.4763202271</v>
      </c>
      <c r="K26" s="734" t="e">
        <f>24*K3*365</f>
        <v>#REF!</v>
      </c>
      <c r="L26" s="734" t="e">
        <f>59*L3*365</f>
        <v>#REF!</v>
      </c>
      <c r="M26" s="734">
        <v>0</v>
      </c>
      <c r="N26" s="734">
        <v>0</v>
      </c>
      <c r="O26" s="734">
        <v>0</v>
      </c>
      <c r="P26" s="734">
        <v>0</v>
      </c>
      <c r="Q26" s="726">
        <v>83</v>
      </c>
      <c r="R26" s="734">
        <f>Q26*R3*365</f>
        <v>870197.97132728039</v>
      </c>
      <c r="S26" s="673">
        <v>0</v>
      </c>
      <c r="T26" s="739">
        <v>0</v>
      </c>
      <c r="U26" s="746" t="e">
        <f t="shared" si="1"/>
        <v>#REF!</v>
      </c>
      <c r="V26" s="678">
        <v>10161888.350000001</v>
      </c>
      <c r="W26" s="678">
        <v>1124987.5</v>
      </c>
      <c r="X26" s="679">
        <v>198295.11</v>
      </c>
    </row>
    <row r="27" spans="1:26" ht="15.75" thickBot="1">
      <c r="A27" s="637" t="s">
        <v>672</v>
      </c>
      <c r="B27" s="638" t="s">
        <v>681</v>
      </c>
      <c r="C27" s="652" t="s">
        <v>679</v>
      </c>
      <c r="D27" s="653">
        <v>225</v>
      </c>
      <c r="E27" s="654">
        <v>4237029</v>
      </c>
      <c r="F27" s="681" t="s">
        <v>674</v>
      </c>
      <c r="G27" s="681" t="s">
        <v>682</v>
      </c>
      <c r="H27" s="682">
        <v>208</v>
      </c>
      <c r="I27" s="683">
        <v>159</v>
      </c>
      <c r="J27" s="745">
        <f t="shared" si="0"/>
        <v>2392095.1302506411</v>
      </c>
      <c r="K27" s="735" t="e">
        <f>6*K3*365</f>
        <v>#REF!</v>
      </c>
      <c r="L27" s="735" t="e">
        <f>32*L3*365</f>
        <v>#REF!</v>
      </c>
      <c r="M27" s="735" t="e">
        <f>11*M3*365</f>
        <v>#REF!</v>
      </c>
      <c r="N27" s="735">
        <v>0</v>
      </c>
      <c r="O27" s="735">
        <v>0</v>
      </c>
      <c r="P27" s="735">
        <v>0</v>
      </c>
      <c r="Q27" s="727">
        <v>49</v>
      </c>
      <c r="R27" s="735">
        <f>Q27*R3*365</f>
        <v>513731.3324703222</v>
      </c>
      <c r="S27" s="682">
        <v>0</v>
      </c>
      <c r="T27" s="740">
        <v>0</v>
      </c>
      <c r="U27" s="746" t="e">
        <f t="shared" si="1"/>
        <v>#REF!</v>
      </c>
      <c r="V27" s="684">
        <v>5746673.1500000004</v>
      </c>
      <c r="W27" s="684">
        <v>620462.49999999988</v>
      </c>
      <c r="X27" s="685">
        <v>97843</v>
      </c>
    </row>
    <row r="28" spans="1:26" ht="15.75" thickBot="1">
      <c r="A28" s="661" t="s">
        <v>672</v>
      </c>
      <c r="B28" s="662" t="s">
        <v>681</v>
      </c>
      <c r="C28" s="663" t="s">
        <v>683</v>
      </c>
      <c r="D28" s="664">
        <v>120</v>
      </c>
      <c r="E28" s="665">
        <v>2822542</v>
      </c>
      <c r="F28" s="686" t="s">
        <v>674</v>
      </c>
      <c r="G28" s="686" t="s">
        <v>684</v>
      </c>
      <c r="H28" s="687">
        <v>110</v>
      </c>
      <c r="I28" s="688">
        <v>83</v>
      </c>
      <c r="J28" s="745">
        <f t="shared" si="0"/>
        <v>1248703.7472377564</v>
      </c>
      <c r="K28" s="736" t="e">
        <f>5*K3*365</f>
        <v>#REF!</v>
      </c>
      <c r="L28" s="736" t="e">
        <f>16*L3*365</f>
        <v>#REF!</v>
      </c>
      <c r="M28" s="736">
        <v>0</v>
      </c>
      <c r="N28" s="736">
        <v>0</v>
      </c>
      <c r="O28" s="736">
        <v>0</v>
      </c>
      <c r="P28" s="736">
        <v>0</v>
      </c>
      <c r="Q28" s="728">
        <v>21</v>
      </c>
      <c r="R28" s="736">
        <f>Q28*R3*365</f>
        <v>220170.57105870952</v>
      </c>
      <c r="S28" s="687">
        <v>6</v>
      </c>
      <c r="T28" s="744" t="e">
        <f>S28*Z14*365</f>
        <v>#REF!</v>
      </c>
      <c r="U28" s="746" t="e">
        <f t="shared" si="1"/>
        <v>#REF!</v>
      </c>
      <c r="V28" s="689">
        <v>3634688.25</v>
      </c>
      <c r="W28" s="689">
        <v>341887.49999999994</v>
      </c>
      <c r="X28" s="690">
        <v>98506.4</v>
      </c>
    </row>
    <row r="29" spans="1:26">
      <c r="A29" s="637" t="s">
        <v>672</v>
      </c>
      <c r="B29" s="638" t="s">
        <v>685</v>
      </c>
      <c r="C29" s="652" t="s">
        <v>623</v>
      </c>
      <c r="D29" s="653">
        <v>336</v>
      </c>
      <c r="E29" s="654">
        <v>9815799</v>
      </c>
      <c r="F29" s="2424" t="s">
        <v>674</v>
      </c>
      <c r="G29" s="2424" t="s">
        <v>686</v>
      </c>
      <c r="H29" s="2416">
        <v>337</v>
      </c>
      <c r="I29" s="2457">
        <v>196</v>
      </c>
      <c r="J29" s="2455">
        <f>I29*$J$3*365</f>
        <v>2948746.1982963881</v>
      </c>
      <c r="K29" s="2442" t="e">
        <f>41*K3*365</f>
        <v>#REF!</v>
      </c>
      <c r="L29" s="2442" t="e">
        <f>73*L3*365</f>
        <v>#REF!</v>
      </c>
      <c r="M29" s="2442">
        <v>0</v>
      </c>
      <c r="N29" s="2442">
        <v>0</v>
      </c>
      <c r="O29" s="2442">
        <f>21*O3*365</f>
        <v>0</v>
      </c>
      <c r="P29" s="2442">
        <v>0</v>
      </c>
      <c r="Q29" s="2448">
        <v>135</v>
      </c>
      <c r="R29" s="2442">
        <f>Q29*R3*365</f>
        <v>1415382.2425202755</v>
      </c>
      <c r="S29" s="2416">
        <v>6</v>
      </c>
      <c r="T29" s="2453">
        <f>S29*Z20*365</f>
        <v>0</v>
      </c>
      <c r="U29" s="2444" t="e">
        <f>SUM(J29:P30)+SUM(R29+T29)</f>
        <v>#REF!</v>
      </c>
      <c r="V29" s="2418">
        <v>13298274.949999999</v>
      </c>
      <c r="W29" s="2420">
        <v>1891874.9999999998</v>
      </c>
      <c r="X29" s="2422">
        <v>273146</v>
      </c>
    </row>
    <row r="30" spans="1:26" ht="15.75" thickBot="1">
      <c r="A30" s="661" t="s">
        <v>672</v>
      </c>
      <c r="B30" s="662" t="s">
        <v>685</v>
      </c>
      <c r="C30" s="663" t="s">
        <v>683</v>
      </c>
      <c r="D30" s="664">
        <v>65</v>
      </c>
      <c r="E30" s="665">
        <v>3953841</v>
      </c>
      <c r="F30" s="2425"/>
      <c r="G30" s="2425"/>
      <c r="H30" s="2417"/>
      <c r="I30" s="2458"/>
      <c r="J30" s="2456"/>
      <c r="K30" s="2443"/>
      <c r="L30" s="2443"/>
      <c r="M30" s="2443"/>
      <c r="N30" s="2443"/>
      <c r="O30" s="2443"/>
      <c r="P30" s="2443"/>
      <c r="Q30" s="2449"/>
      <c r="R30" s="2443"/>
      <c r="S30" s="2417"/>
      <c r="T30" s="2454"/>
      <c r="U30" s="2445"/>
      <c r="V30" s="2419"/>
      <c r="W30" s="2421"/>
      <c r="X30" s="2423"/>
    </row>
    <row r="31" spans="1:26">
      <c r="A31" s="637" t="s">
        <v>672</v>
      </c>
      <c r="B31" s="638" t="s">
        <v>543</v>
      </c>
      <c r="C31" s="652" t="s">
        <v>679</v>
      </c>
      <c r="D31" s="653">
        <v>167</v>
      </c>
      <c r="E31" s="654">
        <v>4545513</v>
      </c>
      <c r="F31" s="2424" t="s">
        <v>674</v>
      </c>
      <c r="G31" s="2424" t="s">
        <v>687</v>
      </c>
      <c r="H31" s="2416">
        <v>280</v>
      </c>
      <c r="I31" s="2457">
        <v>185</v>
      </c>
      <c r="J31" s="2455">
        <f>I31*$J$3*365</f>
        <v>2783255.3402287336</v>
      </c>
      <c r="K31" s="2442" t="e">
        <f>23*K3*365</f>
        <v>#REF!</v>
      </c>
      <c r="L31" s="2442" t="e">
        <f>64*L3*365</f>
        <v>#REF!</v>
      </c>
      <c r="M31" s="2442">
        <v>0</v>
      </c>
      <c r="N31" s="2442">
        <v>0</v>
      </c>
      <c r="O31" s="2442">
        <v>0</v>
      </c>
      <c r="P31" s="2442">
        <v>0</v>
      </c>
      <c r="Q31" s="2448">
        <v>87</v>
      </c>
      <c r="R31" s="2442">
        <f>Q31*R3*365</f>
        <v>912135.22295751085</v>
      </c>
      <c r="S31" s="2416">
        <v>8</v>
      </c>
      <c r="T31" s="2453">
        <f>S31*Z21*365</f>
        <v>1174813.0139305661</v>
      </c>
      <c r="U31" s="2444" t="e">
        <f>SUM(J31:P32)+SUM(R31+T31)</f>
        <v>#REF!</v>
      </c>
      <c r="V31" s="2418">
        <v>10162946.85</v>
      </c>
      <c r="W31" s="2420">
        <v>1198187.4999999998</v>
      </c>
      <c r="X31" s="2422">
        <v>185185</v>
      </c>
    </row>
    <row r="32" spans="1:26" ht="15.75" thickBot="1">
      <c r="A32" s="661" t="s">
        <v>672</v>
      </c>
      <c r="B32" s="662" t="s">
        <v>543</v>
      </c>
      <c r="C32" s="663" t="s">
        <v>683</v>
      </c>
      <c r="D32" s="664">
        <v>142</v>
      </c>
      <c r="E32" s="665">
        <v>4983378</v>
      </c>
      <c r="F32" s="2425"/>
      <c r="G32" s="2425"/>
      <c r="H32" s="2417"/>
      <c r="I32" s="2458"/>
      <c r="J32" s="2456"/>
      <c r="K32" s="2443"/>
      <c r="L32" s="2443"/>
      <c r="M32" s="2443"/>
      <c r="N32" s="2443"/>
      <c r="O32" s="2443"/>
      <c r="P32" s="2443"/>
      <c r="Q32" s="2449"/>
      <c r="R32" s="2443"/>
      <c r="S32" s="2417"/>
      <c r="T32" s="2454"/>
      <c r="U32" s="2445"/>
      <c r="V32" s="2419"/>
      <c r="W32" s="2421"/>
      <c r="X32" s="2423"/>
    </row>
    <row r="33" spans="1:24" ht="15.75" thickBot="1">
      <c r="A33" s="667" t="s">
        <v>672</v>
      </c>
      <c r="B33" s="668" t="s">
        <v>543</v>
      </c>
      <c r="C33" s="669" t="s">
        <v>688</v>
      </c>
      <c r="D33" s="670">
        <v>190</v>
      </c>
      <c r="E33" s="671">
        <v>7297884</v>
      </c>
      <c r="F33" s="672" t="s">
        <v>674</v>
      </c>
      <c r="G33" s="672" t="s">
        <v>689</v>
      </c>
      <c r="H33" s="673">
        <v>169</v>
      </c>
      <c r="I33" s="674">
        <v>100</v>
      </c>
      <c r="J33" s="745">
        <f t="shared" ref="J33:J38" si="2">I33*$J$3*365</f>
        <v>1504462.3460695855</v>
      </c>
      <c r="K33" s="734" t="e">
        <f>12*K3*365</f>
        <v>#REF!</v>
      </c>
      <c r="L33" s="734" t="e">
        <f>16*L3*365</f>
        <v>#REF!</v>
      </c>
      <c r="M33" s="734" t="e">
        <f>10*M3*365</f>
        <v>#REF!</v>
      </c>
      <c r="N33" s="734">
        <f>15*N3*365</f>
        <v>0</v>
      </c>
      <c r="O33" s="734">
        <v>0</v>
      </c>
      <c r="P33" s="734">
        <v>0</v>
      </c>
      <c r="Q33" s="726">
        <v>53</v>
      </c>
      <c r="R33" s="734">
        <f>Q33*R3*365</f>
        <v>555668.58410055249</v>
      </c>
      <c r="S33" s="673">
        <v>16</v>
      </c>
      <c r="T33" s="743" t="e">
        <f>SUM(8*Z12)*365+SUM(8*Z21)*365</f>
        <v>#REF!</v>
      </c>
      <c r="U33" s="746" t="e">
        <f>SUM(J33:P33)+SUM(R33+T33)</f>
        <v>#REF!</v>
      </c>
      <c r="V33" s="678">
        <v>6730151.0500000007</v>
      </c>
      <c r="W33" s="678">
        <v>870262.49999999988</v>
      </c>
      <c r="X33" s="679">
        <f>307555-20500</f>
        <v>287055</v>
      </c>
    </row>
    <row r="34" spans="1:24" ht="15.75" thickBot="1">
      <c r="A34" s="637" t="s">
        <v>690</v>
      </c>
      <c r="B34" s="638" t="s">
        <v>691</v>
      </c>
      <c r="C34" s="652" t="s">
        <v>692</v>
      </c>
      <c r="D34" s="653">
        <v>227</v>
      </c>
      <c r="E34" s="654">
        <v>5041696</v>
      </c>
      <c r="F34" s="681" t="s">
        <v>693</v>
      </c>
      <c r="G34" s="681" t="s">
        <v>694</v>
      </c>
      <c r="H34" s="682">
        <v>188</v>
      </c>
      <c r="I34" s="683">
        <v>137</v>
      </c>
      <c r="J34" s="745">
        <f t="shared" si="2"/>
        <v>2061113.4141153325</v>
      </c>
      <c r="K34" s="735" t="e">
        <f>14*K3*365</f>
        <v>#REF!</v>
      </c>
      <c r="L34" s="735" t="e">
        <f>15*L3*365</f>
        <v>#REF!</v>
      </c>
      <c r="M34" s="735" t="e">
        <f>10*M3*365</f>
        <v>#REF!</v>
      </c>
      <c r="N34" s="735">
        <f>12*N3*365</f>
        <v>0</v>
      </c>
      <c r="O34" s="735">
        <v>0</v>
      </c>
      <c r="P34" s="735">
        <v>0</v>
      </c>
      <c r="Q34" s="727">
        <v>51</v>
      </c>
      <c r="R34" s="735">
        <f>Q34*R3*365</f>
        <v>534699.95828543743</v>
      </c>
      <c r="S34" s="682">
        <v>0</v>
      </c>
      <c r="T34" s="740">
        <v>0</v>
      </c>
      <c r="U34" s="746" t="e">
        <f>SUM(J34:P34)+SUM(R34+T34)</f>
        <v>#REF!</v>
      </c>
      <c r="V34" s="684">
        <v>5295584.2500000009</v>
      </c>
      <c r="W34" s="684">
        <v>684675</v>
      </c>
      <c r="X34" s="685">
        <v>126909.75811530693</v>
      </c>
    </row>
    <row r="35" spans="1:24" ht="15.75" thickBot="1">
      <c r="A35" s="661" t="s">
        <v>690</v>
      </c>
      <c r="B35" s="662" t="s">
        <v>691</v>
      </c>
      <c r="C35" s="663" t="s">
        <v>629</v>
      </c>
      <c r="D35" s="664">
        <v>164</v>
      </c>
      <c r="E35" s="665">
        <v>5962041</v>
      </c>
      <c r="F35" s="686" t="s">
        <v>693</v>
      </c>
      <c r="G35" s="686" t="s">
        <v>695</v>
      </c>
      <c r="H35" s="687">
        <v>140</v>
      </c>
      <c r="I35" s="688">
        <v>89</v>
      </c>
      <c r="J35" s="745">
        <f t="shared" si="2"/>
        <v>1338971.4880019312</v>
      </c>
      <c r="K35" s="736" t="e">
        <f>12*K3*365</f>
        <v>#REF!</v>
      </c>
      <c r="L35" s="736" t="e">
        <f>39*L3*365</f>
        <v>#REF!</v>
      </c>
      <c r="M35" s="736">
        <v>0</v>
      </c>
      <c r="N35" s="736">
        <v>0</v>
      </c>
      <c r="O35" s="736">
        <v>0</v>
      </c>
      <c r="P35" s="736">
        <v>0</v>
      </c>
      <c r="Q35" s="728">
        <v>51</v>
      </c>
      <c r="R35" s="736">
        <f>Q35*R3*365</f>
        <v>534699.95828543743</v>
      </c>
      <c r="S35" s="687">
        <v>0</v>
      </c>
      <c r="T35" s="741">
        <v>0</v>
      </c>
      <c r="U35" s="746" t="e">
        <f>SUM(J35:P35)+SUM(R35+T35)</f>
        <v>#REF!</v>
      </c>
      <c r="V35" s="689">
        <v>5149832.45</v>
      </c>
      <c r="W35" s="689">
        <v>966600.00000000012</v>
      </c>
      <c r="X35" s="690">
        <v>159709</v>
      </c>
    </row>
    <row r="36" spans="1:24" ht="15.75" thickBot="1">
      <c r="A36" s="667" t="s">
        <v>690</v>
      </c>
      <c r="B36" s="668" t="s">
        <v>696</v>
      </c>
      <c r="C36" s="669" t="s">
        <v>629</v>
      </c>
      <c r="D36" s="670">
        <v>155</v>
      </c>
      <c r="E36" s="671">
        <v>5234958</v>
      </c>
      <c r="F36" s="672" t="s">
        <v>693</v>
      </c>
      <c r="G36" s="672" t="s">
        <v>697</v>
      </c>
      <c r="H36" s="673">
        <v>113</v>
      </c>
      <c r="I36" s="674">
        <v>57</v>
      </c>
      <c r="J36" s="745">
        <f t="shared" si="2"/>
        <v>857543.53725966392</v>
      </c>
      <c r="K36" s="734">
        <v>0</v>
      </c>
      <c r="L36" s="734" t="e">
        <f>48*L3*365</f>
        <v>#REF!</v>
      </c>
      <c r="M36" s="734">
        <v>0</v>
      </c>
      <c r="N36" s="734">
        <v>0</v>
      </c>
      <c r="O36" s="734">
        <v>0</v>
      </c>
      <c r="P36" s="734">
        <v>0</v>
      </c>
      <c r="Q36" s="726">
        <v>48</v>
      </c>
      <c r="R36" s="734">
        <f>Q36*R3*365</f>
        <v>503247.01956276462</v>
      </c>
      <c r="S36" s="673">
        <v>8</v>
      </c>
      <c r="T36" s="743" t="e">
        <f>S36*Z12*365</f>
        <v>#REF!</v>
      </c>
      <c r="U36" s="746" t="e">
        <f>SUM(J36:P36)+SUM(R36+T36)</f>
        <v>#REF!</v>
      </c>
      <c r="V36" s="678">
        <v>5069218.55</v>
      </c>
      <c r="W36" s="678">
        <v>700000</v>
      </c>
      <c r="X36" s="679">
        <v>54438.442645659808</v>
      </c>
    </row>
    <row r="37" spans="1:24" ht="15.75" thickBot="1">
      <c r="A37" s="667" t="s">
        <v>690</v>
      </c>
      <c r="B37" s="668" t="s">
        <v>347</v>
      </c>
      <c r="C37" s="669" t="s">
        <v>698</v>
      </c>
      <c r="D37" s="670">
        <v>133</v>
      </c>
      <c r="E37" s="671">
        <v>5678509</v>
      </c>
      <c r="F37" s="672" t="s">
        <v>693</v>
      </c>
      <c r="G37" s="672" t="s">
        <v>699</v>
      </c>
      <c r="H37" s="673">
        <v>114</v>
      </c>
      <c r="I37" s="674">
        <v>60</v>
      </c>
      <c r="J37" s="745">
        <f t="shared" si="2"/>
        <v>902677.40764175158</v>
      </c>
      <c r="K37" s="734" t="e">
        <f>17*K3*365</f>
        <v>#REF!</v>
      </c>
      <c r="L37" s="734" t="e">
        <f>24*L3*365</f>
        <v>#REF!</v>
      </c>
      <c r="M37" s="734">
        <v>0</v>
      </c>
      <c r="N37" s="734">
        <v>0</v>
      </c>
      <c r="O37" s="734">
        <v>0</v>
      </c>
      <c r="P37" s="734">
        <v>0</v>
      </c>
      <c r="Q37" s="726">
        <v>41</v>
      </c>
      <c r="R37" s="734">
        <f>Q37*R3*365</f>
        <v>429856.8292098614</v>
      </c>
      <c r="S37" s="673">
        <v>13</v>
      </c>
      <c r="T37" s="743" t="e">
        <f>SUM(5*Z12)*365+SUM(8*Z15)*365</f>
        <v>#REF!</v>
      </c>
      <c r="U37" s="746" t="e">
        <f>SUM(J37:P37)+SUM(R37+T37)</f>
        <v>#REF!</v>
      </c>
      <c r="V37" s="678">
        <v>5959314.8499999996</v>
      </c>
      <c r="W37" s="678">
        <v>681074.99999999988</v>
      </c>
      <c r="X37" s="679">
        <v>81314.168611833957</v>
      </c>
    </row>
    <row r="38" spans="1:24">
      <c r="A38" s="637" t="s">
        <v>690</v>
      </c>
      <c r="B38" s="638" t="s">
        <v>700</v>
      </c>
      <c r="C38" s="652" t="s">
        <v>701</v>
      </c>
      <c r="D38" s="653">
        <v>154</v>
      </c>
      <c r="E38" s="654">
        <v>4061359</v>
      </c>
      <c r="F38" s="2424" t="s">
        <v>693</v>
      </c>
      <c r="G38" s="2424" t="s">
        <v>702</v>
      </c>
      <c r="H38" s="2416">
        <v>238</v>
      </c>
      <c r="I38" s="2457">
        <v>170</v>
      </c>
      <c r="J38" s="2455">
        <f t="shared" si="2"/>
        <v>2557585.9883182961</v>
      </c>
      <c r="K38" s="2442" t="e">
        <f>14*K3*365</f>
        <v>#REF!</v>
      </c>
      <c r="L38" s="2442" t="e">
        <f>49*L3*365</f>
        <v>#REF!</v>
      </c>
      <c r="M38" s="2442">
        <v>0</v>
      </c>
      <c r="N38" s="2442">
        <v>0</v>
      </c>
      <c r="O38" s="2442">
        <v>0</v>
      </c>
      <c r="P38" s="2442">
        <v>0</v>
      </c>
      <c r="Q38" s="2448">
        <v>63</v>
      </c>
      <c r="R38" s="2442">
        <f>63*R3*365</f>
        <v>660511.71317612857</v>
      </c>
      <c r="S38" s="2416">
        <v>5</v>
      </c>
      <c r="T38" s="2453" t="e">
        <f>S38*Z17*365</f>
        <v>#REF!</v>
      </c>
      <c r="U38" s="2444" t="e">
        <f>SUM(J38:P39)+SUM(R38+T38)</f>
        <v>#REF!</v>
      </c>
      <c r="V38" s="2418">
        <v>7913196.3499999996</v>
      </c>
      <c r="W38" s="2420">
        <v>853400</v>
      </c>
      <c r="X38" s="2422">
        <v>109316</v>
      </c>
    </row>
    <row r="39" spans="1:24" ht="15.75" thickBot="1">
      <c r="A39" s="661" t="s">
        <v>690</v>
      </c>
      <c r="B39" s="662" t="s">
        <v>700</v>
      </c>
      <c r="C39" s="663" t="s">
        <v>701</v>
      </c>
      <c r="D39" s="664">
        <v>128</v>
      </c>
      <c r="E39" s="665">
        <v>2509924</v>
      </c>
      <c r="F39" s="2425"/>
      <c r="G39" s="2425"/>
      <c r="H39" s="2417"/>
      <c r="I39" s="2458"/>
      <c r="J39" s="2456"/>
      <c r="K39" s="2443"/>
      <c r="L39" s="2443"/>
      <c r="M39" s="2443"/>
      <c r="N39" s="2443"/>
      <c r="O39" s="2443"/>
      <c r="P39" s="2443"/>
      <c r="Q39" s="2449"/>
      <c r="R39" s="2443"/>
      <c r="S39" s="2417"/>
      <c r="T39" s="2454"/>
      <c r="U39" s="2445"/>
      <c r="V39" s="2419">
        <v>7883321.0999999996</v>
      </c>
      <c r="W39" s="2421"/>
      <c r="X39" s="2423"/>
    </row>
    <row r="40" spans="1:24" ht="15.75" thickBot="1">
      <c r="A40" s="667" t="s">
        <v>690</v>
      </c>
      <c r="B40" s="668" t="s">
        <v>533</v>
      </c>
      <c r="C40" s="669" t="s">
        <v>703</v>
      </c>
      <c r="D40" s="670">
        <v>108</v>
      </c>
      <c r="E40" s="671">
        <v>3784970</v>
      </c>
      <c r="F40" s="672" t="s">
        <v>693</v>
      </c>
      <c r="G40" s="672" t="s">
        <v>704</v>
      </c>
      <c r="H40" s="673">
        <v>100</v>
      </c>
      <c r="I40" s="674">
        <v>80</v>
      </c>
      <c r="J40" s="745">
        <f>I40*$J$3*365</f>
        <v>1203569.8768556686</v>
      </c>
      <c r="K40" s="734" t="e">
        <f>12*K3*365</f>
        <v>#REF!</v>
      </c>
      <c r="L40" s="734">
        <v>0</v>
      </c>
      <c r="M40" s="734">
        <v>0</v>
      </c>
      <c r="N40" s="734">
        <v>0</v>
      </c>
      <c r="O40" s="734">
        <v>0</v>
      </c>
      <c r="P40" s="734">
        <v>0</v>
      </c>
      <c r="Q40" s="726">
        <v>12</v>
      </c>
      <c r="R40" s="734">
        <f>Q40*R3*365</f>
        <v>125811.75489069115</v>
      </c>
      <c r="S40" s="673">
        <v>8</v>
      </c>
      <c r="T40" s="743" t="e">
        <f>S40*Z11*365</f>
        <v>#REF!</v>
      </c>
      <c r="U40" s="746" t="e">
        <f>SUM(J40:P40)+SUM(R40+T40)</f>
        <v>#REF!</v>
      </c>
      <c r="V40" s="678">
        <v>3400865.5999999996</v>
      </c>
      <c r="W40" s="678">
        <v>251000</v>
      </c>
      <c r="X40" s="679">
        <v>70132.779110166011</v>
      </c>
    </row>
    <row r="41" spans="1:24" ht="15.75" thickBot="1">
      <c r="A41" s="667" t="s">
        <v>690</v>
      </c>
      <c r="B41" s="668" t="s">
        <v>540</v>
      </c>
      <c r="C41" s="669" t="s">
        <v>703</v>
      </c>
      <c r="D41" s="670">
        <v>237</v>
      </c>
      <c r="E41" s="671">
        <v>5517565</v>
      </c>
      <c r="F41" s="672" t="s">
        <v>693</v>
      </c>
      <c r="G41" s="672" t="s">
        <v>705</v>
      </c>
      <c r="H41" s="673">
        <v>202</v>
      </c>
      <c r="I41" s="674">
        <v>130</v>
      </c>
      <c r="J41" s="745">
        <f>I41*$J$3*365</f>
        <v>1955801.0498904616</v>
      </c>
      <c r="K41" s="734">
        <v>0</v>
      </c>
      <c r="L41" s="734" t="e">
        <f>32*L3*365</f>
        <v>#REF!</v>
      </c>
      <c r="M41" s="734" t="e">
        <f>32*M3*365</f>
        <v>#REF!</v>
      </c>
      <c r="N41" s="734">
        <v>0</v>
      </c>
      <c r="O41" s="734">
        <v>0</v>
      </c>
      <c r="P41" s="734">
        <v>0</v>
      </c>
      <c r="Q41" s="726">
        <v>64</v>
      </c>
      <c r="R41" s="734">
        <f>Q41*R3*365</f>
        <v>670996.02608368616</v>
      </c>
      <c r="S41" s="673">
        <v>8</v>
      </c>
      <c r="T41" s="743" t="e">
        <f>S41*Z12*365</f>
        <v>#REF!</v>
      </c>
      <c r="U41" s="746" t="e">
        <f>SUM(J41:P41)+SUM(R41+T41)</f>
        <v>#REF!</v>
      </c>
      <c r="V41" s="678">
        <v>6868708.7000000002</v>
      </c>
      <c r="W41" s="678">
        <v>900000</v>
      </c>
      <c r="X41" s="679">
        <v>105216.18699120828</v>
      </c>
    </row>
    <row r="42" spans="1:24">
      <c r="A42" s="637" t="s">
        <v>690</v>
      </c>
      <c r="B42" s="638" t="s">
        <v>706</v>
      </c>
      <c r="C42" s="652" t="s">
        <v>703</v>
      </c>
      <c r="D42" s="653">
        <v>143</v>
      </c>
      <c r="E42" s="654">
        <v>3992584</v>
      </c>
      <c r="F42" s="2424" t="s">
        <v>693</v>
      </c>
      <c r="G42" s="2424" t="s">
        <v>707</v>
      </c>
      <c r="H42" s="2416">
        <v>212</v>
      </c>
      <c r="I42" s="2457">
        <v>101</v>
      </c>
      <c r="J42" s="2455">
        <f>I42*$J$3*365</f>
        <v>1519506.9695302818</v>
      </c>
      <c r="K42" s="2442" t="e">
        <f>27*K3*365</f>
        <v>#REF!</v>
      </c>
      <c r="L42" s="2442" t="e">
        <f>48*L3*365</f>
        <v>#REF!</v>
      </c>
      <c r="M42" s="2442">
        <v>0</v>
      </c>
      <c r="N42" s="2442">
        <f>12*N3*365</f>
        <v>0</v>
      </c>
      <c r="O42" s="2442">
        <f>20*O3*365</f>
        <v>0</v>
      </c>
      <c r="P42" s="2442">
        <v>0</v>
      </c>
      <c r="Q42" s="2448">
        <v>107</v>
      </c>
      <c r="R42" s="2442">
        <f>Q42*R3*365</f>
        <v>1121821.4811086627</v>
      </c>
      <c r="S42" s="2416">
        <v>4</v>
      </c>
      <c r="T42" s="2453" t="e">
        <f>S42*Z14*365</f>
        <v>#REF!</v>
      </c>
      <c r="U42" s="2444" t="e">
        <f>SUM(J42:P43)+SUM(R42+T42)</f>
        <v>#REF!</v>
      </c>
      <c r="V42" s="2418">
        <v>9111119.0499999989</v>
      </c>
      <c r="W42" s="2420">
        <v>1372237.5</v>
      </c>
      <c r="X42" s="2422">
        <v>154080</v>
      </c>
    </row>
    <row r="43" spans="1:24" ht="15.75" thickBot="1">
      <c r="A43" s="661" t="s">
        <v>690</v>
      </c>
      <c r="B43" s="662" t="s">
        <v>706</v>
      </c>
      <c r="C43" s="663" t="s">
        <v>629</v>
      </c>
      <c r="D43" s="664">
        <v>101</v>
      </c>
      <c r="E43" s="665">
        <v>2634080</v>
      </c>
      <c r="F43" s="2425"/>
      <c r="G43" s="2425"/>
      <c r="H43" s="2417"/>
      <c r="I43" s="2458"/>
      <c r="J43" s="2456"/>
      <c r="K43" s="2443"/>
      <c r="L43" s="2443"/>
      <c r="M43" s="2443"/>
      <c r="N43" s="2443"/>
      <c r="O43" s="2443"/>
      <c r="P43" s="2443"/>
      <c r="Q43" s="2449"/>
      <c r="R43" s="2443"/>
      <c r="S43" s="2417"/>
      <c r="T43" s="2454"/>
      <c r="U43" s="2445"/>
      <c r="V43" s="2419">
        <v>9015408.75</v>
      </c>
      <c r="W43" s="2421"/>
      <c r="X43" s="2423"/>
    </row>
    <row r="44" spans="1:24" ht="15.75" thickBot="1">
      <c r="A44" s="667" t="s">
        <v>708</v>
      </c>
      <c r="B44" s="668" t="s">
        <v>709</v>
      </c>
      <c r="C44" s="669" t="s">
        <v>710</v>
      </c>
      <c r="D44" s="670">
        <v>575</v>
      </c>
      <c r="E44" s="671">
        <v>16010294</v>
      </c>
      <c r="F44" s="672" t="s">
        <v>531</v>
      </c>
      <c r="G44" s="672" t="s">
        <v>711</v>
      </c>
      <c r="H44" s="673">
        <v>461</v>
      </c>
      <c r="I44" s="674">
        <v>315</v>
      </c>
      <c r="J44" s="745">
        <f>I44*$J$3*365</f>
        <v>4739056.390119195</v>
      </c>
      <c r="K44" s="734" t="e">
        <f>26*K3*365</f>
        <v>#REF!</v>
      </c>
      <c r="L44" s="734" t="e">
        <f>41*L3*365</f>
        <v>#REF!</v>
      </c>
      <c r="M44" s="734" t="e">
        <f>34*M3*365</f>
        <v>#REF!</v>
      </c>
      <c r="N44" s="734">
        <v>0</v>
      </c>
      <c r="O44" s="734">
        <v>0</v>
      </c>
      <c r="P44" s="734">
        <v>0</v>
      </c>
      <c r="Q44" s="726">
        <v>101</v>
      </c>
      <c r="R44" s="734">
        <f>Q44*R3*365</f>
        <v>1058915.6036633172</v>
      </c>
      <c r="S44" s="673">
        <v>45</v>
      </c>
      <c r="T44" s="743" t="e">
        <f>SUM(12*Z16)*365+SUM(12*Z18)*365+SUM(17*Z21)*365+SUM(4*Z11)*365</f>
        <v>#REF!</v>
      </c>
      <c r="U44" s="746" t="e">
        <f>SUM(J44:P44)+SUM(R44+T44)</f>
        <v>#REF!</v>
      </c>
      <c r="V44" s="678">
        <v>16734286.400000002</v>
      </c>
      <c r="W44" s="678">
        <v>2094300.0000000002</v>
      </c>
      <c r="X44" s="679">
        <v>296590</v>
      </c>
    </row>
    <row r="45" spans="1:24" ht="15.75" thickBot="1">
      <c r="A45" s="667" t="s">
        <v>708</v>
      </c>
      <c r="B45" s="668" t="s">
        <v>712</v>
      </c>
      <c r="C45" s="669" t="s">
        <v>713</v>
      </c>
      <c r="D45" s="670">
        <v>1032</v>
      </c>
      <c r="E45" s="671">
        <v>25370621</v>
      </c>
      <c r="F45" s="672" t="s">
        <v>531</v>
      </c>
      <c r="G45" s="672" t="s">
        <v>714</v>
      </c>
      <c r="H45" s="673">
        <v>832</v>
      </c>
      <c r="I45" s="674">
        <v>394</v>
      </c>
      <c r="J45" s="745">
        <f>I45*$J$3*365</f>
        <v>5927581.6435141684</v>
      </c>
      <c r="K45" s="734" t="e">
        <f>20*K3*365</f>
        <v>#REF!</v>
      </c>
      <c r="L45" s="734" t="e">
        <f>139*L3*365</f>
        <v>#REF!</v>
      </c>
      <c r="M45" s="734" t="e">
        <f>155*M3*365</f>
        <v>#REF!</v>
      </c>
      <c r="N45" s="734">
        <f>16*N3*365</f>
        <v>0</v>
      </c>
      <c r="O45" s="734">
        <f>57*O3*365</f>
        <v>0</v>
      </c>
      <c r="P45" s="734">
        <f>34*P3*365</f>
        <v>0</v>
      </c>
      <c r="Q45" s="726">
        <v>421</v>
      </c>
      <c r="R45" s="734">
        <f>Q45*R3*365</f>
        <v>4413895.7340817479</v>
      </c>
      <c r="S45" s="673">
        <v>17</v>
      </c>
      <c r="T45" s="743" t="e">
        <f>S45*Z15*365</f>
        <v>#REF!</v>
      </c>
      <c r="U45" s="746" t="e">
        <f>SUM(J45:P45)+SUM(R45+T45)</f>
        <v>#REF!</v>
      </c>
      <c r="V45" s="678">
        <v>30147853.899999999</v>
      </c>
      <c r="W45" s="678">
        <v>6296325</v>
      </c>
      <c r="X45" s="679">
        <v>194719</v>
      </c>
    </row>
    <row r="46" spans="1:24" ht="15.75" thickBot="1">
      <c r="A46" s="667" t="s">
        <v>708</v>
      </c>
      <c r="B46" s="668" t="s">
        <v>715</v>
      </c>
      <c r="C46" s="669" t="s">
        <v>629</v>
      </c>
      <c r="D46" s="670">
        <v>710</v>
      </c>
      <c r="E46" s="671">
        <v>14462963</v>
      </c>
      <c r="F46" s="672" t="s">
        <v>531</v>
      </c>
      <c r="G46" s="672" t="s">
        <v>716</v>
      </c>
      <c r="H46" s="673">
        <v>645</v>
      </c>
      <c r="I46" s="674">
        <v>463</v>
      </c>
      <c r="J46" s="745">
        <f>I46*$J$3*365</f>
        <v>6965660.662302183</v>
      </c>
      <c r="K46" s="734" t="e">
        <f>10*K3*365</f>
        <v>#REF!</v>
      </c>
      <c r="L46" s="734" t="e">
        <f>77*L3*365</f>
        <v>#REF!</v>
      </c>
      <c r="M46" s="734" t="e">
        <f>67*M3*365</f>
        <v>#REF!</v>
      </c>
      <c r="N46" s="734">
        <f>28*N3*365</f>
        <v>0</v>
      </c>
      <c r="O46" s="734">
        <v>0</v>
      </c>
      <c r="P46" s="734">
        <v>0</v>
      </c>
      <c r="Q46" s="726">
        <v>182</v>
      </c>
      <c r="R46" s="734">
        <f>Q46*R3*365</f>
        <v>1908144.9491754824</v>
      </c>
      <c r="S46" s="673">
        <v>0</v>
      </c>
      <c r="T46" s="739">
        <v>0</v>
      </c>
      <c r="U46" s="746" t="e">
        <f>SUM(J46:P46)+SUM(R46+T46)</f>
        <v>#REF!</v>
      </c>
      <c r="V46" s="678">
        <v>17717965.050000001</v>
      </c>
      <c r="W46" s="678">
        <v>2577600</v>
      </c>
      <c r="X46" s="679">
        <v>114612</v>
      </c>
    </row>
    <row r="47" spans="1:24" ht="15.75" thickBot="1">
      <c r="A47" s="691" t="s">
        <v>708</v>
      </c>
      <c r="B47" s="692" t="s">
        <v>709</v>
      </c>
      <c r="C47" s="693" t="s">
        <v>629</v>
      </c>
      <c r="D47" s="694">
        <v>510</v>
      </c>
      <c r="E47" s="695">
        <v>12241211</v>
      </c>
      <c r="F47" s="696" t="s">
        <v>531</v>
      </c>
      <c r="G47" s="696" t="s">
        <v>717</v>
      </c>
      <c r="H47" s="697">
        <v>377</v>
      </c>
      <c r="I47" s="698">
        <v>253</v>
      </c>
      <c r="J47" s="745">
        <f>I47*$J$3*365</f>
        <v>3806289.7355560525</v>
      </c>
      <c r="K47" s="737" t="e">
        <f>18*K3*365</f>
        <v>#REF!</v>
      </c>
      <c r="L47" s="737" t="e">
        <f>76*L3*365</f>
        <v>#REF!</v>
      </c>
      <c r="M47" s="737" t="e">
        <f>30*M3*365</f>
        <v>#REF!</v>
      </c>
      <c r="N47" s="737">
        <v>0</v>
      </c>
      <c r="O47" s="737">
        <v>0</v>
      </c>
      <c r="P47" s="737">
        <v>0</v>
      </c>
      <c r="Q47" s="729">
        <v>124</v>
      </c>
      <c r="R47" s="737">
        <f>Q47*R3*365</f>
        <v>1300054.800537142</v>
      </c>
      <c r="S47" s="697">
        <v>0</v>
      </c>
      <c r="T47" s="742">
        <v>0</v>
      </c>
      <c r="U47" s="746" t="e">
        <f>SUM(J47:P47)+SUM(R47+T47)</f>
        <v>#REF!</v>
      </c>
      <c r="V47" s="699">
        <v>12412361.550000001</v>
      </c>
      <c r="W47" s="699">
        <v>1664700</v>
      </c>
      <c r="X47" s="700">
        <v>188333</v>
      </c>
    </row>
    <row r="48" spans="1:24" ht="15.75" thickBot="1">
      <c r="A48" s="701" t="s">
        <v>25</v>
      </c>
      <c r="B48" s="702"/>
      <c r="C48" s="702"/>
      <c r="D48" s="703">
        <f>SUM(D4:D47)</f>
        <v>11213</v>
      </c>
      <c r="E48" s="704">
        <f>SUM(E4:E47)</f>
        <v>269854141</v>
      </c>
      <c r="F48" s="705"/>
      <c r="G48" s="706"/>
      <c r="H48" s="707">
        <f>SUM(H4:H47)</f>
        <v>9546</v>
      </c>
      <c r="I48" s="707">
        <f>SUM(I4:I47)</f>
        <v>6863</v>
      </c>
      <c r="J48" s="762"/>
      <c r="K48" s="763"/>
      <c r="L48" s="763"/>
      <c r="M48" s="763"/>
      <c r="N48" s="763"/>
      <c r="O48" s="763"/>
      <c r="P48" s="763"/>
      <c r="Q48" s="707">
        <f>SUM(Q4:Q47)</f>
        <v>2479</v>
      </c>
      <c r="R48" s="763"/>
      <c r="S48" s="707">
        <f>SUM(S4:S47)</f>
        <v>211</v>
      </c>
      <c r="T48" s="738"/>
      <c r="U48" s="764" t="e">
        <f>SUM(U4:U47)</f>
        <v>#REF!</v>
      </c>
      <c r="V48" s="708">
        <v>296709682.60000002</v>
      </c>
      <c r="W48" s="708">
        <f>SUM(W4:W47)</f>
        <v>37011912.5</v>
      </c>
      <c r="X48" s="708">
        <f>SUM(X4:X47)</f>
        <v>5667435.5654741749</v>
      </c>
    </row>
    <row r="49" spans="2:24" ht="15" customHeight="1" thickBot="1">
      <c r="B49" s="2426" t="s">
        <v>718</v>
      </c>
      <c r="C49" s="2426"/>
      <c r="D49" s="709"/>
      <c r="E49" s="2427" t="s">
        <v>719</v>
      </c>
      <c r="F49" s="2427"/>
      <c r="G49" s="2427"/>
      <c r="H49" s="2427"/>
      <c r="I49" s="2427"/>
      <c r="J49" s="2427"/>
      <c r="K49" s="2427"/>
      <c r="L49" s="2427"/>
      <c r="M49" s="2427"/>
      <c r="N49" s="2427"/>
      <c r="O49" s="2427"/>
      <c r="P49" s="2427"/>
      <c r="Q49" s="2427"/>
      <c r="R49" s="2427"/>
      <c r="S49" s="2427"/>
      <c r="T49" s="2427"/>
      <c r="U49" s="2427"/>
      <c r="V49" s="2427"/>
      <c r="W49" s="710"/>
    </row>
    <row r="50" spans="2:24" ht="30" customHeight="1">
      <c r="S50" s="747"/>
      <c r="T50" s="748" t="s">
        <v>727</v>
      </c>
      <c r="U50" s="748"/>
      <c r="V50" s="749"/>
      <c r="W50" s="749" t="s">
        <v>720</v>
      </c>
      <c r="X50" s="750">
        <f>SUM(V48:X48)</f>
        <v>339389030.66547418</v>
      </c>
    </row>
    <row r="51" spans="2:24">
      <c r="S51" s="751"/>
      <c r="T51" s="752"/>
      <c r="U51" s="752"/>
      <c r="V51" s="753"/>
      <c r="W51" s="753"/>
      <c r="X51" s="754"/>
    </row>
    <row r="52" spans="2:24">
      <c r="F52" s="794" t="e">
        <f>(U48-E48)+W48</f>
        <v>#REF!</v>
      </c>
      <c r="G52" s="715"/>
      <c r="S52" s="751"/>
      <c r="T52" s="752"/>
      <c r="U52" s="752"/>
      <c r="V52" s="753"/>
      <c r="W52" s="753"/>
      <c r="X52" s="754"/>
    </row>
    <row r="53" spans="2:24">
      <c r="H53" s="715"/>
      <c r="S53" s="751"/>
      <c r="T53" s="752"/>
      <c r="U53" s="752"/>
      <c r="V53" s="753">
        <f>V48-E48</f>
        <v>26855541.600000024</v>
      </c>
      <c r="W53" s="753">
        <f>V48+W48</f>
        <v>333721595.10000002</v>
      </c>
      <c r="X53" s="755"/>
    </row>
    <row r="54" spans="2:24">
      <c r="S54" s="751"/>
      <c r="T54" s="752"/>
      <c r="U54" s="752"/>
      <c r="V54" s="753"/>
      <c r="W54" s="753"/>
      <c r="X54" s="754"/>
    </row>
    <row r="55" spans="2:24" ht="15.75" thickBot="1">
      <c r="B55" s="2468" t="s">
        <v>740</v>
      </c>
      <c r="C55" s="2468"/>
      <c r="D55" s="2468"/>
      <c r="E55" s="2468"/>
      <c r="H55" s="832"/>
      <c r="S55" s="751"/>
      <c r="T55" s="752"/>
      <c r="U55" s="752"/>
      <c r="V55" s="753"/>
      <c r="W55" s="753"/>
      <c r="X55" s="755"/>
    </row>
    <row r="56" spans="2:24" ht="45" customHeight="1" thickBot="1">
      <c r="B56" s="2466" t="s">
        <v>731</v>
      </c>
      <c r="C56" s="2466"/>
      <c r="D56" s="2466"/>
      <c r="E56" s="2466"/>
      <c r="F56" s="2466"/>
      <c r="H56" s="833"/>
      <c r="S56" s="756">
        <f>(W53-E48)/E48</f>
        <v>0.23667398196420497</v>
      </c>
      <c r="T56" s="757"/>
      <c r="U56" s="757"/>
      <c r="V56" s="840">
        <f>W48+V53</f>
        <v>63867454.100000024</v>
      </c>
      <c r="W56" s="841" t="s">
        <v>721</v>
      </c>
      <c r="X56" s="754"/>
    </row>
    <row r="57" spans="2:24" ht="15.75" thickBot="1">
      <c r="B57" s="782"/>
      <c r="E57"/>
      <c r="S57" s="758"/>
      <c r="T57" s="759"/>
      <c r="U57" s="759"/>
      <c r="V57" s="760">
        <f>V56+X48</f>
        <v>69534889.665474206</v>
      </c>
      <c r="W57" s="760" t="s">
        <v>722</v>
      </c>
      <c r="X57" s="761"/>
    </row>
    <row r="58" spans="2:24" ht="29.25" thickBot="1">
      <c r="B58" s="783" t="s">
        <v>732</v>
      </c>
      <c r="C58" s="784" t="s">
        <v>733</v>
      </c>
      <c r="D58" s="784" t="s">
        <v>734</v>
      </c>
      <c r="E58" s="784" t="s">
        <v>735</v>
      </c>
      <c r="F58" s="713" t="s">
        <v>742</v>
      </c>
    </row>
    <row r="59" spans="2:24" ht="15.75" thickBot="1">
      <c r="B59" s="785" t="s">
        <v>545</v>
      </c>
      <c r="C59" s="786">
        <v>9600</v>
      </c>
      <c r="D59" s="787">
        <v>127990872</v>
      </c>
      <c r="E59" s="788">
        <v>0.35399999999999998</v>
      </c>
    </row>
    <row r="60" spans="2:24" ht="15.75" thickBot="1">
      <c r="B60" s="785" t="s">
        <v>736</v>
      </c>
      <c r="C60" s="786">
        <v>2428</v>
      </c>
      <c r="D60" s="787">
        <v>143353065</v>
      </c>
      <c r="E60" s="788">
        <v>0.39600000000000002</v>
      </c>
      <c r="S60" s="765"/>
      <c r="T60" s="766" t="s">
        <v>728</v>
      </c>
      <c r="U60" s="766"/>
      <c r="V60" s="767"/>
      <c r="W60" s="767"/>
      <c r="X60" s="768"/>
    </row>
    <row r="61" spans="2:24" ht="15.75" thickBot="1">
      <c r="B61" s="785" t="s">
        <v>774</v>
      </c>
      <c r="C61" s="789">
        <v>219</v>
      </c>
      <c r="D61" s="787">
        <v>26078713</v>
      </c>
      <c r="E61" s="788">
        <v>7.1999999999999995E-2</v>
      </c>
      <c r="F61" s="713" t="e">
        <f>U48</f>
        <v>#REF!</v>
      </c>
      <c r="H61" s="797"/>
      <c r="I61" s="797" t="e">
        <f>F61-SUM(D59:D61)</f>
        <v>#REF!</v>
      </c>
      <c r="S61" s="769"/>
      <c r="T61" s="770"/>
      <c r="U61" s="770"/>
      <c r="V61" s="771"/>
      <c r="W61" s="771" t="s">
        <v>720</v>
      </c>
      <c r="X61" s="772" t="e">
        <f>SUM(U48+W48+X48)</f>
        <v>#REF!</v>
      </c>
    </row>
    <row r="62" spans="2:24" ht="15.75" thickBot="1">
      <c r="B62" s="785" t="s">
        <v>737</v>
      </c>
      <c r="C62" s="786">
        <v>2647</v>
      </c>
      <c r="D62" s="787">
        <v>41218308</v>
      </c>
      <c r="E62" s="788">
        <v>0.114</v>
      </c>
      <c r="F62" s="713">
        <f>D62</f>
        <v>41218308</v>
      </c>
      <c r="H62" s="798"/>
      <c r="I62" s="797">
        <f>F62-D62</f>
        <v>0</v>
      </c>
      <c r="S62" s="769"/>
      <c r="T62" s="770"/>
      <c r="U62" s="770"/>
      <c r="V62" s="771"/>
      <c r="W62" s="771"/>
      <c r="X62" s="773"/>
    </row>
    <row r="63" spans="2:24" ht="15.75" thickBot="1">
      <c r="B63" s="785" t="s">
        <v>738</v>
      </c>
      <c r="C63" s="786">
        <v>9600</v>
      </c>
      <c r="D63" s="787">
        <v>7333323</v>
      </c>
      <c r="E63" s="788">
        <v>0.02</v>
      </c>
      <c r="F63" s="713">
        <f>D63</f>
        <v>7333323</v>
      </c>
      <c r="H63" s="797"/>
      <c r="I63" s="797">
        <f>F63-D63</f>
        <v>0</v>
      </c>
      <c r="S63" s="769"/>
      <c r="T63" s="770"/>
      <c r="U63" s="770"/>
      <c r="V63" s="771"/>
      <c r="W63" s="771"/>
      <c r="X63" s="773"/>
    </row>
    <row r="64" spans="2:24" ht="15.75" thickBot="1">
      <c r="B64" s="785" t="s">
        <v>775</v>
      </c>
      <c r="C64" s="786">
        <v>9600</v>
      </c>
      <c r="D64" s="787">
        <v>16000000</v>
      </c>
      <c r="E64" s="788">
        <v>4.3999999999999997E-2</v>
      </c>
      <c r="F64" s="835">
        <f>D64</f>
        <v>16000000</v>
      </c>
      <c r="G64" s="836"/>
      <c r="H64" s="837"/>
      <c r="S64" s="769"/>
      <c r="T64" s="770"/>
      <c r="U64" s="770"/>
      <c r="V64" s="771" t="e">
        <f>U48-E48</f>
        <v>#REF!</v>
      </c>
      <c r="W64" s="771" t="e">
        <f>U48+W48</f>
        <v>#REF!</v>
      </c>
      <c r="X64" s="773"/>
    </row>
    <row r="65" spans="2:24" ht="15.75" thickBot="1">
      <c r="B65" s="785" t="s">
        <v>776</v>
      </c>
      <c r="C65" s="786"/>
      <c r="D65" s="787"/>
      <c r="E65" s="788"/>
      <c r="H65" s="797"/>
      <c r="S65" s="769"/>
      <c r="T65" s="770"/>
      <c r="U65" s="770"/>
      <c r="V65" s="771"/>
      <c r="W65" s="771"/>
      <c r="X65" s="773"/>
    </row>
    <row r="66" spans="2:24" ht="15.75" thickBot="1">
      <c r="B66" s="785" t="s">
        <v>777</v>
      </c>
      <c r="C66" s="786"/>
      <c r="D66" s="787"/>
      <c r="E66" s="788"/>
      <c r="H66" s="797"/>
      <c r="S66" s="769"/>
      <c r="T66" s="770"/>
      <c r="U66" s="770"/>
      <c r="V66" s="771"/>
      <c r="W66" s="771"/>
      <c r="X66" s="773"/>
    </row>
    <row r="67" spans="2:24" ht="15.75" thickBot="1">
      <c r="B67" s="790" t="s">
        <v>348</v>
      </c>
      <c r="C67" s="791">
        <v>9600</v>
      </c>
      <c r="D67" s="791">
        <v>361974281</v>
      </c>
      <c r="E67" s="792">
        <v>1</v>
      </c>
      <c r="F67" s="713" t="e">
        <f>SUM(F61:F66)</f>
        <v>#REF!</v>
      </c>
      <c r="H67" s="797" t="e">
        <f>F67-D67</f>
        <v>#REF!</v>
      </c>
      <c r="S67" s="774" t="e">
        <f>(W64-E48)/E48</f>
        <v>#REF!</v>
      </c>
      <c r="T67" s="770"/>
      <c r="U67" s="770"/>
      <c r="V67" s="842"/>
      <c r="W67" s="843"/>
      <c r="X67" s="773"/>
    </row>
    <row r="68" spans="2:24" ht="15.75" thickBot="1">
      <c r="B68" s="793"/>
      <c r="E68"/>
      <c r="G68" s="715"/>
      <c r="I68" s="798">
        <f>SUM(D59:D61)</f>
        <v>297422650</v>
      </c>
      <c r="S68" s="769"/>
      <c r="T68" s="770"/>
      <c r="U68" s="770"/>
      <c r="V68" s="844" t="e">
        <f>V64+W48</f>
        <v>#REF!</v>
      </c>
      <c r="W68" s="845" t="s">
        <v>721</v>
      </c>
      <c r="X68" s="773"/>
    </row>
    <row r="69" spans="2:24" ht="55.35" customHeight="1" thickBot="1">
      <c r="B69" s="2467" t="s">
        <v>739</v>
      </c>
      <c r="C69" s="2467"/>
      <c r="D69" s="2467"/>
      <c r="E69" s="2467"/>
      <c r="I69" s="797" t="e">
        <f>SUM(F61+I63)-I68</f>
        <v>#REF!</v>
      </c>
      <c r="N69" s="769"/>
      <c r="O69" s="769"/>
      <c r="P69" s="769"/>
      <c r="Q69" s="769"/>
      <c r="R69" s="769"/>
      <c r="S69" s="769"/>
      <c r="T69" s="770"/>
      <c r="U69" s="770"/>
      <c r="V69" s="771" t="e">
        <f>V68+X48</f>
        <v>#REF!</v>
      </c>
      <c r="W69" s="775" t="s">
        <v>722</v>
      </c>
      <c r="X69" s="773"/>
    </row>
    <row r="70" spans="2:24" ht="15.75" thickBot="1">
      <c r="D70" s="796">
        <f>SUM(D59:D62)</f>
        <v>338640958</v>
      </c>
      <c r="S70" s="776"/>
      <c r="T70" s="777"/>
      <c r="U70" s="777"/>
      <c r="V70" s="775"/>
      <c r="W70" s="775"/>
      <c r="X70" s="778"/>
    </row>
    <row r="71" spans="2:24">
      <c r="D71" s="794">
        <v>280000000</v>
      </c>
    </row>
    <row r="72" spans="2:24" ht="15.75" thickBot="1">
      <c r="B72">
        <v>280000000</v>
      </c>
      <c r="C72" s="713">
        <v>284300000</v>
      </c>
      <c r="F72" s="838" t="e">
        <f>F67-284300000</f>
        <v>#REF!</v>
      </c>
      <c r="G72" s="2441" t="s">
        <v>743</v>
      </c>
      <c r="H72" s="2441"/>
      <c r="X72" s="839"/>
    </row>
    <row r="73" spans="2:24" ht="16.5" thickTop="1" thickBot="1">
      <c r="B73" s="816">
        <f>361974281+1500000</f>
        <v>363474281</v>
      </c>
      <c r="D73" s="795">
        <f>D67-D71</f>
        <v>81974281</v>
      </c>
      <c r="F73" s="713" t="e">
        <f>F72-81974281</f>
        <v>#REF!</v>
      </c>
      <c r="G73" s="2441" t="s">
        <v>744</v>
      </c>
      <c r="H73" s="2441"/>
      <c r="U73" s="712" t="s">
        <v>729</v>
      </c>
      <c r="V73" s="781" t="e">
        <f>(V68-V56)</f>
        <v>#REF!</v>
      </c>
      <c r="X73" s="780" t="e">
        <f>S67-S56</f>
        <v>#REF!</v>
      </c>
    </row>
    <row r="74" spans="2:24" ht="15.75" thickTop="1">
      <c r="E74" s="817"/>
      <c r="F74" s="713">
        <f>W48-D62</f>
        <v>-4206395.5</v>
      </c>
      <c r="G74" s="2441" t="s">
        <v>769</v>
      </c>
      <c r="H74" s="2441"/>
      <c r="U74" s="2450" t="s">
        <v>730</v>
      </c>
      <c r="V74" s="2451">
        <v>4250609</v>
      </c>
    </row>
    <row r="75" spans="2:24" ht="15.75" thickBot="1">
      <c r="B75" s="815">
        <f>B73-B72</f>
        <v>83474281</v>
      </c>
      <c r="C75" s="779"/>
      <c r="F75" s="713">
        <f>-D64*14.29%</f>
        <v>-2286400</v>
      </c>
      <c r="G75" s="2441" t="s">
        <v>770</v>
      </c>
      <c r="H75" s="2441"/>
      <c r="U75" s="2450"/>
      <c r="V75" s="2452"/>
    </row>
    <row r="76" spans="2:24" ht="16.5" thickTop="1" thickBot="1">
      <c r="B76" s="815"/>
      <c r="C76" s="851"/>
      <c r="F76" s="838">
        <f>X48-F63</f>
        <v>-1665887.4345258251</v>
      </c>
      <c r="G76" s="2441" t="s">
        <v>773</v>
      </c>
      <c r="H76" s="2441"/>
      <c r="U76" s="846"/>
      <c r="V76" s="847"/>
    </row>
    <row r="77" spans="2:24" ht="15.75" thickTop="1">
      <c r="F77" s="713" t="e">
        <f>SUM(F73:F76)</f>
        <v>#REF!</v>
      </c>
      <c r="V77" s="713" t="e">
        <f>V73-V74</f>
        <v>#REF!</v>
      </c>
      <c r="W77" s="713" t="s">
        <v>772</v>
      </c>
    </row>
    <row r="79" spans="2:24">
      <c r="B79" s="714" t="e">
        <f>SUM(F67+F79+F80)+F77+F74</f>
        <v>#REF!</v>
      </c>
      <c r="D79" t="str">
        <f>B65</f>
        <v>ISA Costs to Add MRC</v>
      </c>
      <c r="F79" s="713">
        <v>4500000</v>
      </c>
    </row>
    <row r="80" spans="2:24">
      <c r="B80" s="779" t="e">
        <f>(B79-C72)/C72</f>
        <v>#REF!</v>
      </c>
      <c r="D80" t="str">
        <f>B66</f>
        <v>ISA Costs to Add DHC</v>
      </c>
      <c r="F80" s="713">
        <v>1000000</v>
      </c>
    </row>
    <row r="81" spans="4:25">
      <c r="W81" s="713" t="e">
        <f>W64-V74</f>
        <v>#REF!</v>
      </c>
      <c r="X81" s="779" t="e">
        <f>(W81-E48)/E48</f>
        <v>#REF!</v>
      </c>
      <c r="Y81" s="780" t="e">
        <f>X81-S56</f>
        <v>#REF!</v>
      </c>
    </row>
    <row r="82" spans="4:25">
      <c r="E82" s="850"/>
      <c r="F82" s="852" t="e">
        <f>SUM(F77:F80)</f>
        <v>#REF!</v>
      </c>
      <c r="G82" s="2465" t="s">
        <v>771</v>
      </c>
      <c r="H82" s="2465"/>
    </row>
    <row r="83" spans="4:25">
      <c r="D83" s="714" t="e">
        <f>81974281+F82</f>
        <v>#REF!</v>
      </c>
    </row>
  </sheetData>
  <autoFilter ref="A3:S49" xr:uid="{00000000-0009-0000-0000-000001000000}"/>
  <mergeCells count="216">
    <mergeCell ref="G82:H82"/>
    <mergeCell ref="G73:H73"/>
    <mergeCell ref="G74:H74"/>
    <mergeCell ref="G75:H75"/>
    <mergeCell ref="B56:F56"/>
    <mergeCell ref="B69:E69"/>
    <mergeCell ref="B55:E55"/>
    <mergeCell ref="C2:E2"/>
    <mergeCell ref="F4:F6"/>
    <mergeCell ref="G4:G6"/>
    <mergeCell ref="H4:H6"/>
    <mergeCell ref="F29:F30"/>
    <mergeCell ref="G29:G30"/>
    <mergeCell ref="H29:H30"/>
    <mergeCell ref="F19:F20"/>
    <mergeCell ref="G19:G20"/>
    <mergeCell ref="H19:H20"/>
    <mergeCell ref="H31:H32"/>
    <mergeCell ref="B49:C49"/>
    <mergeCell ref="E49:V49"/>
    <mergeCell ref="F42:F43"/>
    <mergeCell ref="G42:G43"/>
    <mergeCell ref="H42:H43"/>
    <mergeCell ref="I42:I43"/>
    <mergeCell ref="I4:I6"/>
    <mergeCell ref="J4:J6"/>
    <mergeCell ref="F9:F10"/>
    <mergeCell ref="G9:G10"/>
    <mergeCell ref="H9:H10"/>
    <mergeCell ref="I9:I10"/>
    <mergeCell ref="J9:J10"/>
    <mergeCell ref="F17:F18"/>
    <mergeCell ref="G17:G18"/>
    <mergeCell ref="H17:H18"/>
    <mergeCell ref="I17:I18"/>
    <mergeCell ref="J12:J13"/>
    <mergeCell ref="J15:J16"/>
    <mergeCell ref="J17:J18"/>
    <mergeCell ref="F7:F8"/>
    <mergeCell ref="G7:G8"/>
    <mergeCell ref="H7:H8"/>
    <mergeCell ref="I7:I8"/>
    <mergeCell ref="J7:J8"/>
    <mergeCell ref="W7:W8"/>
    <mergeCell ref="X7:X8"/>
    <mergeCell ref="K7:K8"/>
    <mergeCell ref="L7:L8"/>
    <mergeCell ref="M7:M8"/>
    <mergeCell ref="N7:N8"/>
    <mergeCell ref="O7:O8"/>
    <mergeCell ref="P7:P8"/>
    <mergeCell ref="Q7:Q8"/>
    <mergeCell ref="R7:R8"/>
    <mergeCell ref="S7:S8"/>
    <mergeCell ref="U7:U8"/>
    <mergeCell ref="V7:V8"/>
    <mergeCell ref="T7:T8"/>
    <mergeCell ref="Q4:Q6"/>
    <mergeCell ref="R4:R6"/>
    <mergeCell ref="S4:S6"/>
    <mergeCell ref="U4:U6"/>
    <mergeCell ref="V4:V6"/>
    <mergeCell ref="W4:W6"/>
    <mergeCell ref="X12:X13"/>
    <mergeCell ref="F15:F16"/>
    <mergeCell ref="G15:G16"/>
    <mergeCell ref="H15:H16"/>
    <mergeCell ref="I15:I16"/>
    <mergeCell ref="Q15:Q16"/>
    <mergeCell ref="S15:S16"/>
    <mergeCell ref="U9:U10"/>
    <mergeCell ref="V9:V10"/>
    <mergeCell ref="W9:W10"/>
    <mergeCell ref="X9:X10"/>
    <mergeCell ref="F12:F13"/>
    <mergeCell ref="G12:G13"/>
    <mergeCell ref="H12:H13"/>
    <mergeCell ref="I12:I13"/>
    <mergeCell ref="Q12:Q13"/>
    <mergeCell ref="W15:W16"/>
    <mergeCell ref="X4:X6"/>
    <mergeCell ref="X15:X16"/>
    <mergeCell ref="K12:K13"/>
    <mergeCell ref="L12:L13"/>
    <mergeCell ref="M12:M13"/>
    <mergeCell ref="N12:N13"/>
    <mergeCell ref="K9:K10"/>
    <mergeCell ref="L9:L10"/>
    <mergeCell ref="W17:W18"/>
    <mergeCell ref="X17:X18"/>
    <mergeCell ref="K17:K18"/>
    <mergeCell ref="L17:L18"/>
    <mergeCell ref="M17:M18"/>
    <mergeCell ref="N17:N18"/>
    <mergeCell ref="O17:O18"/>
    <mergeCell ref="P17:P18"/>
    <mergeCell ref="R17:R18"/>
    <mergeCell ref="P15:P16"/>
    <mergeCell ref="S12:S13"/>
    <mergeCell ref="Q17:Q18"/>
    <mergeCell ref="S17:S18"/>
    <mergeCell ref="U12:U13"/>
    <mergeCell ref="W12:W13"/>
    <mergeCell ref="M9:M10"/>
    <mergeCell ref="N9:N10"/>
    <mergeCell ref="W19:W20"/>
    <mergeCell ref="X19:X20"/>
    <mergeCell ref="K19:K20"/>
    <mergeCell ref="L19:L20"/>
    <mergeCell ref="M19:M20"/>
    <mergeCell ref="N19:N20"/>
    <mergeCell ref="O19:O20"/>
    <mergeCell ref="P19:P20"/>
    <mergeCell ref="J19:J20"/>
    <mergeCell ref="W29:W30"/>
    <mergeCell ref="X29:X30"/>
    <mergeCell ref="I38:I39"/>
    <mergeCell ref="Q38:Q39"/>
    <mergeCell ref="S38:S39"/>
    <mergeCell ref="V38:V39"/>
    <mergeCell ref="K29:K30"/>
    <mergeCell ref="L29:L30"/>
    <mergeCell ref="M29:M30"/>
    <mergeCell ref="N29:N30"/>
    <mergeCell ref="O29:O30"/>
    <mergeCell ref="P29:P30"/>
    <mergeCell ref="R29:R30"/>
    <mergeCell ref="T29:T30"/>
    <mergeCell ref="I31:I32"/>
    <mergeCell ref="Q31:Q32"/>
    <mergeCell ref="S31:S32"/>
    <mergeCell ref="J31:J32"/>
    <mergeCell ref="K31:K32"/>
    <mergeCell ref="L31:L32"/>
    <mergeCell ref="M31:M32"/>
    <mergeCell ref="J29:J30"/>
    <mergeCell ref="X31:X32"/>
    <mergeCell ref="I29:I30"/>
    <mergeCell ref="X42:X43"/>
    <mergeCell ref="J42:J43"/>
    <mergeCell ref="N31:N32"/>
    <mergeCell ref="O31:O32"/>
    <mergeCell ref="P31:P32"/>
    <mergeCell ref="R31:R32"/>
    <mergeCell ref="T31:T32"/>
    <mergeCell ref="K38:K39"/>
    <mergeCell ref="L38:L39"/>
    <mergeCell ref="M38:M39"/>
    <mergeCell ref="T38:T39"/>
    <mergeCell ref="R38:R39"/>
    <mergeCell ref="P38:P39"/>
    <mergeCell ref="O38:O39"/>
    <mergeCell ref="N38:N39"/>
    <mergeCell ref="K42:K43"/>
    <mergeCell ref="W38:W39"/>
    <mergeCell ref="X38:X39"/>
    <mergeCell ref="Q42:Q43"/>
    <mergeCell ref="S42:S43"/>
    <mergeCell ref="V42:V43"/>
    <mergeCell ref="W42:W43"/>
    <mergeCell ref="V31:V32"/>
    <mergeCell ref="W31:W32"/>
    <mergeCell ref="F38:F39"/>
    <mergeCell ref="G38:G39"/>
    <mergeCell ref="H38:H39"/>
    <mergeCell ref="J38:J39"/>
    <mergeCell ref="K15:K16"/>
    <mergeCell ref="L15:L16"/>
    <mergeCell ref="M15:M16"/>
    <mergeCell ref="N15:N16"/>
    <mergeCell ref="O15:O16"/>
    <mergeCell ref="I19:I20"/>
    <mergeCell ref="F31:F32"/>
    <mergeCell ref="G31:G32"/>
    <mergeCell ref="O9:O10"/>
    <mergeCell ref="P9:P10"/>
    <mergeCell ref="T9:T10"/>
    <mergeCell ref="Q29:Q30"/>
    <mergeCell ref="S29:S30"/>
    <mergeCell ref="V29:V30"/>
    <mergeCell ref="V17:V18"/>
    <mergeCell ref="Q9:Q10"/>
    <mergeCell ref="R9:R10"/>
    <mergeCell ref="S9:S10"/>
    <mergeCell ref="R19:R20"/>
    <mergeCell ref="T19:T20"/>
    <mergeCell ref="R15:R16"/>
    <mergeCell ref="T15:T16"/>
    <mergeCell ref="T17:T18"/>
    <mergeCell ref="O12:O13"/>
    <mergeCell ref="P12:P13"/>
    <mergeCell ref="R12:R13"/>
    <mergeCell ref="G76:H76"/>
    <mergeCell ref="L42:L43"/>
    <mergeCell ref="M42:M43"/>
    <mergeCell ref="N42:N43"/>
    <mergeCell ref="O42:O43"/>
    <mergeCell ref="P42:P43"/>
    <mergeCell ref="V15:V16"/>
    <mergeCell ref="V12:V13"/>
    <mergeCell ref="U15:U16"/>
    <mergeCell ref="U17:U18"/>
    <mergeCell ref="U19:U20"/>
    <mergeCell ref="U29:U30"/>
    <mergeCell ref="U31:U32"/>
    <mergeCell ref="U38:U39"/>
    <mergeCell ref="U42:U43"/>
    <mergeCell ref="T12:T13"/>
    <mergeCell ref="Q19:Q20"/>
    <mergeCell ref="S19:S20"/>
    <mergeCell ref="V19:V20"/>
    <mergeCell ref="U74:U75"/>
    <mergeCell ref="V74:V75"/>
    <mergeCell ref="R42:R43"/>
    <mergeCell ref="T42:T43"/>
    <mergeCell ref="G72:H72"/>
  </mergeCells>
  <pageMargins left="0.7" right="0.7" top="0.75" bottom="0.75" header="0.3" footer="0.3"/>
  <pageSetup paperSize="5" orientation="landscape"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24"/>
  <sheetViews>
    <sheetView topLeftCell="A7" workbookViewId="0">
      <selection activeCell="B25" sqref="B25"/>
    </sheetView>
  </sheetViews>
  <sheetFormatPr defaultRowHeight="15"/>
  <cols>
    <col min="1" max="1" width="5.5703125" customWidth="1"/>
    <col min="2" max="2" width="4.5703125" customWidth="1"/>
  </cols>
  <sheetData>
    <row r="1" spans="1:2">
      <c r="A1" t="s">
        <v>946</v>
      </c>
    </row>
    <row r="2" spans="1:2">
      <c r="A2" t="s">
        <v>947</v>
      </c>
    </row>
    <row r="3" spans="1:2">
      <c r="B3" t="s">
        <v>948</v>
      </c>
    </row>
    <row r="4" spans="1:2">
      <c r="B4" t="s">
        <v>949</v>
      </c>
    </row>
    <row r="5" spans="1:2">
      <c r="B5" t="s">
        <v>950</v>
      </c>
    </row>
    <row r="7" spans="1:2">
      <c r="A7" t="s">
        <v>951</v>
      </c>
    </row>
    <row r="8" spans="1:2">
      <c r="B8" t="s">
        <v>952</v>
      </c>
    </row>
    <row r="9" spans="1:2">
      <c r="B9" t="s">
        <v>953</v>
      </c>
    </row>
    <row r="10" spans="1:2">
      <c r="B10" t="s">
        <v>954</v>
      </c>
    </row>
    <row r="11" spans="1:2">
      <c r="B11" t="s">
        <v>955</v>
      </c>
    </row>
    <row r="13" spans="1:2">
      <c r="A13" t="s">
        <v>957</v>
      </c>
    </row>
    <row r="14" spans="1:2">
      <c r="B14" t="s">
        <v>956</v>
      </c>
    </row>
    <row r="15" spans="1:2">
      <c r="B15" t="s">
        <v>958</v>
      </c>
    </row>
    <row r="18" spans="1:2">
      <c r="A18" t="s">
        <v>959</v>
      </c>
    </row>
    <row r="19" spans="1:2">
      <c r="B19" t="s">
        <v>960</v>
      </c>
    </row>
    <row r="20" spans="1:2">
      <c r="B20" t="s">
        <v>961</v>
      </c>
    </row>
    <row r="22" spans="1:2">
      <c r="A22" t="s">
        <v>962</v>
      </c>
    </row>
    <row r="23" spans="1:2">
      <c r="B23" t="s">
        <v>963</v>
      </c>
    </row>
    <row r="24" spans="1:2">
      <c r="B24" t="s">
        <v>964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36"/>
  <sheetViews>
    <sheetView topLeftCell="A10" workbookViewId="0">
      <selection activeCell="K21" sqref="K21"/>
    </sheetView>
  </sheetViews>
  <sheetFormatPr defaultColWidth="8.5703125" defaultRowHeight="15"/>
  <cols>
    <col min="1" max="1" width="25.5703125" bestFit="1" customWidth="1"/>
    <col min="2" max="2" width="16.42578125" style="1" customWidth="1"/>
    <col min="3" max="3" width="13.42578125" style="1222" customWidth="1"/>
    <col min="4" max="4" width="15.42578125" style="1" bestFit="1" customWidth="1"/>
    <col min="5" max="5" width="16.5703125" style="1" customWidth="1"/>
    <col min="6" max="7" width="15.42578125" style="1" customWidth="1"/>
    <col min="8" max="8" width="15" style="1" bestFit="1" customWidth="1"/>
    <col min="9" max="10" width="14.42578125" style="1" customWidth="1"/>
    <col min="11" max="11" width="24.5703125" customWidth="1"/>
    <col min="12" max="12" width="25.5703125" customWidth="1"/>
    <col min="13" max="13" width="14.5703125" customWidth="1"/>
    <col min="14" max="14" width="12" bestFit="1" customWidth="1"/>
    <col min="16" max="16" width="8.5703125" customWidth="1"/>
    <col min="19" max="20" width="10" bestFit="1" customWidth="1"/>
  </cols>
  <sheetData>
    <row r="1" spans="1:15" ht="15.75" thickBot="1"/>
    <row r="2" spans="1:15" ht="18.75">
      <c r="A2" s="1223" t="s">
        <v>877</v>
      </c>
      <c r="B2" s="1224"/>
      <c r="C2" s="1225"/>
      <c r="D2" s="1224"/>
      <c r="E2" s="1224"/>
      <c r="F2" s="1224"/>
      <c r="G2" s="1224"/>
      <c r="H2" s="1224"/>
      <c r="I2" s="1224"/>
      <c r="J2" s="1224"/>
      <c r="K2" s="1226"/>
      <c r="L2" s="1227"/>
    </row>
    <row r="3" spans="1:15" ht="18.75">
      <c r="A3" s="1228"/>
      <c r="B3" s="2548" t="s">
        <v>878</v>
      </c>
      <c r="C3" s="2548"/>
      <c r="D3" s="2548"/>
      <c r="E3" s="2548"/>
      <c r="F3" s="2548"/>
      <c r="G3" s="2548"/>
      <c r="H3" s="2548"/>
      <c r="I3" s="2548"/>
      <c r="J3" s="2548"/>
      <c r="K3" s="2548"/>
      <c r="L3" s="2549"/>
    </row>
    <row r="4" spans="1:15" ht="15.75" customHeight="1" thickBot="1">
      <c r="A4" s="1228"/>
      <c r="B4" s="1229"/>
      <c r="C4" s="1230" t="s">
        <v>879</v>
      </c>
      <c r="D4" s="1229"/>
      <c r="E4" s="1231"/>
      <c r="F4" s="1231"/>
      <c r="G4" s="1231"/>
      <c r="H4" s="1231"/>
      <c r="I4" s="1231"/>
      <c r="J4" s="1232"/>
      <c r="K4" s="1233"/>
    </row>
    <row r="5" spans="1:15" ht="45.75" thickBot="1">
      <c r="A5" s="1234"/>
      <c r="B5" s="1235" t="s">
        <v>31</v>
      </c>
      <c r="C5" s="1236" t="s">
        <v>880</v>
      </c>
      <c r="D5" s="1236" t="s">
        <v>881</v>
      </c>
      <c r="E5" s="1237" t="s">
        <v>360</v>
      </c>
      <c r="F5" s="1238" t="s">
        <v>10</v>
      </c>
      <c r="G5" s="1239" t="s">
        <v>882</v>
      </c>
      <c r="H5" s="1240" t="s">
        <v>883</v>
      </c>
      <c r="I5" s="1240" t="s">
        <v>884</v>
      </c>
      <c r="J5" s="2550" t="s">
        <v>885</v>
      </c>
      <c r="K5" s="2551"/>
    </row>
    <row r="6" spans="1:15">
      <c r="A6" s="1241" t="s">
        <v>5</v>
      </c>
      <c r="B6" s="1242">
        <f>[19]Chart!C4</f>
        <v>32198.400000000001</v>
      </c>
      <c r="C6" s="1242">
        <v>34452</v>
      </c>
      <c r="D6" s="1242">
        <f>32302</f>
        <v>32302</v>
      </c>
      <c r="E6" s="1242">
        <f>[19]Chart!C18</f>
        <v>57449.599999999999</v>
      </c>
      <c r="F6" s="1243">
        <f>[19]Chart!C20</f>
        <v>86860.800000000003</v>
      </c>
      <c r="G6" s="1243">
        <f>[20]Chart!C14</f>
        <v>60923.199999999997</v>
      </c>
      <c r="H6" s="1243">
        <v>136500</v>
      </c>
      <c r="I6" s="1243">
        <v>195380</v>
      </c>
      <c r="J6" s="2552" t="s">
        <v>886</v>
      </c>
      <c r="K6" s="2553"/>
    </row>
    <row r="7" spans="1:15">
      <c r="A7" s="1241" t="s">
        <v>887</v>
      </c>
      <c r="B7" s="1244">
        <v>0.22309999999999999</v>
      </c>
      <c r="C7" s="1244">
        <v>0.22309999999999999</v>
      </c>
      <c r="D7" s="1244">
        <v>0.22309999999999999</v>
      </c>
      <c r="E7" s="1244">
        <v>0.22309999999999999</v>
      </c>
      <c r="F7" s="1244">
        <v>0.22309999999999999</v>
      </c>
      <c r="G7" s="1244">
        <v>0.22309999999999999</v>
      </c>
      <c r="H7" s="1244">
        <v>0.22309999999999999</v>
      </c>
      <c r="I7" s="1244">
        <v>0.22309999999999999</v>
      </c>
      <c r="J7" s="2546" t="s">
        <v>888</v>
      </c>
      <c r="K7" s="2547"/>
    </row>
    <row r="8" spans="1:15">
      <c r="A8" s="1245" t="s">
        <v>889</v>
      </c>
      <c r="B8" s="1246">
        <f t="shared" ref="B8:I8" si="0">B6*B7</f>
        <v>7183.4630399999996</v>
      </c>
      <c r="C8" s="1246">
        <f t="shared" si="0"/>
        <v>7686.2411999999995</v>
      </c>
      <c r="D8" s="1246">
        <f t="shared" si="0"/>
        <v>7206.5761999999995</v>
      </c>
      <c r="E8" s="1246">
        <f t="shared" si="0"/>
        <v>12817.00576</v>
      </c>
      <c r="F8" s="1246">
        <f t="shared" si="0"/>
        <v>19378.644479999999</v>
      </c>
      <c r="G8" s="1246">
        <f t="shared" si="0"/>
        <v>13591.965919999999</v>
      </c>
      <c r="H8" s="1246">
        <f t="shared" si="0"/>
        <v>30453.149999999998</v>
      </c>
      <c r="I8" s="1246">
        <f t="shared" si="0"/>
        <v>43589.277999999998</v>
      </c>
      <c r="J8" s="2546"/>
      <c r="K8" s="2547"/>
      <c r="O8" s="780"/>
    </row>
    <row r="9" spans="1:15">
      <c r="A9" s="1241" t="s">
        <v>890</v>
      </c>
      <c r="B9" s="1247">
        <f>B6+B8</f>
        <v>39381.863040000004</v>
      </c>
      <c r="C9" s="1247">
        <f t="shared" ref="C9:I9" si="1">C6+C8</f>
        <v>42138.241199999997</v>
      </c>
      <c r="D9" s="1247">
        <f t="shared" si="1"/>
        <v>39508.576199999996</v>
      </c>
      <c r="E9" s="1247">
        <f t="shared" si="1"/>
        <v>70266.605760000006</v>
      </c>
      <c r="F9" s="1247">
        <f t="shared" si="1"/>
        <v>106239.44448000001</v>
      </c>
      <c r="G9" s="1247">
        <f t="shared" si="1"/>
        <v>74515.165919999999</v>
      </c>
      <c r="H9" s="1247">
        <f t="shared" si="1"/>
        <v>166953.15</v>
      </c>
      <c r="I9" s="1247">
        <f t="shared" si="1"/>
        <v>238969.27799999999</v>
      </c>
      <c r="J9" s="2546"/>
      <c r="K9" s="2547"/>
    </row>
    <row r="10" spans="1:15">
      <c r="A10" s="1241" t="s">
        <v>891</v>
      </c>
      <c r="B10" s="1248">
        <f>B6*J10</f>
        <v>119.13408000000001</v>
      </c>
      <c r="C10" s="1248">
        <f>C6*J10</f>
        <v>127.47240000000001</v>
      </c>
      <c r="D10" s="1248">
        <f>D6*$J$10</f>
        <v>119.51740000000001</v>
      </c>
      <c r="E10" s="1248">
        <f>E6*J10</f>
        <v>212.56352000000001</v>
      </c>
      <c r="F10" s="1249">
        <f>F6*J10</f>
        <v>321.38496000000004</v>
      </c>
      <c r="G10" s="1249">
        <f>G6*J10</f>
        <v>225.41584</v>
      </c>
      <c r="H10" s="1249">
        <f>H6*J10</f>
        <v>505.05</v>
      </c>
      <c r="I10" s="1249">
        <f>I6*J10</f>
        <v>722.90600000000006</v>
      </c>
      <c r="J10" s="1250">
        <v>3.7000000000000002E-3</v>
      </c>
      <c r="K10" s="1251"/>
    </row>
    <row r="11" spans="1:15" ht="15.75" thickBot="1">
      <c r="A11" s="1241" t="s">
        <v>892</v>
      </c>
      <c r="B11" s="1246">
        <f>B10+B9</f>
        <v>39500.997120000007</v>
      </c>
      <c r="C11" s="1246">
        <f t="shared" ref="C11:I11" si="2">C10+C9</f>
        <v>42265.713599999995</v>
      </c>
      <c r="D11" s="1246">
        <f t="shared" si="2"/>
        <v>39628.093599999993</v>
      </c>
      <c r="E11" s="1246">
        <f t="shared" si="2"/>
        <v>70479.169280000002</v>
      </c>
      <c r="F11" s="1246">
        <f t="shared" si="2"/>
        <v>106560.82944</v>
      </c>
      <c r="G11" s="1246">
        <f t="shared" si="2"/>
        <v>74740.581760000001</v>
      </c>
      <c r="H11" s="1246">
        <f t="shared" si="2"/>
        <v>167458.19999999998</v>
      </c>
      <c r="I11" s="1246">
        <f t="shared" si="2"/>
        <v>239692.18399999998</v>
      </c>
      <c r="J11" s="2546"/>
      <c r="K11" s="2547"/>
    </row>
    <row r="12" spans="1:15" ht="15.75" thickBot="1">
      <c r="A12" s="1252" t="s">
        <v>893</v>
      </c>
      <c r="B12" s="1253">
        <f>(B11*$J$12)-(B6*$J$12)</f>
        <v>129.84199418847572</v>
      </c>
      <c r="C12" s="1253">
        <f t="shared" ref="C12:I12" si="3">(C11*$J$12)-(C6*$J$12)</f>
        <v>138.92977240426103</v>
      </c>
      <c r="D12" s="1253">
        <f t="shared" si="3"/>
        <v>130.25976745043647</v>
      </c>
      <c r="E12" s="1253">
        <f t="shared" si="3"/>
        <v>231.66898446290043</v>
      </c>
      <c r="F12" s="1253">
        <f t="shared" si="3"/>
        <v>350.27142618286439</v>
      </c>
      <c r="G12" s="1253">
        <f t="shared" si="3"/>
        <v>245.67648641992582</v>
      </c>
      <c r="H12" s="1253">
        <f t="shared" si="3"/>
        <v>550.44450055676407</v>
      </c>
      <c r="I12" s="1253">
        <f t="shared" si="3"/>
        <v>787.88165947824655</v>
      </c>
      <c r="J12" s="1254">
        <f>'[19]CAF 2019 Fall'!BZ25</f>
        <v>1.7780248869661817E-2</v>
      </c>
      <c r="K12" s="1251"/>
    </row>
    <row r="13" spans="1:15" ht="15.75" thickBot="1">
      <c r="A13" s="1252" t="s">
        <v>894</v>
      </c>
      <c r="B13" s="1255">
        <f>D26</f>
        <v>1952</v>
      </c>
      <c r="C13" s="1255">
        <f>$D$26</f>
        <v>1952</v>
      </c>
      <c r="D13" s="1255">
        <f>$D$26</f>
        <v>1952</v>
      </c>
      <c r="E13" s="1255">
        <f>$J$26</f>
        <v>1760</v>
      </c>
      <c r="F13" s="1255">
        <f>$J$26</f>
        <v>1760</v>
      </c>
      <c r="G13" s="1255">
        <f>$J$26</f>
        <v>1760</v>
      </c>
      <c r="H13" s="1255">
        <f>$J$26</f>
        <v>1760</v>
      </c>
      <c r="I13" s="1255">
        <f>$J$26</f>
        <v>1760</v>
      </c>
      <c r="J13" s="1256"/>
      <c r="K13" s="1257"/>
    </row>
    <row r="14" spans="1:15" ht="15.75" thickBot="1">
      <c r="A14" s="1258" t="s">
        <v>895</v>
      </c>
      <c r="B14" s="1259">
        <f>(B11+B12)/B13-0.02</f>
        <v>20.282683972432626</v>
      </c>
      <c r="C14" s="1259">
        <f>(C11+C12)/C13</f>
        <v>21.723690252256279</v>
      </c>
      <c r="D14" s="1259">
        <f>(D11+D12)/D13-0.01</f>
        <v>20.358008897259438</v>
      </c>
      <c r="E14" s="1259">
        <f>(E11+E12)/E13+0.02</f>
        <v>40.196612650263013</v>
      </c>
      <c r="F14" s="1259">
        <f>(F11+F12)/F13+0.02</f>
        <v>60.764943673967544</v>
      </c>
      <c r="G14" s="1259">
        <f>(G11+G12)/G13-0.01</f>
        <v>42.595828549102229</v>
      </c>
      <c r="H14" s="1259">
        <f>(H11+H12)/H13+0.02</f>
        <v>95.479457102589066</v>
      </c>
      <c r="I14" s="1259">
        <f>(I11+I12)/I13</f>
        <v>136.63640094288536</v>
      </c>
      <c r="J14" s="1260"/>
      <c r="K14" s="1257"/>
    </row>
    <row r="15" spans="1:15" ht="15.75" thickBot="1">
      <c r="A15" s="1261" t="s">
        <v>896</v>
      </c>
      <c r="B15" s="1262">
        <v>17.04</v>
      </c>
      <c r="C15" s="1262">
        <v>18.260000000000002</v>
      </c>
      <c r="D15" s="1262">
        <v>18.48</v>
      </c>
      <c r="E15" s="1263">
        <f>9.83*4</f>
        <v>39.32</v>
      </c>
      <c r="F15" s="1263">
        <f>11.92*4</f>
        <v>47.68</v>
      </c>
      <c r="G15" s="1263">
        <v>52.72</v>
      </c>
      <c r="H15" s="1263">
        <v>94.6</v>
      </c>
      <c r="I15" s="1263">
        <v>135.32</v>
      </c>
      <c r="J15" s="1188"/>
      <c r="K15" s="1264"/>
    </row>
    <row r="16" spans="1:15" ht="15.75" thickBot="1">
      <c r="A16" s="1265" t="s">
        <v>897</v>
      </c>
      <c r="B16" s="1266">
        <f>(B14-B15)/B15</f>
        <v>0.19029835518970814</v>
      </c>
      <c r="C16" s="1266">
        <f t="shared" ref="C16:I16" si="4">(C14-C15)/C15</f>
        <v>0.18968730844776985</v>
      </c>
      <c r="D16" s="1266">
        <f t="shared" si="4"/>
        <v>0.1016238580768094</v>
      </c>
      <c r="E16" s="1266">
        <f t="shared" si="4"/>
        <v>2.2294319691327898E-2</v>
      </c>
      <c r="F16" s="1266">
        <f t="shared" si="4"/>
        <v>0.27443254349764146</v>
      </c>
      <c r="G16" s="1266">
        <f t="shared" si="4"/>
        <v>-0.19203663601854645</v>
      </c>
      <c r="H16" s="1266">
        <f t="shared" si="4"/>
        <v>9.296586708129724E-3</v>
      </c>
      <c r="I16" s="1266">
        <f t="shared" si="4"/>
        <v>9.728058992649764E-3</v>
      </c>
      <c r="J16"/>
      <c r="K16" s="1267"/>
    </row>
    <row r="17" spans="1:11">
      <c r="A17" s="1268"/>
      <c r="J17"/>
      <c r="K17" s="1267"/>
    </row>
    <row r="18" spans="1:11" ht="23.85" customHeight="1" thickBot="1">
      <c r="A18" s="1269" t="s">
        <v>898</v>
      </c>
      <c r="B18" s="1270"/>
      <c r="C18" s="1271"/>
      <c r="D18" s="1270"/>
      <c r="E18" s="1270"/>
      <c r="F18" s="1270"/>
      <c r="G18" s="1270"/>
      <c r="H18" s="1270"/>
      <c r="I18" s="1270"/>
      <c r="J18" s="1272"/>
      <c r="K18" s="1273"/>
    </row>
    <row r="19" spans="1:11">
      <c r="B19"/>
      <c r="C19" s="1102"/>
      <c r="D19"/>
      <c r="E19"/>
      <c r="F19"/>
      <c r="G19"/>
      <c r="H19"/>
      <c r="I19"/>
      <c r="J19"/>
    </row>
    <row r="21" spans="1:11" ht="15.75" thickBot="1">
      <c r="A21" s="1274" t="s">
        <v>899</v>
      </c>
      <c r="B21" s="1275"/>
      <c r="C21" s="1276"/>
      <c r="D21" s="1275"/>
      <c r="F21" s="1277" t="s">
        <v>900</v>
      </c>
      <c r="G21" s="1278"/>
      <c r="H21" s="1278"/>
      <c r="I21" s="1278"/>
      <c r="J21" s="1278"/>
    </row>
    <row r="22" spans="1:11">
      <c r="A22" s="1279"/>
      <c r="B22" s="1280"/>
      <c r="C22" s="1281" t="s">
        <v>1</v>
      </c>
      <c r="D22" s="1282" t="s">
        <v>2</v>
      </c>
      <c r="F22" s="1279"/>
      <c r="G22" s="1280"/>
      <c r="H22" s="1280"/>
      <c r="I22" s="1281" t="s">
        <v>1</v>
      </c>
      <c r="J22" s="1282" t="s">
        <v>2</v>
      </c>
    </row>
    <row r="23" spans="1:11">
      <c r="A23" s="1283"/>
      <c r="B23" s="1284" t="s">
        <v>901</v>
      </c>
      <c r="C23" s="1285">
        <v>15</v>
      </c>
      <c r="D23" s="1286">
        <f>C23*8</f>
        <v>120</v>
      </c>
      <c r="E23" s="1287"/>
      <c r="F23" s="1283"/>
      <c r="G23" s="1284" t="s">
        <v>901</v>
      </c>
      <c r="H23" s="1284"/>
      <c r="I23" s="1285">
        <v>15</v>
      </c>
      <c r="J23" s="1286">
        <f>I23*8</f>
        <v>120</v>
      </c>
      <c r="K23" s="1287"/>
    </row>
    <row r="24" spans="1:11">
      <c r="A24" s="1288"/>
      <c r="B24" s="1289" t="s">
        <v>902</v>
      </c>
      <c r="C24" s="1290">
        <v>1</v>
      </c>
      <c r="D24" s="1291">
        <f>C24*8</f>
        <v>8</v>
      </c>
      <c r="E24" s="1292"/>
      <c r="F24" s="1293"/>
      <c r="G24" s="1294" t="s">
        <v>903</v>
      </c>
      <c r="H24" s="1294"/>
      <c r="I24" s="1290">
        <v>25</v>
      </c>
      <c r="J24" s="1295">
        <f>I24*8</f>
        <v>200</v>
      </c>
      <c r="K24" s="1287"/>
    </row>
    <row r="25" spans="1:11">
      <c r="A25" s="1283"/>
      <c r="B25" s="1296"/>
      <c r="C25" s="1284" t="s">
        <v>3</v>
      </c>
      <c r="D25" s="1297">
        <f>SUM(D23:D24)</f>
        <v>128</v>
      </c>
      <c r="F25" s="1283"/>
      <c r="G25" s="1296"/>
      <c r="H25" s="1296"/>
      <c r="I25" s="1284" t="s">
        <v>3</v>
      </c>
      <c r="J25" s="1286">
        <f>SUM(J23:J24)</f>
        <v>320</v>
      </c>
    </row>
    <row r="26" spans="1:11" ht="15.75" thickBot="1">
      <c r="A26" s="1298"/>
      <c r="B26" s="1299"/>
      <c r="C26" s="1300" t="s">
        <v>894</v>
      </c>
      <c r="D26" s="1301">
        <f>2080-D25</f>
        <v>1952</v>
      </c>
      <c r="F26" s="1298"/>
      <c r="G26" s="1299"/>
      <c r="H26" s="1299"/>
      <c r="I26" s="1300" t="s">
        <v>894</v>
      </c>
      <c r="J26" s="1302">
        <f>2080-J25</f>
        <v>1760</v>
      </c>
    </row>
    <row r="29" spans="1:11">
      <c r="C29" s="1222" t="s">
        <v>904</v>
      </c>
      <c r="D29" s="1" t="s">
        <v>905</v>
      </c>
      <c r="F29" s="1303"/>
      <c r="G29" s="1304"/>
      <c r="H29" s="1303"/>
      <c r="I29" s="1304"/>
    </row>
    <row r="30" spans="1:11">
      <c r="D30" s="1" t="s">
        <v>906</v>
      </c>
      <c r="F30" s="1303"/>
      <c r="G30" s="1304"/>
      <c r="H30" s="1303"/>
      <c r="I30" s="1304"/>
    </row>
    <row r="31" spans="1:11">
      <c r="D31" s="1" t="s">
        <v>907</v>
      </c>
      <c r="F31" s="1303"/>
      <c r="G31" s="1304"/>
      <c r="H31" s="1303"/>
      <c r="I31" s="1304"/>
    </row>
    <row r="32" spans="1:11">
      <c r="F32" s="1303"/>
      <c r="G32" s="1304"/>
      <c r="H32" s="1303"/>
      <c r="I32" s="1304"/>
    </row>
    <row r="33" spans="6:9">
      <c r="F33" s="1303"/>
      <c r="G33" s="1304"/>
      <c r="H33" s="1303"/>
      <c r="I33" s="1304"/>
    </row>
    <row r="34" spans="6:9">
      <c r="F34" s="1303"/>
      <c r="G34" s="1304"/>
      <c r="H34" s="1303"/>
      <c r="I34" s="1304"/>
    </row>
    <row r="35" spans="6:9">
      <c r="F35" s="1303"/>
      <c r="G35" s="1304"/>
      <c r="H35" s="1303"/>
      <c r="I35" s="1304"/>
    </row>
    <row r="36" spans="6:9">
      <c r="F36" s="1303"/>
      <c r="G36" s="1304"/>
      <c r="H36" s="1303"/>
    </row>
  </sheetData>
  <mergeCells count="7">
    <mergeCell ref="J11:K11"/>
    <mergeCell ref="B3:L3"/>
    <mergeCell ref="J5:K5"/>
    <mergeCell ref="J6:K6"/>
    <mergeCell ref="J7:K7"/>
    <mergeCell ref="J8:K8"/>
    <mergeCell ref="J9:K9"/>
  </mergeCells>
  <pageMargins left="0.25" right="0.25" top="0.75" bottom="0.75" header="0.3" footer="0.3"/>
  <pageSetup scale="63" orientation="landscape"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BR410"/>
  <sheetViews>
    <sheetView zoomScale="80" zoomScaleNormal="80" workbookViewId="0">
      <selection activeCell="B15" sqref="B15"/>
    </sheetView>
  </sheetViews>
  <sheetFormatPr defaultColWidth="9.42578125" defaultRowHeight="17.25"/>
  <cols>
    <col min="1" max="1" width="1.5703125" style="985" customWidth="1"/>
    <col min="2" max="2" width="34.42578125" style="985" customWidth="1"/>
    <col min="3" max="3" width="17" style="985" customWidth="1"/>
    <col min="4" max="4" width="20.42578125" style="985" customWidth="1"/>
    <col min="5" max="5" width="12.42578125" style="985" customWidth="1"/>
    <col min="6" max="6" width="12" style="933" bestFit="1" customWidth="1"/>
    <col min="7" max="7" width="8" style="985" customWidth="1"/>
    <col min="8" max="8" width="54.42578125" style="1187" customWidth="1"/>
    <col min="9" max="9" width="1.5703125" style="985" customWidth="1"/>
    <col min="10" max="10" width="35.42578125" style="1122" bestFit="1" customWidth="1"/>
    <col min="11" max="11" width="11.5703125" style="1122" customWidth="1"/>
    <col min="12" max="13" width="14.42578125" style="1122" customWidth="1"/>
    <col min="14" max="14" width="13.42578125" style="1122" customWidth="1"/>
    <col min="15" max="15" width="21.42578125" style="1122" bestFit="1" customWidth="1"/>
    <col min="16" max="16" width="1.5703125" style="984" customWidth="1"/>
    <col min="17" max="17" width="27.42578125" style="985" customWidth="1"/>
    <col min="18" max="18" width="9.42578125" style="985"/>
    <col min="19" max="19" width="10.5703125" style="985" bestFit="1" customWidth="1"/>
    <col min="20" max="24" width="9.42578125" style="985"/>
    <col min="25" max="70" width="9.42578125" style="984"/>
    <col min="71" max="16384" width="9.42578125" style="985"/>
  </cols>
  <sheetData>
    <row r="1" spans="1:17" ht="18" thickBot="1">
      <c r="A1" s="156"/>
      <c r="B1" s="2554" t="s">
        <v>546</v>
      </c>
      <c r="C1" s="2554"/>
      <c r="D1" s="2554"/>
      <c r="E1" s="2554"/>
      <c r="F1" s="2554"/>
      <c r="G1" s="2554"/>
      <c r="H1" s="2554"/>
      <c r="I1" s="35"/>
      <c r="J1" s="979"/>
      <c r="P1" s="156"/>
    </row>
    <row r="2" spans="1:17" ht="15.6" customHeight="1" thickBot="1">
      <c r="A2" s="156"/>
      <c r="B2" s="156"/>
      <c r="C2" s="156"/>
      <c r="D2" s="156"/>
      <c r="E2" s="156"/>
      <c r="F2" s="1196"/>
      <c r="G2" s="156"/>
      <c r="H2" s="1123"/>
      <c r="I2" s="156"/>
      <c r="J2" s="1124" t="s">
        <v>481</v>
      </c>
      <c r="P2" s="156"/>
    </row>
    <row r="3" spans="1:17" ht="13.5" thickBot="1">
      <c r="A3" s="156"/>
      <c r="B3" s="138" t="s">
        <v>0</v>
      </c>
      <c r="C3" s="540"/>
      <c r="D3" s="139" t="s">
        <v>1</v>
      </c>
      <c r="E3" s="163" t="s">
        <v>2</v>
      </c>
      <c r="F3" s="1197"/>
      <c r="G3" s="162"/>
      <c r="H3" s="160"/>
      <c r="I3" s="38"/>
      <c r="J3" s="1562" t="s">
        <v>547</v>
      </c>
      <c r="K3" s="1579"/>
      <c r="L3" s="1579"/>
      <c r="M3" s="1579"/>
      <c r="N3" s="1579"/>
      <c r="O3" s="1580"/>
      <c r="P3" s="156"/>
    </row>
    <row r="4" spans="1:17" ht="12.75">
      <c r="A4" s="156"/>
      <c r="B4" s="140" t="s">
        <v>370</v>
      </c>
      <c r="C4" s="541"/>
      <c r="D4" s="854">
        <v>15</v>
      </c>
      <c r="E4" s="164">
        <f>D4*8</f>
        <v>120</v>
      </c>
      <c r="F4" s="1197"/>
      <c r="G4" s="162"/>
      <c r="H4" s="161"/>
      <c r="I4" s="39"/>
      <c r="J4" s="987" t="s">
        <v>277</v>
      </c>
      <c r="K4" s="483">
        <v>100</v>
      </c>
      <c r="L4" s="988"/>
      <c r="M4" s="988"/>
      <c r="N4" s="989"/>
      <c r="O4" s="990"/>
      <c r="P4" s="156"/>
    </row>
    <row r="5" spans="1:17" ht="12.75">
      <c r="A5" s="156"/>
      <c r="B5" s="140" t="s">
        <v>371</v>
      </c>
      <c r="C5" s="541"/>
      <c r="D5" s="854">
        <v>8</v>
      </c>
      <c r="E5" s="164">
        <f>D5*8</f>
        <v>64</v>
      </c>
      <c r="F5" s="1197"/>
      <c r="G5" s="162"/>
      <c r="H5" s="161"/>
      <c r="I5" s="39"/>
      <c r="J5" s="111" t="s">
        <v>133</v>
      </c>
      <c r="K5" s="1125">
        <f>K4*365</f>
        <v>36500</v>
      </c>
      <c r="L5" s="156"/>
      <c r="M5" s="156"/>
      <c r="N5" s="156"/>
      <c r="O5" s="991"/>
      <c r="P5" s="156"/>
    </row>
    <row r="6" spans="1:17" ht="12.75">
      <c r="A6" s="156"/>
      <c r="B6" s="140" t="s">
        <v>372</v>
      </c>
      <c r="C6" s="541"/>
      <c r="D6" s="854">
        <v>10</v>
      </c>
      <c r="E6" s="164">
        <f>D6*8</f>
        <v>80</v>
      </c>
      <c r="F6" s="1197"/>
      <c r="G6" s="162"/>
      <c r="H6" s="161"/>
      <c r="I6" s="39"/>
      <c r="J6" s="995"/>
      <c r="K6" s="996"/>
      <c r="L6" s="997" t="s">
        <v>5</v>
      </c>
      <c r="M6" s="997"/>
      <c r="N6" s="997" t="s">
        <v>6</v>
      </c>
      <c r="O6" s="998" t="s">
        <v>7</v>
      </c>
      <c r="P6" s="156"/>
    </row>
    <row r="7" spans="1:17" ht="12.75">
      <c r="A7" s="156"/>
      <c r="B7" s="142" t="s">
        <v>902</v>
      </c>
      <c r="C7" s="542"/>
      <c r="D7" s="854">
        <v>5</v>
      </c>
      <c r="E7" s="165">
        <f>D7*8</f>
        <v>40</v>
      </c>
      <c r="F7" s="1197"/>
      <c r="G7" s="162"/>
      <c r="H7" s="161"/>
      <c r="I7" s="39"/>
      <c r="J7" s="111" t="s">
        <v>29</v>
      </c>
      <c r="K7" s="1000"/>
      <c r="L7" s="101"/>
      <c r="M7" s="101"/>
      <c r="N7" s="101"/>
      <c r="O7" s="1001"/>
      <c r="P7" s="156"/>
    </row>
    <row r="8" spans="1:17" ht="12.75">
      <c r="A8" s="156"/>
      <c r="B8" s="140"/>
      <c r="C8" s="541"/>
      <c r="D8" s="143" t="s">
        <v>3</v>
      </c>
      <c r="E8" s="164">
        <f>SUM(E4:E7)</f>
        <v>304</v>
      </c>
      <c r="F8" s="1197"/>
      <c r="G8" s="162"/>
      <c r="H8" s="161"/>
      <c r="I8" s="39"/>
      <c r="J8" s="109" t="s">
        <v>43</v>
      </c>
      <c r="K8" s="1002"/>
      <c r="L8" s="1003">
        <f>E13</f>
        <v>62573.393248784203</v>
      </c>
      <c r="M8" s="1003"/>
      <c r="N8" s="1004">
        <v>1</v>
      </c>
      <c r="O8" s="1005">
        <f>N8*L8</f>
        <v>62573.393248784203</v>
      </c>
      <c r="P8" s="156"/>
    </row>
    <row r="9" spans="1:17" ht="13.5" thickBot="1">
      <c r="A9" s="156"/>
      <c r="B9" s="144"/>
      <c r="C9" s="543"/>
      <c r="D9" s="145" t="s">
        <v>4</v>
      </c>
      <c r="E9" s="166">
        <f>E8/(52*40)</f>
        <v>0.14615384615384616</v>
      </c>
      <c r="F9" s="1197"/>
      <c r="G9" s="162"/>
      <c r="H9" s="1582"/>
      <c r="I9" s="40"/>
      <c r="J9" s="109" t="s">
        <v>134</v>
      </c>
      <c r="K9" s="1002"/>
      <c r="L9" s="1675">
        <f>F14</f>
        <v>60923</v>
      </c>
      <c r="M9" s="1003"/>
      <c r="N9" s="1004">
        <v>1</v>
      </c>
      <c r="O9" s="1005">
        <f>N9*L9</f>
        <v>60923</v>
      </c>
      <c r="P9" s="156"/>
    </row>
    <row r="10" spans="1:17" ht="15.6" customHeight="1" thickBot="1">
      <c r="A10" s="156"/>
      <c r="B10" s="156"/>
      <c r="C10" s="156"/>
      <c r="D10" s="156"/>
      <c r="E10" s="156"/>
      <c r="F10" s="1196"/>
      <c r="G10" s="156"/>
      <c r="H10" s="1123"/>
      <c r="I10" s="156"/>
      <c r="J10" s="109" t="s">
        <v>390</v>
      </c>
      <c r="K10" s="1002"/>
      <c r="L10" s="1003">
        <f>E15</f>
        <v>92496.84919424048</v>
      </c>
      <c r="M10" s="1003"/>
      <c r="N10" s="1004">
        <v>0.1</v>
      </c>
      <c r="O10" s="1005">
        <f>N10*L10</f>
        <v>9249.6849194240476</v>
      </c>
      <c r="P10" s="156"/>
    </row>
    <row r="11" spans="1:17" ht="38.25">
      <c r="A11" s="156"/>
      <c r="B11" s="1126"/>
      <c r="C11" s="1127" t="s">
        <v>550</v>
      </c>
      <c r="D11" s="1127" t="s">
        <v>555</v>
      </c>
      <c r="E11" s="1127" t="s">
        <v>41</v>
      </c>
      <c r="F11" s="856"/>
      <c r="G11" s="1127"/>
      <c r="H11" s="1128" t="s">
        <v>278</v>
      </c>
      <c r="I11" s="339"/>
      <c r="J11" s="111" t="s">
        <v>30</v>
      </c>
      <c r="K11" s="1002"/>
      <c r="L11" s="1003"/>
      <c r="M11" s="1003"/>
      <c r="N11" s="1004"/>
      <c r="O11" s="1005"/>
      <c r="P11" s="156"/>
    </row>
    <row r="12" spans="1:17" ht="12.75">
      <c r="A12" s="156"/>
      <c r="B12" s="44" t="s">
        <v>29</v>
      </c>
      <c r="C12" s="339"/>
      <c r="E12" s="999"/>
      <c r="F12" s="1198"/>
      <c r="G12" s="999"/>
      <c r="H12" s="49"/>
      <c r="I12" s="339"/>
      <c r="J12" s="109" t="s">
        <v>38</v>
      </c>
      <c r="K12" s="1002"/>
      <c r="L12" s="1003">
        <f>E17</f>
        <v>208323.9231935351</v>
      </c>
      <c r="M12" s="1003"/>
      <c r="N12" s="1004">
        <v>0.05</v>
      </c>
      <c r="O12" s="1005">
        <f>N12*L12</f>
        <v>10416.196159676756</v>
      </c>
      <c r="P12" s="156"/>
    </row>
    <row r="13" spans="1:17" ht="12.75">
      <c r="A13" s="156"/>
      <c r="B13" s="48" t="s">
        <v>43</v>
      </c>
      <c r="C13" s="1022">
        <v>1</v>
      </c>
      <c r="D13" s="1022">
        <v>1</v>
      </c>
      <c r="E13" s="999">
        <f>58110*(1+E47)</f>
        <v>62573.393248784203</v>
      </c>
      <c r="F13" s="1198"/>
      <c r="G13" s="999"/>
      <c r="H13" s="49" t="s">
        <v>778</v>
      </c>
      <c r="I13" s="339"/>
      <c r="J13" s="376" t="s">
        <v>44</v>
      </c>
      <c r="K13" s="1129"/>
      <c r="L13" s="1209">
        <f>E18</f>
        <v>60923.199999999997</v>
      </c>
      <c r="M13" s="1003"/>
      <c r="N13" s="1004">
        <v>3.5999999999999996</v>
      </c>
      <c r="O13" s="1005">
        <f>N13*L13</f>
        <v>219323.51999999996</v>
      </c>
      <c r="P13" s="156"/>
    </row>
    <row r="14" spans="1:17" ht="12.75">
      <c r="A14" s="156"/>
      <c r="B14" s="48" t="s">
        <v>134</v>
      </c>
      <c r="C14" s="1022">
        <v>1</v>
      </c>
      <c r="D14" s="1022">
        <v>1</v>
      </c>
      <c r="E14" s="1647">
        <v>53840</v>
      </c>
      <c r="F14" s="1648">
        <v>60923</v>
      </c>
      <c r="G14" s="999"/>
      <c r="H14" s="49" t="s">
        <v>983</v>
      </c>
      <c r="I14" s="339"/>
      <c r="J14" s="109" t="s">
        <v>45</v>
      </c>
      <c r="K14" s="1002"/>
      <c r="L14" s="1209">
        <f>E19</f>
        <v>86860.800000000003</v>
      </c>
      <c r="M14" s="1003"/>
      <c r="N14" s="1004">
        <v>1</v>
      </c>
      <c r="O14" s="1005">
        <f>N14*L14</f>
        <v>86860.800000000003</v>
      </c>
      <c r="P14" s="156"/>
    </row>
    <row r="15" spans="1:17" ht="12.75">
      <c r="A15" s="156"/>
      <c r="B15" s="48" t="s">
        <v>390</v>
      </c>
      <c r="C15" s="1022">
        <v>0.1</v>
      </c>
      <c r="D15" s="1022">
        <v>0.1</v>
      </c>
      <c r="E15" s="999">
        <f>85899*(1+E47)</f>
        <v>92496.84919424048</v>
      </c>
      <c r="F15" s="1198"/>
      <c r="G15" s="999"/>
      <c r="H15" s="49" t="s">
        <v>779</v>
      </c>
      <c r="I15" s="339"/>
      <c r="J15" s="109" t="str">
        <f>B20</f>
        <v xml:space="preserve">    Substance Abuse Counselor/ LSW</v>
      </c>
      <c r="K15" s="1002"/>
      <c r="L15" s="1209">
        <f>E20</f>
        <v>43971.200000000004</v>
      </c>
      <c r="M15" s="1003"/>
      <c r="N15" s="1004">
        <v>1</v>
      </c>
      <c r="O15" s="1005">
        <f>N15*L15</f>
        <v>43971.200000000004</v>
      </c>
      <c r="P15" s="269"/>
      <c r="Q15" s="1092"/>
    </row>
    <row r="16" spans="1:17" ht="12.75">
      <c r="A16" s="156"/>
      <c r="B16" s="44" t="s">
        <v>30</v>
      </c>
      <c r="C16" s="1022"/>
      <c r="D16" s="1022"/>
      <c r="E16" s="999"/>
      <c r="F16" s="1198"/>
      <c r="G16" s="999"/>
      <c r="H16" s="49"/>
      <c r="I16" s="339"/>
      <c r="J16" s="111" t="s">
        <v>31</v>
      </c>
      <c r="K16" s="1002"/>
      <c r="L16" s="1003"/>
      <c r="M16" s="1003"/>
      <c r="N16" s="1004"/>
      <c r="O16" s="1005"/>
      <c r="P16" s="156"/>
    </row>
    <row r="17" spans="1:28" ht="12.75">
      <c r="A17" s="156"/>
      <c r="B17" s="48" t="s">
        <v>38</v>
      </c>
      <c r="C17" s="1022">
        <v>0.05</v>
      </c>
      <c r="D17" s="1022">
        <v>0.05</v>
      </c>
      <c r="E17" s="999">
        <f>'FY15 Salary Benchmark'!C7*(1+E47)</f>
        <v>208323.9231935351</v>
      </c>
      <c r="F17" s="1198"/>
      <c r="G17" s="999"/>
      <c r="H17" s="49" t="s">
        <v>447</v>
      </c>
      <c r="I17" s="339"/>
      <c r="J17" s="1615" t="s">
        <v>388</v>
      </c>
      <c r="K17" s="1002"/>
      <c r="L17" s="1209">
        <f t="shared" ref="L17:L22" si="0">E22</f>
        <v>41516.800000000003</v>
      </c>
      <c r="M17" s="1003"/>
      <c r="N17" s="1004">
        <v>2</v>
      </c>
      <c r="O17" s="1005">
        <f t="shared" ref="O17:O22" si="1">N17*L17</f>
        <v>83033.600000000006</v>
      </c>
      <c r="P17" s="156"/>
    </row>
    <row r="18" spans="1:28" ht="12.75">
      <c r="A18" s="156"/>
      <c r="B18" s="374" t="s">
        <v>44</v>
      </c>
      <c r="C18" s="1130">
        <v>3.5999999999999996</v>
      </c>
      <c r="D18" s="1130">
        <v>3.5999999999999996</v>
      </c>
      <c r="E18" s="1555">
        <f>Chart!C14</f>
        <v>60923.199999999997</v>
      </c>
      <c r="G18" s="999"/>
      <c r="H18" s="49" t="s">
        <v>886</v>
      </c>
      <c r="I18" s="339"/>
      <c r="J18" s="1616" t="str">
        <f>B23</f>
        <v xml:space="preserve">    Direct Care</v>
      </c>
      <c r="K18" s="1129"/>
      <c r="L18" s="1210">
        <f t="shared" si="0"/>
        <v>32198.400000000001</v>
      </c>
      <c r="M18" s="1131"/>
      <c r="N18" s="1132">
        <v>6</v>
      </c>
      <c r="O18" s="1133">
        <f t="shared" si="1"/>
        <v>193190.40000000002</v>
      </c>
      <c r="P18" s="269"/>
    </row>
    <row r="19" spans="1:28" ht="12.75">
      <c r="A19" s="156"/>
      <c r="B19" s="48" t="s">
        <v>45</v>
      </c>
      <c r="C19" s="1022">
        <v>1</v>
      </c>
      <c r="D19" s="1022">
        <v>1</v>
      </c>
      <c r="E19" s="1198">
        <f>Chart!C20</f>
        <v>86860.800000000003</v>
      </c>
      <c r="F19" s="1198"/>
      <c r="G19" s="999"/>
      <c r="H19" s="49" t="s">
        <v>886</v>
      </c>
      <c r="I19" s="339"/>
      <c r="J19" s="1586" t="str">
        <f>B24</f>
        <v xml:space="preserve">    Housing Coordinator/DC III</v>
      </c>
      <c r="K19" s="1002"/>
      <c r="L19" s="1209">
        <f t="shared" si="0"/>
        <v>41516.800000000003</v>
      </c>
      <c r="M19" s="1003"/>
      <c r="N19" s="1004">
        <v>1</v>
      </c>
      <c r="O19" s="1005">
        <f t="shared" si="1"/>
        <v>41516.800000000003</v>
      </c>
      <c r="P19" s="269"/>
    </row>
    <row r="20" spans="1:28" ht="12.75">
      <c r="A20" s="156"/>
      <c r="B20" s="1581" t="s">
        <v>988</v>
      </c>
      <c r="C20" s="1022">
        <v>1</v>
      </c>
      <c r="D20" s="1022">
        <v>1</v>
      </c>
      <c r="E20" s="1198">
        <f>Chart!C10</f>
        <v>43971.200000000004</v>
      </c>
      <c r="F20" s="1198"/>
      <c r="G20" s="999"/>
      <c r="H20" s="49" t="s">
        <v>886</v>
      </c>
      <c r="I20" s="339"/>
      <c r="J20" s="1586" t="str">
        <f>B25</f>
        <v xml:space="preserve">    Peer &amp; Family Specialist</v>
      </c>
      <c r="K20" s="1002"/>
      <c r="L20" s="1209">
        <f t="shared" si="0"/>
        <v>41516.800000000003</v>
      </c>
      <c r="M20" s="1003"/>
      <c r="N20" s="1004">
        <f>C25</f>
        <v>0.75</v>
      </c>
      <c r="O20" s="1005">
        <f>N20*L20</f>
        <v>31137.600000000002</v>
      </c>
      <c r="P20" s="269"/>
    </row>
    <row r="21" spans="1:28" ht="12.75">
      <c r="A21" s="156"/>
      <c r="B21" s="44" t="s">
        <v>31</v>
      </c>
      <c r="C21" s="1022"/>
      <c r="D21" s="1022"/>
      <c r="E21" s="999"/>
      <c r="F21" s="1198"/>
      <c r="G21" s="999"/>
      <c r="H21" s="49"/>
      <c r="I21" s="339"/>
      <c r="J21" s="1091" t="str">
        <f>B26</f>
        <v xml:space="preserve">    Peer &amp; Family Specialist</v>
      </c>
      <c r="K21" s="1410"/>
      <c r="L21" s="1209">
        <f t="shared" si="0"/>
        <v>32198.400000000001</v>
      </c>
      <c r="M21" s="1003"/>
      <c r="N21" s="1004">
        <f>C26</f>
        <v>2.25</v>
      </c>
      <c r="O21" s="1005">
        <f t="shared" si="1"/>
        <v>72446.400000000009</v>
      </c>
      <c r="P21" s="269"/>
    </row>
    <row r="22" spans="1:28" ht="12.75">
      <c r="A22" s="156"/>
      <c r="B22" s="79" t="s">
        <v>388</v>
      </c>
      <c r="C22" s="1022">
        <v>2</v>
      </c>
      <c r="D22" s="1022">
        <v>0</v>
      </c>
      <c r="E22" s="1198">
        <f>Chart!C6</f>
        <v>41516.800000000003</v>
      </c>
      <c r="F22" s="1198"/>
      <c r="G22" s="999"/>
      <c r="H22" s="49" t="s">
        <v>886</v>
      </c>
      <c r="I22" s="339"/>
      <c r="J22" s="109" t="s">
        <v>32</v>
      </c>
      <c r="K22" s="1002"/>
      <c r="L22" s="1209">
        <f t="shared" si="0"/>
        <v>32198.400000000001</v>
      </c>
      <c r="M22" s="1003"/>
      <c r="N22" s="1004">
        <f>C27</f>
        <v>1.23</v>
      </c>
      <c r="O22" s="1005">
        <f t="shared" si="1"/>
        <v>39604.031999999999</v>
      </c>
      <c r="P22" s="269"/>
    </row>
    <row r="23" spans="1:28" ht="12.75">
      <c r="A23" s="156"/>
      <c r="B23" s="79" t="s">
        <v>972</v>
      </c>
      <c r="C23" s="1022">
        <v>6</v>
      </c>
      <c r="D23" s="1022">
        <v>0</v>
      </c>
      <c r="E23" s="1198">
        <f>Chart!C4</f>
        <v>32198.400000000001</v>
      </c>
      <c r="F23" s="1198"/>
      <c r="G23" s="999"/>
      <c r="H23" s="49" t="s">
        <v>886</v>
      </c>
      <c r="I23" s="339"/>
      <c r="J23" s="111" t="s">
        <v>33</v>
      </c>
      <c r="K23" s="1002"/>
      <c r="L23" s="1003"/>
      <c r="M23" s="1003"/>
      <c r="N23" s="1004"/>
      <c r="O23" s="1005"/>
      <c r="P23" s="269"/>
    </row>
    <row r="24" spans="1:28" ht="12.75">
      <c r="A24" s="156"/>
      <c r="B24" s="1581" t="s">
        <v>945</v>
      </c>
      <c r="C24" s="1022">
        <v>1</v>
      </c>
      <c r="D24" s="1022">
        <v>1</v>
      </c>
      <c r="E24" s="1584">
        <f>Chart!C6</f>
        <v>41516.800000000003</v>
      </c>
      <c r="F24" s="1198"/>
      <c r="G24" s="999"/>
      <c r="H24" s="49" t="s">
        <v>886</v>
      </c>
      <c r="I24" s="339"/>
      <c r="J24" s="109" t="s">
        <v>34</v>
      </c>
      <c r="K24" s="1009"/>
      <c r="L24" s="1208">
        <f>E29</f>
        <v>32198.400000000001</v>
      </c>
      <c r="M24" s="1003"/>
      <c r="N24" s="1617">
        <v>1</v>
      </c>
      <c r="O24" s="1005">
        <f>N24*L24</f>
        <v>32198.400000000001</v>
      </c>
      <c r="P24" s="269"/>
    </row>
    <row r="25" spans="1:28" ht="12.75">
      <c r="A25" s="156"/>
      <c r="B25" s="1581" t="s">
        <v>46</v>
      </c>
      <c r="C25" s="1022">
        <v>0.75</v>
      </c>
      <c r="D25" s="1022">
        <v>0.75</v>
      </c>
      <c r="E25" s="1584">
        <f>Chart!C6</f>
        <v>41516.800000000003</v>
      </c>
      <c r="F25" s="1198"/>
      <c r="G25" s="999"/>
      <c r="H25" s="49" t="s">
        <v>886</v>
      </c>
      <c r="I25" s="339"/>
      <c r="J25" s="1018" t="s">
        <v>13</v>
      </c>
      <c r="K25" s="1019"/>
      <c r="L25" s="1134"/>
      <c r="M25" s="1134"/>
      <c r="N25" s="1643">
        <f>SUM(N8:N24)</f>
        <v>21.98</v>
      </c>
      <c r="O25" s="1136">
        <f>SUM(O8:O24)</f>
        <v>986445.02632788511</v>
      </c>
      <c r="P25" s="269"/>
    </row>
    <row r="26" spans="1:28" ht="12.75">
      <c r="A26" s="156"/>
      <c r="B26" s="1345" t="s">
        <v>46</v>
      </c>
      <c r="C26" s="1022">
        <v>2.25</v>
      </c>
      <c r="D26" s="1022">
        <v>2.25</v>
      </c>
      <c r="E26" s="1672">
        <f>Chart!C4</f>
        <v>32198.400000000001</v>
      </c>
      <c r="F26" s="1198"/>
      <c r="G26" s="1007"/>
      <c r="H26" s="49" t="s">
        <v>886</v>
      </c>
      <c r="I26" s="339"/>
      <c r="J26" s="111" t="s">
        <v>374</v>
      </c>
      <c r="K26" s="156"/>
      <c r="L26" s="156"/>
      <c r="M26" s="156"/>
      <c r="N26" s="269" t="s">
        <v>16</v>
      </c>
      <c r="O26" s="991"/>
      <c r="P26" s="269"/>
      <c r="AB26" s="1137"/>
    </row>
    <row r="27" spans="1:28" ht="12.75">
      <c r="A27" s="156"/>
      <c r="B27" s="48" t="s">
        <v>32</v>
      </c>
      <c r="C27" s="1022">
        <v>1.23</v>
      </c>
      <c r="D27" s="1022">
        <v>0</v>
      </c>
      <c r="E27" s="1198">
        <f>Chart!C4</f>
        <v>32198.400000000001</v>
      </c>
      <c r="F27" s="1198"/>
      <c r="G27" s="999"/>
      <c r="H27" s="49" t="s">
        <v>886</v>
      </c>
      <c r="I27" s="339"/>
      <c r="J27" s="109" t="s">
        <v>17</v>
      </c>
      <c r="K27" s="156"/>
      <c r="L27" s="1207">
        <f>E32</f>
        <v>0.224</v>
      </c>
      <c r="M27" s="1138"/>
      <c r="N27" s="156"/>
      <c r="O27" s="1017">
        <f>O25*L27</f>
        <v>220963.68589744627</v>
      </c>
      <c r="P27" s="269"/>
    </row>
    <row r="28" spans="1:28" ht="12.75">
      <c r="A28" s="156"/>
      <c r="B28" s="44" t="s">
        <v>33</v>
      </c>
      <c r="C28" s="1022"/>
      <c r="D28" s="1022"/>
      <c r="E28" s="999"/>
      <c r="F28" s="1198"/>
      <c r="G28" s="999"/>
      <c r="H28" s="49"/>
      <c r="I28" s="339"/>
      <c r="J28" s="1018" t="s">
        <v>18</v>
      </c>
      <c r="K28" s="1019"/>
      <c r="L28" s="1019"/>
      <c r="M28" s="1019"/>
      <c r="N28" s="1020"/>
      <c r="O28" s="1021">
        <f>SUM(O25:O27)</f>
        <v>1207408.7122253315</v>
      </c>
      <c r="P28" s="156"/>
    </row>
    <row r="29" spans="1:28" ht="12.75">
      <c r="A29" s="156"/>
      <c r="B29" s="48" t="s">
        <v>34</v>
      </c>
      <c r="C29" s="1583">
        <v>1</v>
      </c>
      <c r="D29" s="1583">
        <v>1</v>
      </c>
      <c r="E29" s="1198">
        <f>Chart!C4</f>
        <v>32198.400000000001</v>
      </c>
      <c r="F29" s="1198"/>
      <c r="G29" s="999"/>
      <c r="H29" s="49" t="s">
        <v>886</v>
      </c>
      <c r="I29" s="339"/>
      <c r="J29" s="995" t="s">
        <v>478</v>
      </c>
      <c r="K29" s="1012"/>
      <c r="L29" s="997" t="s">
        <v>19</v>
      </c>
      <c r="M29" s="997"/>
      <c r="N29" s="1139" t="s">
        <v>2</v>
      </c>
      <c r="O29" s="1140" t="s">
        <v>7</v>
      </c>
      <c r="P29" s="269"/>
      <c r="AB29" s="1137"/>
    </row>
    <row r="30" spans="1:28" ht="12.75">
      <c r="A30" s="156"/>
      <c r="B30" s="48" t="s">
        <v>389</v>
      </c>
      <c r="C30" s="1141"/>
      <c r="D30" s="1141"/>
      <c r="E30" s="1198">
        <f>Chart!C4</f>
        <v>32198.400000000001</v>
      </c>
      <c r="F30" s="1198"/>
      <c r="G30" s="1142"/>
      <c r="H30" s="49" t="s">
        <v>886</v>
      </c>
      <c r="I30" s="339"/>
      <c r="J30" s="121" t="s">
        <v>977</v>
      </c>
      <c r="K30" s="269"/>
      <c r="L30" s="1644">
        <v>135.32</v>
      </c>
      <c r="M30" s="1143"/>
      <c r="N30" s="1144">
        <v>55</v>
      </c>
      <c r="O30" s="1017">
        <f>N30*L30</f>
        <v>7442.5999999999995</v>
      </c>
      <c r="P30" s="156"/>
      <c r="Q30" s="1145"/>
    </row>
    <row r="31" spans="1:28" ht="12.75">
      <c r="A31" s="156"/>
      <c r="B31" s="109"/>
      <c r="C31" s="156"/>
      <c r="D31" s="156"/>
      <c r="E31" s="1146" t="s">
        <v>42</v>
      </c>
      <c r="F31" s="1196"/>
      <c r="G31" s="156"/>
      <c r="H31" s="1147"/>
      <c r="I31" s="398"/>
      <c r="J31" s="121" t="s">
        <v>11</v>
      </c>
      <c r="K31" s="269"/>
      <c r="L31" s="1143">
        <f>E36</f>
        <v>56.166377419662432</v>
      </c>
      <c r="M31" s="1143"/>
      <c r="N31" s="1144">
        <v>55</v>
      </c>
      <c r="O31" s="1017">
        <f>N31*L31</f>
        <v>3089.1507580814337</v>
      </c>
      <c r="P31" s="156"/>
      <c r="Q31" s="1145"/>
    </row>
    <row r="32" spans="1:28" ht="13.5" thickBot="1">
      <c r="A32" s="156"/>
      <c r="B32" s="48" t="s">
        <v>434</v>
      </c>
      <c r="C32" s="339"/>
      <c r="D32" s="983"/>
      <c r="E32" s="1199">
        <v>0.224</v>
      </c>
      <c r="G32" s="983"/>
      <c r="H32" s="1646" t="s">
        <v>978</v>
      </c>
      <c r="I32" s="397"/>
      <c r="J32" s="1018" t="s">
        <v>21</v>
      </c>
      <c r="K32" s="1148"/>
      <c r="L32" s="1148"/>
      <c r="M32" s="1148"/>
      <c r="N32" s="1148"/>
      <c r="O32" s="1021">
        <f>SUM(O30:O31)</f>
        <v>10531.750758081433</v>
      </c>
      <c r="P32" s="156"/>
      <c r="Q32" s="1145"/>
    </row>
    <row r="33" spans="1:19" ht="12.75">
      <c r="A33" s="156"/>
      <c r="B33" s="48"/>
      <c r="C33" s="339"/>
      <c r="D33" s="397"/>
      <c r="E33" s="1022"/>
      <c r="F33" s="1200"/>
      <c r="G33" s="1022"/>
      <c r="H33" s="86"/>
      <c r="I33" s="397"/>
      <c r="J33" s="987" t="s">
        <v>367</v>
      </c>
      <c r="K33" s="1076"/>
      <c r="L33" s="988" t="s">
        <v>423</v>
      </c>
      <c r="M33" s="988" t="s">
        <v>368</v>
      </c>
      <c r="N33" s="988"/>
      <c r="O33" s="1149"/>
      <c r="P33" s="156"/>
      <c r="Q33" s="1145"/>
    </row>
    <row r="34" spans="1:19" ht="12.75">
      <c r="A34" s="156"/>
      <c r="B34" s="109"/>
      <c r="C34" s="156"/>
      <c r="D34" s="156"/>
      <c r="E34" s="294" t="s">
        <v>328</v>
      </c>
      <c r="F34" s="1192"/>
      <c r="G34" s="294"/>
      <c r="H34" s="319"/>
      <c r="I34" s="397"/>
      <c r="J34" s="1585" t="s">
        <v>440</v>
      </c>
      <c r="K34" s="156"/>
      <c r="L34" s="252">
        <f>E40</f>
        <v>25.218875750929723</v>
      </c>
      <c r="M34" s="156"/>
      <c r="N34" s="156"/>
      <c r="O34" s="1017">
        <f>L34*G70</f>
        <v>42745.994397825882</v>
      </c>
      <c r="P34" s="156"/>
      <c r="Q34" s="1145"/>
    </row>
    <row r="35" spans="1:19" ht="12.75">
      <c r="A35" s="156"/>
      <c r="B35" s="48" t="s">
        <v>125</v>
      </c>
      <c r="C35" s="339"/>
      <c r="D35" s="1022">
        <f>55/52</f>
        <v>1.0576923076923077</v>
      </c>
      <c r="E35" s="1645">
        <v>135.32</v>
      </c>
      <c r="F35" s="1306"/>
      <c r="G35" s="1007"/>
      <c r="H35" s="49" t="s">
        <v>886</v>
      </c>
      <c r="I35" s="397"/>
      <c r="J35" s="109" t="s">
        <v>441</v>
      </c>
      <c r="K35" s="156"/>
      <c r="L35" s="156"/>
      <c r="M35" s="89">
        <f>E41</f>
        <v>360</v>
      </c>
      <c r="N35" s="89"/>
      <c r="O35" s="1017">
        <f>M35*N25</f>
        <v>7912.8</v>
      </c>
      <c r="P35" s="156"/>
      <c r="Q35" s="1145"/>
    </row>
    <row r="36" spans="1:19" ht="12.75">
      <c r="A36" s="156"/>
      <c r="B36" s="48" t="s">
        <v>123</v>
      </c>
      <c r="C36" s="339"/>
      <c r="D36" s="1022">
        <f>55/52</f>
        <v>1.0576923076923077</v>
      </c>
      <c r="E36" s="1151">
        <f>52.16*(1+E47)</f>
        <v>56.166377419662432</v>
      </c>
      <c r="F36" s="325"/>
      <c r="G36" s="1007"/>
      <c r="H36" s="86" t="s">
        <v>471</v>
      </c>
      <c r="I36" s="397"/>
      <c r="J36" s="109" t="s">
        <v>442</v>
      </c>
      <c r="K36" s="156"/>
      <c r="L36" s="156"/>
      <c r="M36" s="1206">
        <v>103.77453955641882</v>
      </c>
      <c r="N36" s="89"/>
      <c r="O36" s="1017">
        <f>E42</f>
        <v>3323.0337560789549</v>
      </c>
      <c r="P36" s="156"/>
      <c r="Q36" s="1152">
        <f>O36/N25</f>
        <v>151.18442930295518</v>
      </c>
      <c r="S36" s="1092"/>
    </row>
    <row r="37" spans="1:19" ht="12.75">
      <c r="A37" s="156"/>
      <c r="B37" s="48"/>
      <c r="C37" s="339"/>
      <c r="D37" s="339"/>
      <c r="E37" s="156"/>
      <c r="F37" s="1196"/>
      <c r="G37" s="156"/>
      <c r="H37" s="49"/>
      <c r="I37" s="397"/>
      <c r="J37" s="109" t="s">
        <v>443</v>
      </c>
      <c r="K37" s="156"/>
      <c r="L37" s="156"/>
      <c r="M37" s="89">
        <f>E43</f>
        <v>865.27937988417261</v>
      </c>
      <c r="N37" s="89"/>
      <c r="O37" s="1017">
        <f>M37*N25</f>
        <v>19018.840769854116</v>
      </c>
      <c r="P37" s="156"/>
      <c r="Q37" s="1145"/>
      <c r="S37" s="1092"/>
    </row>
    <row r="38" spans="1:19" ht="12.75">
      <c r="A38" s="156"/>
      <c r="B38" s="48"/>
      <c r="C38" s="339"/>
      <c r="D38" s="339"/>
      <c r="E38" s="294" t="s">
        <v>367</v>
      </c>
      <c r="F38" s="1192"/>
      <c r="G38" s="294"/>
      <c r="H38" s="49"/>
      <c r="I38" s="397"/>
      <c r="J38" s="109" t="s">
        <v>454</v>
      </c>
      <c r="K38" s="156"/>
      <c r="L38" s="156"/>
      <c r="M38" s="89">
        <f>E44</f>
        <v>642.72053101483573</v>
      </c>
      <c r="N38" s="89"/>
      <c r="O38" s="1017">
        <f>M38*N25</f>
        <v>14126.99727170609</v>
      </c>
      <c r="P38" s="156"/>
      <c r="Q38" s="1145"/>
    </row>
    <row r="39" spans="1:19" ht="13.5" thickBot="1">
      <c r="A39" s="156"/>
      <c r="B39" s="48" t="s">
        <v>944</v>
      </c>
      <c r="C39" s="1022"/>
      <c r="D39" s="1022"/>
      <c r="E39" s="325">
        <f>Chart!C4</f>
        <v>32198.400000000001</v>
      </c>
      <c r="G39" s="1007"/>
      <c r="H39" s="49" t="s">
        <v>886</v>
      </c>
      <c r="I39" s="397"/>
      <c r="J39" s="1586" t="str">
        <f>B39</f>
        <v xml:space="preserve">  Cultural Facilitator</v>
      </c>
      <c r="K39" s="156"/>
      <c r="L39" s="156"/>
      <c r="M39" s="1614"/>
      <c r="N39" s="89"/>
      <c r="O39" s="1350">
        <v>26472</v>
      </c>
      <c r="P39" s="156"/>
      <c r="Q39" s="1676"/>
    </row>
    <row r="40" spans="1:19" ht="13.5" thickTop="1">
      <c r="A40" s="156"/>
      <c r="B40" s="48" t="s">
        <v>440</v>
      </c>
      <c r="C40" s="339"/>
      <c r="D40" s="1153"/>
      <c r="E40" s="1143">
        <f>23.42*(1+E47)</f>
        <v>25.218875750929723</v>
      </c>
      <c r="F40" s="325"/>
      <c r="G40" s="1007"/>
      <c r="H40" s="49" t="s">
        <v>417</v>
      </c>
      <c r="I40" s="397"/>
      <c r="J40" s="995" t="s">
        <v>375</v>
      </c>
      <c r="K40" s="1012"/>
      <c r="L40" s="1012"/>
      <c r="M40" s="1012"/>
      <c r="N40" s="1154"/>
      <c r="O40" s="1155">
        <f>SUM(O34:O39)</f>
        <v>113599.66619546505</v>
      </c>
      <c r="P40" s="156"/>
      <c r="Q40" s="1145"/>
    </row>
    <row r="41" spans="1:19" ht="12.75">
      <c r="A41" s="156"/>
      <c r="B41" s="48" t="s">
        <v>441</v>
      </c>
      <c r="C41" s="339"/>
      <c r="D41" s="339"/>
      <c r="E41" s="1143">
        <v>360</v>
      </c>
      <c r="F41" s="325"/>
      <c r="G41" s="1007"/>
      <c r="H41" s="49" t="s">
        <v>383</v>
      </c>
      <c r="I41" s="397"/>
      <c r="J41" s="1018" t="s">
        <v>377</v>
      </c>
      <c r="K41" s="1019"/>
      <c r="L41" s="1019"/>
      <c r="M41" s="1019"/>
      <c r="N41" s="1019"/>
      <c r="O41" s="1030">
        <f>O28+O32+O40</f>
        <v>1331540.1291788779</v>
      </c>
      <c r="P41" s="156"/>
      <c r="Q41" s="1145"/>
    </row>
    <row r="42" spans="1:19" ht="12.75">
      <c r="A42" s="156"/>
      <c r="B42" s="48" t="s">
        <v>442</v>
      </c>
      <c r="C42" s="339"/>
      <c r="D42" s="339"/>
      <c r="E42" s="1143">
        <f>3086*(1+E47)</f>
        <v>3323.0337560789549</v>
      </c>
      <c r="F42" s="325"/>
      <c r="G42" s="1007"/>
      <c r="H42" s="49" t="s">
        <v>429</v>
      </c>
      <c r="I42" s="397"/>
      <c r="J42" s="111" t="str">
        <f>B45</f>
        <v xml:space="preserve"> PFLMA Trust Contribution</v>
      </c>
      <c r="K42" s="269"/>
      <c r="L42" s="1213">
        <f>E45</f>
        <v>3.7000000000000002E-3</v>
      </c>
      <c r="M42" s="269"/>
      <c r="N42" s="269"/>
      <c r="O42" s="1212">
        <f>O25*L42</f>
        <v>3649.846597413175</v>
      </c>
      <c r="P42" s="156"/>
      <c r="Q42" s="1145"/>
    </row>
    <row r="43" spans="1:19" ht="12.75">
      <c r="A43" s="156"/>
      <c r="B43" s="48" t="s">
        <v>443</v>
      </c>
      <c r="C43" s="339"/>
      <c r="D43" s="89"/>
      <c r="E43" s="1143">
        <f>'FY15 UFR Summary'!D63/'FY15 UFR Summary'!C40*(1+E47)</f>
        <v>865.27937988417261</v>
      </c>
      <c r="F43" s="325"/>
      <c r="G43" s="1156"/>
      <c r="H43" s="49" t="s">
        <v>418</v>
      </c>
      <c r="I43" s="397"/>
      <c r="J43" s="111"/>
      <c r="K43" s="156"/>
      <c r="L43" s="101" t="s">
        <v>369</v>
      </c>
      <c r="M43" s="101"/>
      <c r="N43" s="1031"/>
      <c r="O43" s="1032"/>
      <c r="P43" s="884"/>
      <c r="Q43" s="1161"/>
    </row>
    <row r="44" spans="1:19" ht="12.75">
      <c r="A44" s="156"/>
      <c r="B44" s="48" t="s">
        <v>454</v>
      </c>
      <c r="C44" s="339"/>
      <c r="D44" s="1160"/>
      <c r="E44" s="1143">
        <f>('FY15 UFR Summary'!D73)/'FY15 UFR Summary'!C40*(1+E47)</f>
        <v>642.72053101483573</v>
      </c>
      <c r="F44" s="1201"/>
      <c r="G44" s="1143"/>
      <c r="H44" s="49" t="s">
        <v>419</v>
      </c>
      <c r="I44" s="397"/>
      <c r="J44" s="1157" t="s">
        <v>24</v>
      </c>
      <c r="K44" s="1148"/>
      <c r="L44" s="1158">
        <v>0.12</v>
      </c>
      <c r="M44" s="1158"/>
      <c r="N44" s="1148"/>
      <c r="O44" s="1159">
        <f>(O41+O42)*L44</f>
        <v>160222.79709315492</v>
      </c>
      <c r="P44" s="156"/>
      <c r="Q44" s="1145"/>
    </row>
    <row r="45" spans="1:19" ht="12.75">
      <c r="A45" s="156"/>
      <c r="B45" s="1162" t="s">
        <v>785</v>
      </c>
      <c r="C45" s="339"/>
      <c r="D45" s="89"/>
      <c r="E45" s="1199">
        <f>Chart!C32</f>
        <v>3.7000000000000002E-3</v>
      </c>
      <c r="F45" s="1201"/>
      <c r="G45" s="1143"/>
      <c r="H45" s="49" t="s">
        <v>979</v>
      </c>
      <c r="I45" s="397"/>
      <c r="J45" s="111" t="s">
        <v>25</v>
      </c>
      <c r="K45" s="156"/>
      <c r="L45" s="39"/>
      <c r="M45" s="39"/>
      <c r="N45" s="156"/>
      <c r="O45" s="1150">
        <f>SUM(O41:O44)</f>
        <v>1495412.7728694458</v>
      </c>
      <c r="P45" s="156"/>
      <c r="Q45" s="1145"/>
    </row>
    <row r="46" spans="1:19" ht="15" customHeight="1">
      <c r="A46" s="156"/>
      <c r="B46" s="48" t="s">
        <v>437</v>
      </c>
      <c r="C46" s="339"/>
      <c r="D46" s="983"/>
      <c r="E46" s="983">
        <v>0.12</v>
      </c>
      <c r="F46" s="1199"/>
      <c r="G46" s="983"/>
      <c r="H46" s="384" t="s">
        <v>1099</v>
      </c>
      <c r="I46" s="397"/>
      <c r="J46" s="111" t="s">
        <v>26</v>
      </c>
      <c r="K46" s="269"/>
      <c r="L46" s="1211">
        <f>E48</f>
        <v>1.7780248869661817E-2</v>
      </c>
      <c r="M46" s="1163"/>
      <c r="N46" s="269"/>
      <c r="O46" s="1164">
        <f>(O45+(O45*L46))-(O25*L46)</f>
        <v>1504462.3460695858</v>
      </c>
      <c r="P46" s="156"/>
      <c r="Q46" s="1145"/>
    </row>
    <row r="47" spans="1:19" ht="13.5" thickBot="1">
      <c r="A47" s="156"/>
      <c r="B47" s="48" t="s">
        <v>438</v>
      </c>
      <c r="C47" s="339"/>
      <c r="D47" s="339"/>
      <c r="E47" s="983">
        <f>'FY19_20 CAF'!BU41</f>
        <v>7.6809383045675458E-2</v>
      </c>
      <c r="F47" s="1199"/>
      <c r="G47" s="983"/>
      <c r="H47" s="49" t="s">
        <v>1101</v>
      </c>
      <c r="I47" s="397"/>
      <c r="J47" s="1165" t="s">
        <v>479</v>
      </c>
      <c r="K47" s="1052"/>
      <c r="L47" s="1052"/>
      <c r="M47" s="1052"/>
      <c r="N47" s="1054"/>
      <c r="O47" s="1166">
        <f>O46/K5</f>
        <v>41.218146467659885</v>
      </c>
      <c r="P47" s="156"/>
    </row>
    <row r="48" spans="1:19" ht="13.5" thickBot="1">
      <c r="A48" s="156"/>
      <c r="B48" s="1167" t="s">
        <v>438</v>
      </c>
      <c r="C48" s="1168"/>
      <c r="D48" s="1168"/>
      <c r="E48" s="1202">
        <f>'CAF 2019 Fall'!BZ25</f>
        <v>1.7780248869661817E-2</v>
      </c>
      <c r="F48" s="1202"/>
      <c r="G48" s="1064"/>
      <c r="H48" s="1169" t="s">
        <v>780</v>
      </c>
      <c r="I48" s="339"/>
      <c r="J48" s="269"/>
      <c r="K48" s="156"/>
      <c r="L48" s="156"/>
      <c r="M48" s="156"/>
      <c r="N48" s="1170" t="s">
        <v>783</v>
      </c>
      <c r="O48" s="1171">
        <v>40.32</v>
      </c>
      <c r="P48" s="156"/>
      <c r="Q48" s="1092"/>
    </row>
    <row r="49" spans="1:24" ht="15.75" thickBot="1">
      <c r="A49" s="156"/>
      <c r="B49" s="156"/>
      <c r="C49" s="156"/>
      <c r="D49" s="156"/>
      <c r="E49" s="156"/>
      <c r="F49" s="1196"/>
      <c r="G49" s="156"/>
      <c r="H49" s="156"/>
      <c r="I49" s="339"/>
      <c r="J49" s="1172"/>
      <c r="K49" s="1173"/>
      <c r="L49" s="1173"/>
      <c r="M49" s="1173"/>
      <c r="N49" s="1170" t="s">
        <v>784</v>
      </c>
      <c r="O49" s="1174">
        <f>(O47-O48)/O48</f>
        <v>2.2275458027278885E-2</v>
      </c>
      <c r="P49" s="156"/>
      <c r="Q49" s="1145"/>
    </row>
    <row r="50" spans="1:24" ht="18" thickBot="1">
      <c r="A50" s="156"/>
      <c r="B50" s="992"/>
      <c r="C50" s="1175"/>
      <c r="D50" s="1175"/>
      <c r="E50" s="340" t="s">
        <v>415</v>
      </c>
      <c r="F50" s="1193"/>
      <c r="G50" s="340"/>
      <c r="H50" s="341"/>
      <c r="I50" s="1123"/>
      <c r="J50" s="1124" t="s">
        <v>556</v>
      </c>
      <c r="P50" s="156"/>
    </row>
    <row r="51" spans="1:24" ht="39" thickBot="1">
      <c r="A51" s="156"/>
      <c r="B51" s="109"/>
      <c r="C51" s="156"/>
      <c r="D51" s="1176" t="str">
        <f>C11</f>
        <v>Integrated Team Benchmark FTEs</v>
      </c>
      <c r="E51" s="1176" t="s">
        <v>403</v>
      </c>
      <c r="F51" s="1194" t="s">
        <v>404</v>
      </c>
      <c r="G51" s="1176" t="s">
        <v>405</v>
      </c>
      <c r="H51" s="1147"/>
      <c r="I51" s="339"/>
      <c r="J51" s="1562" t="s">
        <v>480</v>
      </c>
      <c r="K51" s="1579"/>
      <c r="L51" s="1579"/>
      <c r="M51" s="1579"/>
      <c r="N51" s="1579"/>
      <c r="O51" s="1580"/>
      <c r="P51" s="156"/>
    </row>
    <row r="52" spans="1:24" ht="12.75">
      <c r="A52" s="156"/>
      <c r="B52" s="44" t="str">
        <f t="shared" ref="B52:B64" si="2">B12</f>
        <v>Management</v>
      </c>
      <c r="C52" s="544"/>
      <c r="D52" s="397"/>
      <c r="E52" s="1177"/>
      <c r="F52" s="325"/>
      <c r="G52" s="1007"/>
      <c r="H52" s="49"/>
      <c r="I52" s="339"/>
      <c r="J52" s="987" t="s">
        <v>277</v>
      </c>
      <c r="K52" s="483">
        <v>100</v>
      </c>
      <c r="L52" s="988"/>
      <c r="M52" s="988"/>
      <c r="N52" s="989"/>
      <c r="O52" s="990"/>
      <c r="P52" s="156"/>
      <c r="Q52" s="1145"/>
    </row>
    <row r="53" spans="1:24" ht="12.75">
      <c r="A53" s="156"/>
      <c r="B53" s="48" t="str">
        <f t="shared" si="2"/>
        <v xml:space="preserve">  Program Director</v>
      </c>
      <c r="C53" s="339"/>
      <c r="D53" s="1022">
        <f>C13</f>
        <v>1</v>
      </c>
      <c r="E53" s="1022">
        <v>1</v>
      </c>
      <c r="F53" s="1203">
        <v>300</v>
      </c>
      <c r="G53" s="1178">
        <f>E53*F53</f>
        <v>300</v>
      </c>
      <c r="H53" s="49"/>
      <c r="I53" s="339"/>
      <c r="J53" s="111" t="s">
        <v>133</v>
      </c>
      <c r="K53" s="1125">
        <f>K52*365</f>
        <v>36500</v>
      </c>
      <c r="L53" s="156"/>
      <c r="M53" s="156"/>
      <c r="N53" s="156"/>
      <c r="O53" s="991"/>
      <c r="P53" s="156"/>
    </row>
    <row r="54" spans="1:24" ht="12.75">
      <c r="A54" s="156"/>
      <c r="B54" s="48" t="str">
        <f t="shared" si="2"/>
        <v xml:space="preserve">  Assistant Director (LICSW Level)</v>
      </c>
      <c r="C54" s="339"/>
      <c r="D54" s="1022">
        <f>C14</f>
        <v>1</v>
      </c>
      <c r="E54" s="1022">
        <v>1</v>
      </c>
      <c r="F54" s="1203">
        <v>200</v>
      </c>
      <c r="G54" s="1178">
        <f>E54*F54</f>
        <v>200</v>
      </c>
      <c r="H54" s="49"/>
      <c r="I54" s="339"/>
      <c r="J54" s="995"/>
      <c r="K54" s="996"/>
      <c r="L54" s="997" t="s">
        <v>5</v>
      </c>
      <c r="M54" s="997"/>
      <c r="N54" s="997" t="s">
        <v>6</v>
      </c>
      <c r="O54" s="998" t="s">
        <v>7</v>
      </c>
      <c r="P54" s="156"/>
    </row>
    <row r="55" spans="1:24" ht="12.75">
      <c r="A55" s="156"/>
      <c r="B55" s="48" t="str">
        <f t="shared" si="2"/>
        <v xml:space="preserve">  Program Function Manager</v>
      </c>
      <c r="C55" s="339"/>
      <c r="D55" s="1022">
        <f>C15</f>
        <v>0.1</v>
      </c>
      <c r="E55" s="1022">
        <v>0.5</v>
      </c>
      <c r="F55" s="1203">
        <v>120</v>
      </c>
      <c r="G55" s="1178">
        <f>E55*F55+75</f>
        <v>135</v>
      </c>
      <c r="H55" s="49"/>
      <c r="I55" s="339"/>
      <c r="J55" s="111" t="s">
        <v>29</v>
      </c>
      <c r="K55" s="1000"/>
      <c r="L55" s="101"/>
      <c r="M55" s="101"/>
      <c r="N55" s="101"/>
      <c r="O55" s="1001"/>
      <c r="P55" s="884"/>
    </row>
    <row r="56" spans="1:24" ht="12.75">
      <c r="A56" s="156"/>
      <c r="B56" s="44" t="str">
        <f t="shared" si="2"/>
        <v>Medical and Clinical</v>
      </c>
      <c r="C56" s="544"/>
      <c r="D56" s="1022"/>
      <c r="E56" s="1022"/>
      <c r="F56" s="1203"/>
      <c r="G56" s="1178"/>
      <c r="H56" s="49"/>
      <c r="I56" s="339"/>
      <c r="J56" s="109" t="s">
        <v>43</v>
      </c>
      <c r="K56" s="1002"/>
      <c r="L56" s="1003">
        <f>E13</f>
        <v>62573.393248784203</v>
      </c>
      <c r="M56" s="1003"/>
      <c r="N56" s="1004">
        <v>1</v>
      </c>
      <c r="O56" s="1005">
        <f>N56*L56</f>
        <v>62573.393248784203</v>
      </c>
      <c r="P56" s="156"/>
    </row>
    <row r="57" spans="1:24" ht="12.75">
      <c r="A57" s="156"/>
      <c r="B57" s="48" t="str">
        <f t="shared" si="2"/>
        <v xml:space="preserve">    Psychiatrist</v>
      </c>
      <c r="C57" s="339"/>
      <c r="D57" s="1022">
        <f>C17</f>
        <v>0.05</v>
      </c>
      <c r="E57" s="1022">
        <v>0.1</v>
      </c>
      <c r="F57" s="1203">
        <v>120</v>
      </c>
      <c r="G57" s="1178">
        <f>E57*F57</f>
        <v>12</v>
      </c>
      <c r="H57" s="49"/>
      <c r="I57" s="339"/>
      <c r="J57" s="109" t="s">
        <v>134</v>
      </c>
      <c r="K57" s="1002"/>
      <c r="L57" s="1675">
        <f>F14</f>
        <v>60923</v>
      </c>
      <c r="M57" s="1003"/>
      <c r="N57" s="1004">
        <v>1</v>
      </c>
      <c r="O57" s="1005">
        <f>N57*L57</f>
        <v>60923</v>
      </c>
      <c r="P57" s="156"/>
    </row>
    <row r="58" spans="1:24" ht="12.75">
      <c r="A58" s="156"/>
      <c r="B58" s="78" t="str">
        <f t="shared" si="2"/>
        <v xml:space="preserve">    LPHA</v>
      </c>
      <c r="C58" s="338"/>
      <c r="D58" s="1022">
        <f>C18</f>
        <v>3.5999999999999996</v>
      </c>
      <c r="E58" s="1022">
        <v>3</v>
      </c>
      <c r="F58" s="1203">
        <v>120</v>
      </c>
      <c r="G58" s="1178">
        <f>E58*F58</f>
        <v>360</v>
      </c>
      <c r="H58" s="49"/>
      <c r="I58" s="339"/>
      <c r="J58" s="109" t="s">
        <v>390</v>
      </c>
      <c r="K58" s="1002"/>
      <c r="L58" s="1003">
        <f>E15</f>
        <v>92496.84919424048</v>
      </c>
      <c r="M58" s="1003"/>
      <c r="N58" s="1004">
        <v>0.1</v>
      </c>
      <c r="O58" s="1005">
        <f>N58*L58</f>
        <v>9249.6849194240476</v>
      </c>
      <c r="P58" s="156"/>
    </row>
    <row r="59" spans="1:24" ht="12.75">
      <c r="A59" s="156"/>
      <c r="B59" s="48" t="str">
        <f t="shared" si="2"/>
        <v xml:space="preserve">    RN</v>
      </c>
      <c r="C59" s="339"/>
      <c r="D59" s="1022">
        <f>C19</f>
        <v>1</v>
      </c>
      <c r="E59" s="1022">
        <v>1</v>
      </c>
      <c r="F59" s="1203">
        <v>120</v>
      </c>
      <c r="G59" s="1178">
        <f>E59*F59</f>
        <v>120</v>
      </c>
      <c r="H59" s="49"/>
      <c r="I59" s="339"/>
      <c r="J59" s="111" t="s">
        <v>30</v>
      </c>
      <c r="K59" s="1002"/>
      <c r="L59" s="1003"/>
      <c r="M59" s="1003"/>
      <c r="N59" s="1004"/>
      <c r="O59" s="1005"/>
      <c r="P59" s="156"/>
    </row>
    <row r="60" spans="1:24" ht="12.75">
      <c r="A60" s="156"/>
      <c r="B60" s="48" t="str">
        <f t="shared" si="2"/>
        <v xml:space="preserve">    Substance Abuse Counselor/ LSW</v>
      </c>
      <c r="C60" s="339"/>
      <c r="D60" s="1022">
        <f>C20</f>
        <v>1</v>
      </c>
      <c r="E60" s="1022">
        <v>1</v>
      </c>
      <c r="F60" s="1203">
        <v>120</v>
      </c>
      <c r="G60" s="1178">
        <f>E60*F60</f>
        <v>120</v>
      </c>
      <c r="H60" s="49"/>
      <c r="I60" s="156"/>
      <c r="J60" s="109" t="s">
        <v>38</v>
      </c>
      <c r="K60" s="1002"/>
      <c r="L60" s="1003">
        <f>E17</f>
        <v>208323.9231935351</v>
      </c>
      <c r="M60" s="1003"/>
      <c r="N60" s="1004">
        <v>0.05</v>
      </c>
      <c r="O60" s="1005">
        <f>N60*L60</f>
        <v>10416.196159676756</v>
      </c>
      <c r="P60" s="156"/>
    </row>
    <row r="61" spans="1:24" s="984" customFormat="1" ht="12.75">
      <c r="A61" s="156"/>
      <c r="B61" s="44" t="str">
        <f t="shared" si="2"/>
        <v>Direct Care</v>
      </c>
      <c r="C61" s="544"/>
      <c r="D61" s="1022"/>
      <c r="E61" s="1022"/>
      <c r="F61" s="1203"/>
      <c r="G61" s="1178"/>
      <c r="H61" s="1147"/>
      <c r="I61" s="156"/>
      <c r="J61" s="376" t="s">
        <v>44</v>
      </c>
      <c r="K61" s="1129"/>
      <c r="L61" s="1209">
        <f>E18</f>
        <v>60923.199999999997</v>
      </c>
      <c r="M61" s="1003"/>
      <c r="N61" s="1004">
        <v>3.5999999999999996</v>
      </c>
      <c r="O61" s="1005">
        <f>N61*L61</f>
        <v>219323.51999999996</v>
      </c>
      <c r="P61" s="156"/>
      <c r="Q61" s="985"/>
      <c r="R61" s="985"/>
      <c r="S61" s="985"/>
      <c r="T61" s="985"/>
      <c r="U61" s="985"/>
      <c r="V61" s="985"/>
      <c r="W61" s="985"/>
      <c r="X61" s="985"/>
    </row>
    <row r="62" spans="1:24" s="984" customFormat="1" ht="12.75">
      <c r="A62" s="156"/>
      <c r="B62" s="79" t="str">
        <f t="shared" si="2"/>
        <v xml:space="preserve">    DC III</v>
      </c>
      <c r="C62" s="274"/>
      <c r="D62" s="1022">
        <f>C22</f>
        <v>2</v>
      </c>
      <c r="E62" s="1022">
        <v>1</v>
      </c>
      <c r="F62" s="1203">
        <v>80</v>
      </c>
      <c r="G62" s="1178">
        <f t="shared" ref="G62:G67" si="3">E62*F62</f>
        <v>80</v>
      </c>
      <c r="H62" s="1147"/>
      <c r="I62" s="156"/>
      <c r="J62" s="109" t="s">
        <v>45</v>
      </c>
      <c r="K62" s="1002"/>
      <c r="L62" s="1209">
        <f>E19</f>
        <v>86860.800000000003</v>
      </c>
      <c r="M62" s="1003"/>
      <c r="N62" s="1004">
        <v>1</v>
      </c>
      <c r="O62" s="1005">
        <f>N62*L62</f>
        <v>86860.800000000003</v>
      </c>
      <c r="P62" s="156"/>
      <c r="Q62" s="985"/>
      <c r="R62" s="985"/>
      <c r="S62" s="985"/>
      <c r="T62" s="985"/>
      <c r="U62" s="985"/>
      <c r="V62" s="985"/>
      <c r="W62" s="985"/>
      <c r="X62" s="985"/>
    </row>
    <row r="63" spans="1:24" s="984" customFormat="1" ht="12.75">
      <c r="A63" s="156"/>
      <c r="B63" s="79" t="str">
        <f t="shared" si="2"/>
        <v xml:space="preserve">    Direct Care</v>
      </c>
      <c r="C63" s="274"/>
      <c r="D63" s="1022">
        <f>C23</f>
        <v>6</v>
      </c>
      <c r="E63" s="1022">
        <v>2</v>
      </c>
      <c r="F63" s="1203">
        <v>80</v>
      </c>
      <c r="G63" s="1178">
        <f t="shared" si="3"/>
        <v>160</v>
      </c>
      <c r="H63" s="1147"/>
      <c r="I63" s="156"/>
      <c r="J63" s="109" t="str">
        <f>B60</f>
        <v xml:space="preserve">    Substance Abuse Counselor/ LSW</v>
      </c>
      <c r="K63" s="1002"/>
      <c r="L63" s="1209">
        <f>E20</f>
        <v>43971.200000000004</v>
      </c>
      <c r="M63" s="1003"/>
      <c r="N63" s="1004">
        <v>1</v>
      </c>
      <c r="O63" s="1005">
        <f>N63*L63</f>
        <v>43971.200000000004</v>
      </c>
      <c r="P63" s="156"/>
      <c r="Q63" s="985"/>
      <c r="R63" s="985"/>
      <c r="S63" s="985"/>
      <c r="T63" s="985"/>
      <c r="U63" s="985"/>
      <c r="V63" s="985"/>
      <c r="W63" s="985"/>
      <c r="X63" s="985"/>
    </row>
    <row r="64" spans="1:24" s="984" customFormat="1" ht="12.75">
      <c r="A64" s="156"/>
      <c r="B64" s="48" t="str">
        <f t="shared" si="2"/>
        <v xml:space="preserve">    Housing Coordinator/DC III</v>
      </c>
      <c r="C64" s="339"/>
      <c r="D64" s="1022">
        <f>C24</f>
        <v>1</v>
      </c>
      <c r="E64" s="1022">
        <v>0.5</v>
      </c>
      <c r="F64" s="1203">
        <v>80</v>
      </c>
      <c r="G64" s="1178">
        <f t="shared" si="3"/>
        <v>40</v>
      </c>
      <c r="H64" s="1147"/>
      <c r="I64" s="156"/>
      <c r="J64" s="111" t="s">
        <v>31</v>
      </c>
      <c r="K64" s="1002"/>
      <c r="L64" s="1003"/>
      <c r="M64" s="1003"/>
      <c r="N64" s="1004"/>
      <c r="O64" s="1005"/>
      <c r="P64" s="156"/>
      <c r="Q64" s="985"/>
      <c r="R64" s="985"/>
      <c r="S64" s="985"/>
      <c r="T64" s="985"/>
      <c r="U64" s="985"/>
      <c r="V64" s="985"/>
      <c r="W64" s="985"/>
      <c r="X64" s="985"/>
    </row>
    <row r="65" spans="1:24" s="984" customFormat="1" ht="12.75">
      <c r="A65" s="156"/>
      <c r="B65" s="48" t="str">
        <f>B26</f>
        <v xml:space="preserve">    Peer &amp; Family Specialist</v>
      </c>
      <c r="C65" s="339"/>
      <c r="D65" s="1022">
        <f>C26</f>
        <v>2.25</v>
      </c>
      <c r="E65" s="1022">
        <v>1.5</v>
      </c>
      <c r="F65" s="1203">
        <v>80</v>
      </c>
      <c r="G65" s="1178">
        <f t="shared" si="3"/>
        <v>120</v>
      </c>
      <c r="H65" s="1147"/>
      <c r="I65" s="156"/>
      <c r="J65" s="1615" t="s">
        <v>388</v>
      </c>
      <c r="K65" s="1002"/>
      <c r="L65" s="1209">
        <f t="shared" ref="L65:L70" si="4">E22</f>
        <v>41516.800000000003</v>
      </c>
      <c r="M65" s="1003"/>
      <c r="N65" s="1004">
        <v>0</v>
      </c>
      <c r="O65" s="1005">
        <f t="shared" ref="O65:O70" si="5">N65*L65</f>
        <v>0</v>
      </c>
      <c r="P65" s="156"/>
      <c r="Q65" s="985"/>
      <c r="R65" s="985"/>
      <c r="S65" s="985"/>
      <c r="T65" s="985"/>
      <c r="U65" s="985"/>
      <c r="V65" s="985"/>
      <c r="W65" s="985"/>
      <c r="X65" s="985"/>
    </row>
    <row r="66" spans="1:24" s="984" customFormat="1" ht="12.75">
      <c r="A66" s="156"/>
      <c r="B66" s="48" t="s">
        <v>428</v>
      </c>
      <c r="C66" s="339"/>
      <c r="D66" s="1022">
        <f>C39</f>
        <v>0</v>
      </c>
      <c r="E66" s="1022">
        <v>0</v>
      </c>
      <c r="F66" s="1203">
        <v>80</v>
      </c>
      <c r="G66" s="1178">
        <f t="shared" si="3"/>
        <v>0</v>
      </c>
      <c r="H66" s="1147"/>
      <c r="I66" s="156"/>
      <c r="J66" s="1615" t="str">
        <f>J18</f>
        <v xml:space="preserve">    Direct Care</v>
      </c>
      <c r="K66" s="1002"/>
      <c r="L66" s="1209">
        <f t="shared" si="4"/>
        <v>32198.400000000001</v>
      </c>
      <c r="M66" s="1131"/>
      <c r="N66" s="1004">
        <v>0</v>
      </c>
      <c r="O66" s="1005">
        <f t="shared" si="5"/>
        <v>0</v>
      </c>
      <c r="P66" s="156"/>
      <c r="Q66" s="985"/>
      <c r="R66" s="985"/>
      <c r="S66" s="985"/>
      <c r="T66" s="985"/>
      <c r="U66" s="985"/>
      <c r="V66" s="985"/>
      <c r="W66" s="985"/>
      <c r="X66" s="985"/>
    </row>
    <row r="67" spans="1:24" s="984" customFormat="1" ht="12.75">
      <c r="A67" s="156"/>
      <c r="B67" s="80" t="str">
        <f>B27</f>
        <v xml:space="preserve">    Relief</v>
      </c>
      <c r="C67" s="545"/>
      <c r="D67" s="1022">
        <f>C27</f>
        <v>1.23</v>
      </c>
      <c r="E67" s="1022">
        <v>0</v>
      </c>
      <c r="F67" s="1203">
        <v>80</v>
      </c>
      <c r="G67" s="1178">
        <f t="shared" si="3"/>
        <v>0</v>
      </c>
      <c r="H67" s="1147"/>
      <c r="I67" s="156"/>
      <c r="J67" s="1586" t="str">
        <f>J19</f>
        <v xml:space="preserve">    Housing Coordinator/DC III</v>
      </c>
      <c r="K67" s="1002"/>
      <c r="L67" s="1209">
        <f t="shared" si="4"/>
        <v>41516.800000000003</v>
      </c>
      <c r="M67" s="1003"/>
      <c r="N67" s="1004">
        <v>1</v>
      </c>
      <c r="O67" s="1005">
        <f t="shared" si="5"/>
        <v>41516.800000000003</v>
      </c>
      <c r="P67" s="156"/>
      <c r="Q67" s="985"/>
      <c r="R67" s="985"/>
      <c r="S67" s="985"/>
      <c r="T67" s="985"/>
      <c r="U67" s="985"/>
      <c r="V67" s="985"/>
      <c r="W67" s="985"/>
      <c r="X67" s="985"/>
    </row>
    <row r="68" spans="1:24" s="984" customFormat="1" ht="12.75">
      <c r="A68" s="156"/>
      <c r="B68" s="44" t="str">
        <f>B28</f>
        <v>Support</v>
      </c>
      <c r="C68" s="544"/>
      <c r="D68" s="1022"/>
      <c r="E68" s="1022"/>
      <c r="F68" s="1203"/>
      <c r="G68" s="1178"/>
      <c r="H68" s="1147"/>
      <c r="I68" s="156"/>
      <c r="J68" s="1586" t="str">
        <f>B25</f>
        <v xml:space="preserve">    Peer &amp; Family Specialist</v>
      </c>
      <c r="K68" s="1002"/>
      <c r="L68" s="1209">
        <f t="shared" si="4"/>
        <v>41516.800000000003</v>
      </c>
      <c r="M68" s="1003"/>
      <c r="N68" s="1004">
        <f>D25</f>
        <v>0.75</v>
      </c>
      <c r="O68" s="1005">
        <f>N68*L68</f>
        <v>31137.600000000002</v>
      </c>
      <c r="P68" s="156"/>
      <c r="Q68" s="985"/>
      <c r="R68" s="985"/>
      <c r="S68" s="985"/>
      <c r="T68" s="985"/>
      <c r="U68" s="985"/>
      <c r="V68" s="985"/>
      <c r="W68" s="985"/>
      <c r="X68" s="985"/>
    </row>
    <row r="69" spans="1:24" s="984" customFormat="1" ht="12.75">
      <c r="A69" s="156"/>
      <c r="B69" s="48" t="str">
        <f>B29</f>
        <v xml:space="preserve">    Prog Secretarial / Clerical</v>
      </c>
      <c r="C69" s="339"/>
      <c r="D69" s="1022">
        <f>C29</f>
        <v>1</v>
      </c>
      <c r="E69" s="1022">
        <v>1</v>
      </c>
      <c r="F69" s="1203">
        <v>48</v>
      </c>
      <c r="G69" s="1178">
        <f>E69*F69</f>
        <v>48</v>
      </c>
      <c r="H69" s="1147"/>
      <c r="I69" s="156"/>
      <c r="J69" s="1091" t="str">
        <f>J21</f>
        <v xml:space="preserve">    Peer &amp; Family Specialist</v>
      </c>
      <c r="K69" s="1002"/>
      <c r="L69" s="1209">
        <f t="shared" si="4"/>
        <v>32198.400000000001</v>
      </c>
      <c r="M69" s="1003"/>
      <c r="N69" s="1004">
        <f>D26</f>
        <v>2.25</v>
      </c>
      <c r="O69" s="1005">
        <f t="shared" si="5"/>
        <v>72446.400000000009</v>
      </c>
      <c r="P69" s="156"/>
      <c r="Q69" s="985"/>
      <c r="R69" s="985"/>
      <c r="S69" s="985"/>
      <c r="T69" s="985"/>
      <c r="U69" s="985"/>
      <c r="V69" s="985"/>
      <c r="W69" s="985"/>
      <c r="X69" s="985"/>
    </row>
    <row r="70" spans="1:24" s="984" customFormat="1" ht="24.75" customHeight="1">
      <c r="A70" s="156"/>
      <c r="B70" s="1179" t="s">
        <v>348</v>
      </c>
      <c r="C70" s="1180"/>
      <c r="D70" s="1181">
        <f>SUM(D53:D69)</f>
        <v>21.23</v>
      </c>
      <c r="E70" s="1181">
        <f>SUM(E53:E69)</f>
        <v>13.6</v>
      </c>
      <c r="F70" s="1195">
        <f>SUM(F53:F69)</f>
        <v>1628</v>
      </c>
      <c r="G70" s="1182">
        <f>SUM(G53:G69)</f>
        <v>1695</v>
      </c>
      <c r="H70" s="991"/>
      <c r="I70" s="156"/>
      <c r="J70" s="109" t="s">
        <v>32</v>
      </c>
      <c r="K70" s="1002"/>
      <c r="L70" s="1209">
        <f t="shared" si="4"/>
        <v>32198.400000000001</v>
      </c>
      <c r="M70" s="1673"/>
      <c r="N70" s="1004">
        <v>0</v>
      </c>
      <c r="O70" s="1005">
        <f t="shared" si="5"/>
        <v>0</v>
      </c>
      <c r="P70" s="156"/>
      <c r="Q70" s="985"/>
      <c r="R70" s="985"/>
      <c r="S70" s="985"/>
      <c r="T70" s="985"/>
      <c r="U70" s="985"/>
      <c r="V70" s="985"/>
      <c r="W70" s="985"/>
      <c r="X70" s="985"/>
    </row>
    <row r="71" spans="1:24" s="984" customFormat="1" ht="12.75">
      <c r="A71" s="156"/>
      <c r="B71" s="2555" t="s">
        <v>872</v>
      </c>
      <c r="C71" s="2556"/>
      <c r="D71" s="2556"/>
      <c r="E71" s="2556"/>
      <c r="F71" s="2556"/>
      <c r="G71" s="2556"/>
      <c r="H71" s="2557"/>
      <c r="I71" s="156"/>
      <c r="J71" s="111" t="s">
        <v>33</v>
      </c>
      <c r="K71" s="1002"/>
      <c r="L71" s="1003"/>
      <c r="M71" s="1003"/>
      <c r="N71" s="1004"/>
      <c r="O71" s="1005"/>
      <c r="P71" s="156"/>
      <c r="Q71" s="985"/>
      <c r="R71" s="985"/>
      <c r="S71" s="985"/>
      <c r="T71" s="985"/>
      <c r="U71" s="985"/>
      <c r="V71" s="985"/>
      <c r="W71" s="985"/>
      <c r="X71" s="985"/>
    </row>
    <row r="72" spans="1:24" s="984" customFormat="1" ht="12.75">
      <c r="A72" s="156"/>
      <c r="B72" s="111" t="s">
        <v>409</v>
      </c>
      <c r="C72" s="269"/>
      <c r="D72" s="156"/>
      <c r="E72" s="156"/>
      <c r="F72" s="1203"/>
      <c r="G72" s="156"/>
      <c r="H72" s="1147"/>
      <c r="I72" s="156"/>
      <c r="J72" s="109" t="s">
        <v>34</v>
      </c>
      <c r="K72" s="1009"/>
      <c r="L72" s="1208">
        <f>E29</f>
        <v>32198.400000000001</v>
      </c>
      <c r="M72" s="1003"/>
      <c r="N72" s="1412">
        <f>D69</f>
        <v>1</v>
      </c>
      <c r="O72" s="1005">
        <f>N72*L72</f>
        <v>32198.400000000001</v>
      </c>
      <c r="P72" s="156"/>
      <c r="Q72" s="985"/>
      <c r="R72" s="985"/>
      <c r="S72" s="985"/>
      <c r="T72" s="985"/>
      <c r="U72" s="985"/>
      <c r="V72" s="985"/>
      <c r="W72" s="985"/>
      <c r="X72" s="985"/>
    </row>
    <row r="73" spans="1:24" s="984" customFormat="1" ht="12.75">
      <c r="A73" s="156"/>
      <c r="B73" s="376" t="s">
        <v>406</v>
      </c>
      <c r="C73" s="1183"/>
      <c r="D73" s="1130">
        <f>D58+D59</f>
        <v>4.5999999999999996</v>
      </c>
      <c r="E73" s="1130">
        <v>4</v>
      </c>
      <c r="F73" s="1204"/>
      <c r="G73" s="1183"/>
      <c r="H73" s="1184" t="s">
        <v>427</v>
      </c>
      <c r="I73" s="156"/>
      <c r="J73" s="1018" t="s">
        <v>13</v>
      </c>
      <c r="K73" s="1019"/>
      <c r="L73" s="1134"/>
      <c r="M73" s="1134"/>
      <c r="N73" s="1135">
        <f>SUM(N56:N72)</f>
        <v>12.75</v>
      </c>
      <c r="O73" s="1136">
        <f>SUM(O56:O72)</f>
        <v>670616.99432788498</v>
      </c>
      <c r="P73" s="156"/>
      <c r="Q73" s="985"/>
      <c r="R73" s="985"/>
      <c r="S73" s="985"/>
      <c r="T73" s="985"/>
      <c r="U73" s="985"/>
      <c r="V73" s="985"/>
      <c r="W73" s="985"/>
      <c r="X73" s="985"/>
    </row>
    <row r="74" spans="1:24" s="984" customFormat="1" ht="12.75">
      <c r="A74" s="156"/>
      <c r="B74" s="376" t="s">
        <v>407</v>
      </c>
      <c r="C74" s="1183"/>
      <c r="D74" s="1130">
        <f>D60</f>
        <v>1</v>
      </c>
      <c r="E74" s="1130">
        <v>1</v>
      </c>
      <c r="F74" s="1204"/>
      <c r="G74" s="1183"/>
      <c r="H74" s="1184" t="s">
        <v>411</v>
      </c>
      <c r="I74" s="156"/>
      <c r="J74" s="111" t="s">
        <v>374</v>
      </c>
      <c r="K74" s="156"/>
      <c r="L74" s="156"/>
      <c r="M74" s="156"/>
      <c r="N74" s="269" t="s">
        <v>16</v>
      </c>
      <c r="O74" s="991"/>
      <c r="P74" s="156"/>
      <c r="Q74" s="985"/>
      <c r="R74" s="985"/>
      <c r="S74" s="985"/>
      <c r="T74" s="985"/>
      <c r="U74" s="985"/>
      <c r="V74" s="985"/>
      <c r="W74" s="985"/>
      <c r="X74" s="985"/>
    </row>
    <row r="75" spans="1:24" s="984" customFormat="1" ht="25.5">
      <c r="A75" s="156"/>
      <c r="B75" s="376" t="s">
        <v>31</v>
      </c>
      <c r="C75" s="1183"/>
      <c r="D75" s="1130">
        <f>D62+D63</f>
        <v>8</v>
      </c>
      <c r="E75" s="1130">
        <v>3</v>
      </c>
      <c r="F75" s="1204"/>
      <c r="G75" s="1183"/>
      <c r="H75" s="1184" t="s">
        <v>410</v>
      </c>
      <c r="I75" s="156"/>
      <c r="J75" s="109" t="s">
        <v>17</v>
      </c>
      <c r="K75" s="156"/>
      <c r="L75" s="1207">
        <f>E32</f>
        <v>0.224</v>
      </c>
      <c r="M75" s="1138"/>
      <c r="N75" s="156"/>
      <c r="O75" s="1017">
        <f>O73*L75</f>
        <v>150218.20672944625</v>
      </c>
      <c r="P75" s="156"/>
      <c r="Q75" s="985"/>
      <c r="R75" s="985"/>
      <c r="S75" s="985"/>
      <c r="T75" s="985"/>
      <c r="U75" s="985"/>
      <c r="V75" s="985"/>
      <c r="W75" s="985"/>
      <c r="X75" s="985"/>
    </row>
    <row r="76" spans="1:24" s="984" customFormat="1" ht="25.5">
      <c r="A76" s="156"/>
      <c r="B76" s="1185" t="s">
        <v>432</v>
      </c>
      <c r="C76" s="1186"/>
      <c r="D76" s="1130">
        <f>D64+D65</f>
        <v>3.25</v>
      </c>
      <c r="E76" s="1130">
        <v>3</v>
      </c>
      <c r="F76" s="1204"/>
      <c r="G76" s="1183"/>
      <c r="H76" s="1184" t="s">
        <v>431</v>
      </c>
      <c r="I76" s="156"/>
      <c r="J76" s="1018" t="s">
        <v>18</v>
      </c>
      <c r="K76" s="1019"/>
      <c r="L76" s="1019"/>
      <c r="M76" s="1019"/>
      <c r="N76" s="1020"/>
      <c r="O76" s="1021">
        <f>SUM(O73:O75)</f>
        <v>820835.20105733117</v>
      </c>
      <c r="P76" s="156"/>
      <c r="Q76" s="985"/>
      <c r="R76" s="985"/>
      <c r="S76" s="985"/>
      <c r="T76" s="985"/>
      <c r="U76" s="985"/>
      <c r="V76" s="985"/>
      <c r="W76" s="985"/>
      <c r="X76" s="985"/>
    </row>
    <row r="77" spans="1:24" s="984" customFormat="1" ht="12.75">
      <c r="A77" s="156"/>
      <c r="B77" s="376" t="s">
        <v>408</v>
      </c>
      <c r="C77" s="1183"/>
      <c r="D77" s="1130">
        <f>D69</f>
        <v>1</v>
      </c>
      <c r="E77" s="1130">
        <v>1</v>
      </c>
      <c r="F77" s="1204"/>
      <c r="G77" s="1183"/>
      <c r="H77" s="1184" t="s">
        <v>412</v>
      </c>
      <c r="I77" s="156"/>
      <c r="J77" s="995" t="s">
        <v>478</v>
      </c>
      <c r="K77" s="1012"/>
      <c r="L77" s="997" t="s">
        <v>19</v>
      </c>
      <c r="M77" s="997"/>
      <c r="N77" s="1139" t="s">
        <v>2</v>
      </c>
      <c r="O77" s="1140" t="s">
        <v>7</v>
      </c>
      <c r="P77" s="156"/>
      <c r="Q77" s="985"/>
      <c r="R77" s="985"/>
      <c r="S77" s="985"/>
      <c r="T77" s="985"/>
      <c r="U77" s="985"/>
      <c r="V77" s="985"/>
      <c r="W77" s="985"/>
      <c r="X77" s="985"/>
    </row>
    <row r="78" spans="1:24" s="984" customFormat="1" ht="12.75">
      <c r="A78" s="156"/>
      <c r="B78" s="111" t="s">
        <v>413</v>
      </c>
      <c r="C78" s="269"/>
      <c r="D78" s="156"/>
      <c r="E78" s="156"/>
      <c r="F78" s="1196"/>
      <c r="G78" s="156"/>
      <c r="H78" s="1147"/>
      <c r="I78" s="156"/>
      <c r="J78" s="121" t="s">
        <v>359</v>
      </c>
      <c r="K78" s="269"/>
      <c r="L78" s="1143">
        <f>E35</f>
        <v>135.32</v>
      </c>
      <c r="M78" s="1143"/>
      <c r="N78" s="1144">
        <v>55</v>
      </c>
      <c r="O78" s="1017">
        <f>N78*L78</f>
        <v>7442.5999999999995</v>
      </c>
      <c r="P78" s="156"/>
      <c r="Q78" s="985"/>
      <c r="R78" s="985"/>
      <c r="S78" s="985"/>
      <c r="T78" s="985"/>
      <c r="U78" s="985"/>
      <c r="V78" s="985"/>
      <c r="W78" s="985"/>
      <c r="X78" s="985"/>
    </row>
    <row r="79" spans="1:24" s="984" customFormat="1" ht="19.5" customHeight="1" thickBot="1">
      <c r="A79" s="156"/>
      <c r="B79" s="1165"/>
      <c r="C79" s="1612"/>
      <c r="D79" s="1052"/>
      <c r="E79" s="1052"/>
      <c r="F79" s="1613"/>
      <c r="G79" s="1052"/>
      <c r="H79" s="1611"/>
      <c r="I79" s="156"/>
      <c r="J79" s="121" t="s">
        <v>11</v>
      </c>
      <c r="K79" s="269"/>
      <c r="L79" s="1143">
        <f>E36</f>
        <v>56.166377419662432</v>
      </c>
      <c r="M79" s="1143"/>
      <c r="N79" s="1144">
        <v>55</v>
      </c>
      <c r="O79" s="1017">
        <f>N79*L79</f>
        <v>3089.1507580814337</v>
      </c>
      <c r="P79" s="156"/>
      <c r="Q79" s="985"/>
      <c r="R79" s="985"/>
      <c r="S79" s="985"/>
      <c r="T79" s="985"/>
      <c r="U79" s="985"/>
      <c r="V79" s="985"/>
      <c r="W79" s="985"/>
      <c r="X79" s="985"/>
    </row>
    <row r="80" spans="1:24" s="984" customFormat="1" ht="13.5" thickBot="1">
      <c r="A80" s="156"/>
      <c r="B80" s="2556" t="s">
        <v>414</v>
      </c>
      <c r="C80" s="2556"/>
      <c r="D80" s="2556"/>
      <c r="E80" s="2556"/>
      <c r="F80" s="2556"/>
      <c r="G80" s="2556"/>
      <c r="H80" s="2556"/>
      <c r="I80" s="156"/>
      <c r="J80" s="1018" t="s">
        <v>21</v>
      </c>
      <c r="K80" s="1148"/>
      <c r="L80" s="1148"/>
      <c r="M80" s="1148"/>
      <c r="N80" s="1148"/>
      <c r="O80" s="1021">
        <f>SUM(O78:O79)</f>
        <v>10531.750758081433</v>
      </c>
      <c r="P80" s="156"/>
      <c r="Q80" s="985"/>
      <c r="R80" s="985"/>
      <c r="S80" s="985"/>
      <c r="T80" s="985"/>
      <c r="U80" s="985"/>
      <c r="V80" s="985"/>
      <c r="W80" s="985"/>
      <c r="X80" s="985"/>
    </row>
    <row r="81" spans="1:24" s="984" customFormat="1" ht="12.75">
      <c r="A81" s="156"/>
      <c r="B81" s="2556"/>
      <c r="C81" s="2556"/>
      <c r="D81" s="2556"/>
      <c r="E81" s="2556"/>
      <c r="F81" s="2556"/>
      <c r="G81" s="2556"/>
      <c r="H81" s="2556"/>
      <c r="I81" s="156"/>
      <c r="J81" s="987" t="s">
        <v>367</v>
      </c>
      <c r="K81" s="1076"/>
      <c r="L81" s="988" t="s">
        <v>423</v>
      </c>
      <c r="M81" s="988" t="s">
        <v>368</v>
      </c>
      <c r="N81" s="988"/>
      <c r="O81" s="1149"/>
      <c r="P81" s="156"/>
      <c r="Q81" s="985"/>
      <c r="R81" s="985"/>
      <c r="S81" s="985"/>
      <c r="T81" s="985"/>
      <c r="U81" s="985"/>
      <c r="V81" s="985"/>
      <c r="W81" s="985"/>
      <c r="X81" s="985"/>
    </row>
    <row r="82" spans="1:24" s="984" customFormat="1" ht="12.75">
      <c r="A82" s="156"/>
      <c r="B82" s="2556"/>
      <c r="C82" s="2556"/>
      <c r="D82" s="2556"/>
      <c r="E82" s="2556"/>
      <c r="F82" s="2556"/>
      <c r="G82" s="2556"/>
      <c r="H82" s="2556"/>
      <c r="I82" s="156"/>
      <c r="J82" s="109" t="s">
        <v>440</v>
      </c>
      <c r="K82" s="156"/>
      <c r="L82" s="252">
        <f>E40</f>
        <v>25.218875750929723</v>
      </c>
      <c r="M82" s="156"/>
      <c r="N82" s="156"/>
      <c r="O82" s="1017">
        <f>L82*G70</f>
        <v>42745.994397825882</v>
      </c>
      <c r="P82" s="156"/>
      <c r="Q82" s="1092"/>
      <c r="R82" s="985"/>
      <c r="S82" s="985"/>
      <c r="T82" s="985"/>
      <c r="U82" s="985"/>
      <c r="V82" s="985"/>
      <c r="W82" s="985"/>
      <c r="X82" s="985"/>
    </row>
    <row r="83" spans="1:24" s="984" customFormat="1" ht="12.75">
      <c r="A83" s="156"/>
      <c r="B83" s="156"/>
      <c r="C83" s="156"/>
      <c r="D83" s="156"/>
      <c r="E83" s="156"/>
      <c r="F83" s="1196"/>
      <c r="G83" s="156"/>
      <c r="H83" s="1123"/>
      <c r="I83" s="156"/>
      <c r="J83" s="109" t="s">
        <v>441</v>
      </c>
      <c r="K83" s="156"/>
      <c r="L83" s="156"/>
      <c r="M83" s="89">
        <f>E41</f>
        <v>360</v>
      </c>
      <c r="N83" s="89"/>
      <c r="O83" s="1017">
        <f>M83*N73</f>
        <v>4590</v>
      </c>
      <c r="P83" s="156"/>
      <c r="Q83" s="1092"/>
      <c r="R83" s="985"/>
      <c r="S83" s="985"/>
      <c r="T83" s="985"/>
      <c r="U83" s="985"/>
      <c r="V83" s="985"/>
      <c r="W83" s="985"/>
      <c r="X83" s="985"/>
    </row>
    <row r="84" spans="1:24" s="984" customFormat="1" ht="12.75">
      <c r="A84" s="156"/>
      <c r="B84" s="156"/>
      <c r="C84" s="156"/>
      <c r="D84" s="156"/>
      <c r="E84" s="156"/>
      <c r="F84" s="1196"/>
      <c r="G84" s="156"/>
      <c r="H84" s="1123"/>
      <c r="I84" s="156"/>
      <c r="J84" s="109" t="s">
        <v>442</v>
      </c>
      <c r="K84" s="156"/>
      <c r="L84" s="156"/>
      <c r="M84" s="89">
        <v>103.77453955641882</v>
      </c>
      <c r="N84" s="89"/>
      <c r="O84" s="1017">
        <f>E42</f>
        <v>3323.0337560789549</v>
      </c>
      <c r="P84" s="156"/>
      <c r="Q84" s="985"/>
      <c r="R84" s="985"/>
      <c r="S84" s="985"/>
      <c r="T84" s="985"/>
      <c r="U84" s="985"/>
      <c r="V84" s="985"/>
      <c r="W84" s="985"/>
      <c r="X84" s="985"/>
    </row>
    <row r="85" spans="1:24" s="984" customFormat="1" ht="12.75">
      <c r="A85" s="156"/>
      <c r="B85" s="156"/>
      <c r="C85" s="156"/>
      <c r="D85" s="156"/>
      <c r="E85" s="156"/>
      <c r="F85" s="1196"/>
      <c r="G85" s="156"/>
      <c r="H85" s="1123"/>
      <c r="I85" s="156"/>
      <c r="J85" s="109" t="str">
        <f>B45</f>
        <v xml:space="preserve"> PFLMA Trust Contribution</v>
      </c>
      <c r="K85" s="156"/>
      <c r="L85" s="1213">
        <f>E45</f>
        <v>3.7000000000000002E-3</v>
      </c>
      <c r="M85" s="1206"/>
      <c r="N85" s="89"/>
      <c r="O85" s="1017">
        <f>O73*L85</f>
        <v>2481.2828790131744</v>
      </c>
      <c r="P85" s="156"/>
      <c r="Q85" s="985"/>
      <c r="R85" s="985"/>
      <c r="S85" s="985"/>
      <c r="T85" s="985"/>
      <c r="U85" s="985"/>
      <c r="V85" s="985"/>
      <c r="W85" s="985"/>
      <c r="X85" s="985"/>
    </row>
    <row r="86" spans="1:24" s="984" customFormat="1" ht="12.75">
      <c r="A86" s="156"/>
      <c r="B86" s="156"/>
      <c r="C86" s="156"/>
      <c r="D86" s="156"/>
      <c r="E86" s="156"/>
      <c r="F86" s="1196"/>
      <c r="G86" s="156"/>
      <c r="H86" s="1123"/>
      <c r="I86" s="156"/>
      <c r="J86" s="109" t="s">
        <v>443</v>
      </c>
      <c r="K86" s="156"/>
      <c r="L86" s="156"/>
      <c r="M86" s="89">
        <f>E43</f>
        <v>865.27937988417261</v>
      </c>
      <c r="N86" s="89"/>
      <c r="O86" s="1017">
        <f>M86*N73</f>
        <v>11032.3120935232</v>
      </c>
      <c r="P86" s="156"/>
      <c r="Q86" s="985"/>
      <c r="R86" s="985"/>
      <c r="S86" s="985"/>
      <c r="T86" s="985"/>
      <c r="U86" s="985"/>
      <c r="V86" s="985"/>
      <c r="W86" s="985"/>
      <c r="X86" s="985"/>
    </row>
    <row r="87" spans="1:24" s="984" customFormat="1" ht="12.75">
      <c r="A87" s="156"/>
      <c r="B87" s="156"/>
      <c r="C87" s="156"/>
      <c r="D87" s="156"/>
      <c r="E87" s="156"/>
      <c r="F87" s="1196"/>
      <c r="G87" s="156"/>
      <c r="H87" s="1123"/>
      <c r="I87" s="156"/>
      <c r="J87" s="109" t="s">
        <v>454</v>
      </c>
      <c r="K87" s="156"/>
      <c r="L87" s="156"/>
      <c r="M87" s="89">
        <f>E44</f>
        <v>642.72053101483573</v>
      </c>
      <c r="N87" s="89"/>
      <c r="O87" s="1017">
        <f>M87*N73</f>
        <v>8194.6867704391552</v>
      </c>
      <c r="P87" s="156"/>
      <c r="Q87" s="985"/>
      <c r="R87" s="985"/>
      <c r="S87" s="985"/>
      <c r="T87" s="985"/>
      <c r="U87" s="985"/>
      <c r="V87" s="985"/>
      <c r="W87" s="985"/>
      <c r="X87" s="985"/>
    </row>
    <row r="88" spans="1:24" s="984" customFormat="1" ht="12.75">
      <c r="A88" s="156"/>
      <c r="B88" s="156"/>
      <c r="C88" s="156"/>
      <c r="D88" s="156"/>
      <c r="E88" s="156"/>
      <c r="F88" s="1196"/>
      <c r="G88" s="156"/>
      <c r="H88" s="1123"/>
      <c r="I88" s="156"/>
      <c r="J88" s="1586" t="str">
        <f>J39</f>
        <v xml:space="preserve">  Cultural Facilitator</v>
      </c>
      <c r="K88" s="1608"/>
      <c r="L88" s="1609"/>
      <c r="M88" s="1610"/>
      <c r="N88" s="89"/>
      <c r="O88" s="1017">
        <f>O39</f>
        <v>26472</v>
      </c>
      <c r="P88" s="156"/>
      <c r="Q88" s="985"/>
      <c r="R88" s="985"/>
      <c r="S88" s="985"/>
      <c r="T88" s="985"/>
      <c r="U88" s="985"/>
      <c r="V88" s="985"/>
      <c r="W88" s="985"/>
      <c r="X88" s="985"/>
    </row>
    <row r="89" spans="1:24" s="984" customFormat="1" ht="12.75">
      <c r="A89" s="156"/>
      <c r="B89" s="156"/>
      <c r="C89" s="156"/>
      <c r="D89" s="156"/>
      <c r="E89" s="156"/>
      <c r="F89" s="1196"/>
      <c r="G89" s="156"/>
      <c r="H89" s="1123"/>
      <c r="I89" s="156"/>
      <c r="J89" s="995" t="s">
        <v>375</v>
      </c>
      <c r="K89" s="1012"/>
      <c r="L89" s="1012"/>
      <c r="M89" s="1012"/>
      <c r="N89" s="1154"/>
      <c r="O89" s="1155">
        <f>SUM(O82:O88)</f>
        <v>98839.309896880368</v>
      </c>
      <c r="P89" s="156"/>
      <c r="Q89" s="985"/>
      <c r="R89" s="985"/>
      <c r="S89" s="985"/>
      <c r="T89" s="985"/>
      <c r="U89" s="985"/>
      <c r="V89" s="985"/>
      <c r="W89" s="985"/>
      <c r="X89" s="985"/>
    </row>
    <row r="90" spans="1:24" s="984" customFormat="1" ht="12.75">
      <c r="A90" s="156"/>
      <c r="B90" s="156"/>
      <c r="C90" s="156"/>
      <c r="D90" s="156"/>
      <c r="E90" s="156"/>
      <c r="F90" s="1196"/>
      <c r="G90" s="156"/>
      <c r="H90" s="1123"/>
      <c r="I90" s="156"/>
      <c r="J90" s="1018" t="s">
        <v>377</v>
      </c>
      <c r="K90" s="1019"/>
      <c r="L90" s="1019"/>
      <c r="M90" s="1019"/>
      <c r="N90" s="1019"/>
      <c r="O90" s="1030">
        <f>O76+O80+O89</f>
        <v>930206.26171229302</v>
      </c>
      <c r="P90" s="156"/>
      <c r="Q90" s="985"/>
      <c r="R90" s="985"/>
      <c r="S90" s="985"/>
      <c r="T90" s="985"/>
      <c r="U90" s="985"/>
      <c r="V90" s="985"/>
      <c r="W90" s="985"/>
      <c r="X90" s="985"/>
    </row>
    <row r="91" spans="1:24" s="984" customFormat="1" ht="12.75">
      <c r="A91" s="156"/>
      <c r="B91" s="156"/>
      <c r="C91" s="156"/>
      <c r="D91" s="156"/>
      <c r="E91" s="156"/>
      <c r="F91" s="1196"/>
      <c r="G91" s="156"/>
      <c r="H91" s="1123"/>
      <c r="I91" s="156"/>
      <c r="J91" s="111" t="s">
        <v>376</v>
      </c>
      <c r="K91" s="156"/>
      <c r="L91" s="101" t="s">
        <v>369</v>
      </c>
      <c r="M91" s="101"/>
      <c r="N91" s="1031"/>
      <c r="O91" s="1032"/>
      <c r="P91" s="156"/>
      <c r="Q91" s="985"/>
      <c r="R91" s="985"/>
      <c r="S91" s="985"/>
      <c r="T91" s="985"/>
      <c r="U91" s="985"/>
      <c r="V91" s="985"/>
      <c r="W91" s="985"/>
      <c r="X91" s="985"/>
    </row>
    <row r="92" spans="1:24" s="984" customFormat="1" ht="12.75">
      <c r="A92" s="156"/>
      <c r="B92" s="156"/>
      <c r="C92" s="156"/>
      <c r="D92" s="156"/>
      <c r="E92" s="156"/>
      <c r="F92" s="1196"/>
      <c r="G92" s="156"/>
      <c r="H92" s="1123"/>
      <c r="I92" s="156"/>
      <c r="J92" s="1157" t="s">
        <v>24</v>
      </c>
      <c r="K92" s="1148"/>
      <c r="L92" s="1158">
        <v>0.12</v>
      </c>
      <c r="M92" s="1158"/>
      <c r="N92" s="1148"/>
      <c r="O92" s="1159">
        <f>O90*L92</f>
        <v>111624.75140547515</v>
      </c>
      <c r="P92" s="156"/>
      <c r="Q92" s="985"/>
      <c r="R92" s="985"/>
      <c r="S92" s="985"/>
      <c r="T92" s="985"/>
      <c r="U92" s="985"/>
      <c r="V92" s="985"/>
      <c r="W92" s="985"/>
      <c r="X92" s="985"/>
    </row>
    <row r="93" spans="1:24" s="985" customFormat="1" ht="12.75">
      <c r="B93" s="156"/>
      <c r="C93" s="156"/>
      <c r="D93" s="156"/>
      <c r="E93" s="156"/>
      <c r="F93" s="1196"/>
      <c r="G93" s="156"/>
      <c r="H93" s="1123"/>
      <c r="J93" s="111" t="s">
        <v>25</v>
      </c>
      <c r="K93" s="156"/>
      <c r="L93" s="39"/>
      <c r="M93" s="39"/>
      <c r="N93" s="156"/>
      <c r="O93" s="1150">
        <f>SUM(O90:O92)</f>
        <v>1041831.0131177682</v>
      </c>
    </row>
    <row r="94" spans="1:24" s="985" customFormat="1" ht="12.75">
      <c r="F94" s="933"/>
      <c r="H94" s="1187"/>
      <c r="J94" s="111" t="s">
        <v>26</v>
      </c>
      <c r="K94" s="269"/>
      <c r="L94" s="1211">
        <f>E48</f>
        <v>1.7780248869661817E-2</v>
      </c>
      <c r="M94" s="1163"/>
      <c r="N94" s="269"/>
      <c r="O94" s="1164">
        <f>O93+(O93*L94)-(O73*L94)</f>
        <v>1048431.2907557596</v>
      </c>
    </row>
    <row r="95" spans="1:24" s="985" customFormat="1" ht="13.5" thickBot="1">
      <c r="F95" s="933"/>
      <c r="H95" s="1187"/>
      <c r="J95" s="1165" t="s">
        <v>479</v>
      </c>
      <c r="K95" s="1052"/>
      <c r="L95" s="1052"/>
      <c r="M95" s="1052"/>
      <c r="N95" s="1054"/>
      <c r="O95" s="1166">
        <f>O94/K53</f>
        <v>28.72414495221259</v>
      </c>
    </row>
    <row r="96" spans="1:24" s="985" customFormat="1" ht="15">
      <c r="F96" s="933"/>
      <c r="H96" s="1187"/>
      <c r="J96" s="1188"/>
      <c r="K96" s="1189"/>
      <c r="L96" s="1189"/>
      <c r="M96" s="1189"/>
      <c r="N96" s="1170" t="s">
        <v>783</v>
      </c>
      <c r="O96" s="1171">
        <v>27.89</v>
      </c>
    </row>
    <row r="97" spans="6:15" s="985" customFormat="1">
      <c r="F97" s="933"/>
      <c r="H97" s="1187"/>
      <c r="J97" s="1190"/>
      <c r="K97" s="1190"/>
      <c r="L97" s="1190"/>
      <c r="M97" s="1190"/>
      <c r="N97" s="1170" t="s">
        <v>784</v>
      </c>
      <c r="O97" s="1174">
        <f>(O95-O96)/O96</f>
        <v>2.9908388390555391E-2</v>
      </c>
    </row>
    <row r="98" spans="6:15" s="985" customFormat="1">
      <c r="F98" s="933"/>
      <c r="H98" s="1187"/>
      <c r="J98" s="1190"/>
      <c r="K98" s="1190"/>
      <c r="L98" s="1190"/>
      <c r="M98" s="1190"/>
      <c r="N98" s="1190"/>
      <c r="O98" s="1190"/>
    </row>
    <row r="99" spans="6:15" s="985" customFormat="1">
      <c r="F99" s="933"/>
      <c r="H99" s="1187"/>
      <c r="J99" s="1190"/>
      <c r="K99" s="1190"/>
      <c r="L99" s="1190"/>
      <c r="M99" s="1190"/>
      <c r="N99" s="1190"/>
      <c r="O99" s="1190"/>
    </row>
    <row r="100" spans="6:15" s="985" customFormat="1">
      <c r="F100" s="933"/>
      <c r="H100" s="1187"/>
      <c r="J100" s="1190"/>
      <c r="K100" s="1190"/>
      <c r="L100" s="1190"/>
      <c r="M100" s="1190"/>
      <c r="N100" s="1190"/>
      <c r="O100" s="1190"/>
    </row>
    <row r="101" spans="6:15" s="985" customFormat="1">
      <c r="F101" s="933"/>
      <c r="H101" s="1187"/>
      <c r="J101" s="1190"/>
      <c r="K101" s="1190"/>
      <c r="L101" s="1190"/>
      <c r="M101" s="1190"/>
      <c r="N101" s="1190"/>
      <c r="O101" s="1190"/>
    </row>
    <row r="102" spans="6:15" s="985" customFormat="1">
      <c r="F102" s="933"/>
      <c r="H102" s="1187"/>
      <c r="J102" s="1190"/>
      <c r="K102" s="1190"/>
      <c r="L102" s="1190"/>
      <c r="M102" s="1190"/>
      <c r="N102" s="1190"/>
      <c r="O102" s="1190"/>
    </row>
    <row r="103" spans="6:15" s="985" customFormat="1">
      <c r="F103" s="933"/>
      <c r="H103" s="1187"/>
      <c r="J103" s="1190"/>
      <c r="K103" s="1190"/>
      <c r="L103" s="1190"/>
      <c r="M103" s="1190"/>
      <c r="N103" s="1190"/>
      <c r="O103" s="1190"/>
    </row>
    <row r="104" spans="6:15" s="985" customFormat="1">
      <c r="F104" s="933"/>
      <c r="H104" s="1187"/>
      <c r="J104" s="1190"/>
      <c r="K104" s="1190"/>
      <c r="L104" s="1190"/>
      <c r="M104" s="1190"/>
      <c r="N104" s="1190"/>
      <c r="O104" s="1190"/>
    </row>
    <row r="105" spans="6:15" s="985" customFormat="1">
      <c r="F105" s="933"/>
      <c r="H105" s="1187"/>
      <c r="J105" s="1190"/>
      <c r="K105" s="1190"/>
      <c r="L105" s="1190"/>
      <c r="M105" s="1190"/>
      <c r="N105" s="1190"/>
      <c r="O105" s="1190"/>
    </row>
    <row r="106" spans="6:15" s="985" customFormat="1">
      <c r="F106" s="933"/>
      <c r="H106" s="1187"/>
      <c r="J106" s="1190"/>
      <c r="K106" s="1190"/>
      <c r="L106" s="1190"/>
      <c r="M106" s="1190"/>
      <c r="N106" s="1190"/>
      <c r="O106" s="1190"/>
    </row>
    <row r="107" spans="6:15" s="985" customFormat="1">
      <c r="F107" s="933"/>
      <c r="H107" s="1187"/>
      <c r="J107" s="1190"/>
      <c r="K107" s="1190"/>
      <c r="L107" s="1190"/>
      <c r="M107" s="1190"/>
      <c r="N107" s="1190"/>
      <c r="O107" s="1190"/>
    </row>
    <row r="108" spans="6:15" s="985" customFormat="1">
      <c r="F108" s="933"/>
      <c r="H108" s="1187"/>
      <c r="J108" s="1190"/>
      <c r="K108" s="1190"/>
      <c r="L108" s="1190"/>
      <c r="M108" s="1190"/>
      <c r="N108" s="1190"/>
      <c r="O108" s="1190"/>
    </row>
    <row r="109" spans="6:15" s="985" customFormat="1">
      <c r="F109" s="933"/>
      <c r="H109" s="1187"/>
      <c r="J109" s="1190"/>
      <c r="K109" s="1190"/>
      <c r="L109" s="1190"/>
      <c r="M109" s="1190"/>
      <c r="N109" s="1190"/>
      <c r="O109" s="1190"/>
    </row>
    <row r="110" spans="6:15" s="985" customFormat="1">
      <c r="F110" s="933"/>
      <c r="H110" s="1187"/>
      <c r="J110" s="1190"/>
      <c r="K110" s="1190"/>
      <c r="L110" s="1190"/>
      <c r="M110" s="1190"/>
      <c r="N110" s="1190"/>
      <c r="O110" s="1190"/>
    </row>
    <row r="111" spans="6:15" s="985" customFormat="1">
      <c r="F111" s="933"/>
      <c r="H111" s="1187"/>
      <c r="J111" s="1190"/>
      <c r="K111" s="1190"/>
      <c r="L111" s="1190"/>
      <c r="M111" s="1190"/>
      <c r="N111" s="1190"/>
      <c r="O111" s="1190"/>
    </row>
    <row r="112" spans="6:15" s="985" customFormat="1">
      <c r="F112" s="933"/>
      <c r="H112" s="1187"/>
      <c r="J112" s="1190"/>
      <c r="K112" s="1190"/>
      <c r="L112" s="1190"/>
      <c r="M112" s="1190"/>
      <c r="N112" s="1190"/>
      <c r="O112" s="1190"/>
    </row>
    <row r="113" spans="6:15" s="985" customFormat="1">
      <c r="F113" s="933"/>
      <c r="H113" s="1187"/>
      <c r="J113" s="1190"/>
      <c r="K113" s="1190"/>
      <c r="L113" s="1190"/>
      <c r="M113" s="1190"/>
      <c r="N113" s="1190"/>
      <c r="O113" s="1190"/>
    </row>
    <row r="114" spans="6:15" s="985" customFormat="1">
      <c r="F114" s="933"/>
      <c r="H114" s="1187"/>
      <c r="J114" s="1190"/>
      <c r="K114" s="1190"/>
      <c r="L114" s="1190"/>
      <c r="M114" s="1190"/>
      <c r="N114" s="1190"/>
      <c r="O114" s="1190"/>
    </row>
    <row r="115" spans="6:15" s="985" customFormat="1">
      <c r="F115" s="933"/>
      <c r="H115" s="1187"/>
      <c r="J115" s="1190"/>
      <c r="K115" s="1190"/>
      <c r="L115" s="1190"/>
      <c r="M115" s="1190"/>
      <c r="N115" s="1190"/>
      <c r="O115" s="1190"/>
    </row>
    <row r="116" spans="6:15" s="985" customFormat="1">
      <c r="F116" s="933"/>
      <c r="H116" s="1187"/>
      <c r="J116" s="1190"/>
      <c r="K116" s="1190"/>
      <c r="L116" s="1190"/>
      <c r="M116" s="1190"/>
      <c r="N116" s="1190"/>
      <c r="O116" s="1190"/>
    </row>
    <row r="117" spans="6:15" s="985" customFormat="1">
      <c r="F117" s="933"/>
      <c r="H117" s="1187"/>
      <c r="J117" s="1190"/>
      <c r="K117" s="1190"/>
      <c r="L117" s="1190"/>
      <c r="M117" s="1190"/>
      <c r="N117" s="1190"/>
      <c r="O117" s="1190"/>
    </row>
    <row r="118" spans="6:15" s="985" customFormat="1">
      <c r="F118" s="933"/>
      <c r="H118" s="1187"/>
      <c r="J118" s="1190"/>
      <c r="K118" s="1190"/>
      <c r="L118" s="1190"/>
      <c r="M118" s="1190"/>
      <c r="N118" s="1190"/>
      <c r="O118" s="1190"/>
    </row>
    <row r="119" spans="6:15" s="985" customFormat="1">
      <c r="F119" s="933"/>
      <c r="H119" s="1187"/>
      <c r="J119" s="1190"/>
      <c r="K119" s="1190"/>
      <c r="L119" s="1190"/>
      <c r="M119" s="1190"/>
      <c r="N119" s="1190"/>
      <c r="O119" s="1190"/>
    </row>
    <row r="120" spans="6:15" s="985" customFormat="1">
      <c r="F120" s="933"/>
      <c r="H120" s="1187"/>
      <c r="J120" s="1190"/>
      <c r="K120" s="1190"/>
      <c r="L120" s="1190"/>
      <c r="M120" s="1190"/>
      <c r="N120" s="1190"/>
      <c r="O120" s="1190"/>
    </row>
    <row r="121" spans="6:15" s="985" customFormat="1">
      <c r="F121" s="933"/>
      <c r="H121" s="1187"/>
      <c r="J121" s="1190"/>
      <c r="K121" s="1190"/>
      <c r="L121" s="1190"/>
      <c r="M121" s="1190"/>
      <c r="N121" s="1190"/>
      <c r="O121" s="1190"/>
    </row>
    <row r="122" spans="6:15" s="985" customFormat="1">
      <c r="F122" s="933"/>
      <c r="H122" s="1187"/>
      <c r="J122" s="1190"/>
      <c r="K122" s="1190"/>
      <c r="L122" s="1190"/>
      <c r="M122" s="1190"/>
      <c r="N122" s="1190"/>
      <c r="O122" s="1190"/>
    </row>
    <row r="123" spans="6:15" s="985" customFormat="1">
      <c r="F123" s="933"/>
      <c r="H123" s="1187"/>
      <c r="J123" s="1190"/>
      <c r="K123" s="1190"/>
      <c r="L123" s="1190"/>
      <c r="M123" s="1190"/>
      <c r="N123" s="1190"/>
      <c r="O123" s="1190"/>
    </row>
    <row r="124" spans="6:15" s="985" customFormat="1">
      <c r="F124" s="933"/>
      <c r="H124" s="1187"/>
      <c r="J124" s="1190"/>
      <c r="K124" s="1190"/>
      <c r="L124" s="1190"/>
      <c r="M124" s="1190"/>
      <c r="N124" s="1190"/>
      <c r="O124" s="1190"/>
    </row>
    <row r="125" spans="6:15" s="985" customFormat="1">
      <c r="F125" s="933"/>
      <c r="H125" s="1187"/>
      <c r="J125" s="1190"/>
      <c r="K125" s="1190"/>
      <c r="L125" s="1190"/>
      <c r="M125" s="1190"/>
      <c r="N125" s="1190"/>
      <c r="O125" s="1190"/>
    </row>
    <row r="126" spans="6:15" s="985" customFormat="1">
      <c r="F126" s="933"/>
      <c r="H126" s="1187"/>
      <c r="J126" s="1190"/>
      <c r="K126" s="1190"/>
      <c r="L126" s="1190"/>
      <c r="M126" s="1190"/>
      <c r="N126" s="1190"/>
      <c r="O126" s="1190"/>
    </row>
    <row r="127" spans="6:15" s="985" customFormat="1">
      <c r="F127" s="933"/>
      <c r="H127" s="1187"/>
      <c r="J127" s="1190"/>
      <c r="K127" s="1190"/>
      <c r="L127" s="1190"/>
      <c r="M127" s="1190"/>
      <c r="N127" s="1190"/>
      <c r="O127" s="1190"/>
    </row>
    <row r="128" spans="6:15" s="985" customFormat="1">
      <c r="F128" s="933"/>
      <c r="H128" s="1187"/>
      <c r="J128" s="1190"/>
      <c r="K128" s="1190"/>
      <c r="L128" s="1190"/>
      <c r="M128" s="1190"/>
      <c r="N128" s="1190"/>
      <c r="O128" s="1190"/>
    </row>
    <row r="129" spans="6:15" s="985" customFormat="1">
      <c r="F129" s="933"/>
      <c r="H129" s="1187"/>
      <c r="J129" s="1190"/>
      <c r="K129" s="1190"/>
      <c r="L129" s="1190"/>
      <c r="M129" s="1190"/>
      <c r="N129" s="1190"/>
      <c r="O129" s="1190"/>
    </row>
    <row r="130" spans="6:15" s="985" customFormat="1">
      <c r="F130" s="933"/>
      <c r="H130" s="1187"/>
      <c r="J130" s="1190"/>
      <c r="K130" s="1190"/>
      <c r="L130" s="1190"/>
      <c r="M130" s="1190"/>
      <c r="N130" s="1190"/>
      <c r="O130" s="1190"/>
    </row>
    <row r="131" spans="6:15" s="985" customFormat="1">
      <c r="F131" s="933"/>
      <c r="H131" s="1187"/>
      <c r="J131" s="1190"/>
      <c r="K131" s="1190"/>
      <c r="L131" s="1190"/>
      <c r="M131" s="1190"/>
      <c r="N131" s="1190"/>
      <c r="O131" s="1190"/>
    </row>
    <row r="132" spans="6:15" s="985" customFormat="1">
      <c r="F132" s="933"/>
      <c r="H132" s="1187"/>
      <c r="J132" s="1190"/>
      <c r="K132" s="1190"/>
      <c r="L132" s="1190"/>
      <c r="M132" s="1190"/>
      <c r="N132" s="1190"/>
      <c r="O132" s="1190"/>
    </row>
    <row r="133" spans="6:15" s="985" customFormat="1">
      <c r="F133" s="933"/>
      <c r="H133" s="1187"/>
      <c r="J133" s="1190"/>
      <c r="K133" s="1190"/>
      <c r="L133" s="1190"/>
      <c r="M133" s="1190"/>
      <c r="N133" s="1190"/>
      <c r="O133" s="1190"/>
    </row>
    <row r="134" spans="6:15" s="985" customFormat="1">
      <c r="F134" s="933"/>
      <c r="H134" s="1187"/>
      <c r="J134" s="1190"/>
      <c r="K134" s="1190"/>
      <c r="L134" s="1190"/>
      <c r="M134" s="1190"/>
      <c r="N134" s="1190"/>
      <c r="O134" s="1190"/>
    </row>
    <row r="135" spans="6:15" s="985" customFormat="1">
      <c r="F135" s="933"/>
      <c r="H135" s="1187"/>
      <c r="J135" s="1190"/>
      <c r="K135" s="1190"/>
      <c r="L135" s="1190"/>
      <c r="M135" s="1190"/>
      <c r="N135" s="1190"/>
      <c r="O135" s="1190"/>
    </row>
    <row r="136" spans="6:15" s="985" customFormat="1">
      <c r="F136" s="933"/>
      <c r="H136" s="1187"/>
      <c r="J136" s="1190"/>
      <c r="K136" s="1190"/>
      <c r="L136" s="1190"/>
      <c r="M136" s="1190"/>
      <c r="N136" s="1190"/>
      <c r="O136" s="1190"/>
    </row>
    <row r="137" spans="6:15" s="985" customFormat="1">
      <c r="F137" s="933"/>
      <c r="H137" s="1187"/>
      <c r="J137" s="1190"/>
      <c r="K137" s="1190"/>
      <c r="L137" s="1190"/>
      <c r="M137" s="1190"/>
      <c r="N137" s="1190"/>
      <c r="O137" s="1190"/>
    </row>
    <row r="138" spans="6:15" s="985" customFormat="1">
      <c r="F138" s="933"/>
      <c r="H138" s="1187"/>
      <c r="J138" s="1190"/>
      <c r="K138" s="1190"/>
      <c r="L138" s="1190"/>
      <c r="M138" s="1190"/>
      <c r="N138" s="1190"/>
      <c r="O138" s="1190"/>
    </row>
    <row r="139" spans="6:15" s="985" customFormat="1">
      <c r="F139" s="933"/>
      <c r="H139" s="1187"/>
      <c r="J139" s="1190"/>
      <c r="K139" s="1190"/>
      <c r="L139" s="1190"/>
      <c r="M139" s="1190"/>
      <c r="N139" s="1190"/>
      <c r="O139" s="1190"/>
    </row>
    <row r="140" spans="6:15" s="985" customFormat="1">
      <c r="F140" s="933"/>
      <c r="H140" s="1187"/>
      <c r="J140" s="1190"/>
      <c r="K140" s="1190"/>
      <c r="L140" s="1190"/>
      <c r="M140" s="1190"/>
      <c r="N140" s="1190"/>
      <c r="O140" s="1190"/>
    </row>
    <row r="141" spans="6:15" s="985" customFormat="1">
      <c r="F141" s="933"/>
      <c r="H141" s="1187"/>
      <c r="J141" s="1190"/>
      <c r="K141" s="1190"/>
      <c r="L141" s="1190"/>
      <c r="M141" s="1190"/>
      <c r="N141" s="1190"/>
      <c r="O141" s="1190"/>
    </row>
    <row r="142" spans="6:15" s="985" customFormat="1">
      <c r="F142" s="933"/>
      <c r="H142" s="1187"/>
      <c r="J142" s="1190"/>
      <c r="K142" s="1190"/>
      <c r="L142" s="1190"/>
      <c r="M142" s="1190"/>
      <c r="N142" s="1190"/>
      <c r="O142" s="1190"/>
    </row>
    <row r="143" spans="6:15" s="985" customFormat="1">
      <c r="F143" s="933"/>
      <c r="H143" s="1187"/>
      <c r="J143" s="1190"/>
      <c r="K143" s="1190"/>
      <c r="L143" s="1190"/>
      <c r="M143" s="1190"/>
      <c r="N143" s="1190"/>
      <c r="O143" s="1190"/>
    </row>
    <row r="144" spans="6:15" s="985" customFormat="1">
      <c r="F144" s="933"/>
      <c r="H144" s="1187"/>
      <c r="J144" s="1190"/>
      <c r="K144" s="1190"/>
      <c r="L144" s="1190"/>
      <c r="M144" s="1190"/>
      <c r="N144" s="1190"/>
      <c r="O144" s="1190"/>
    </row>
    <row r="145" spans="6:15" s="985" customFormat="1">
      <c r="F145" s="933"/>
      <c r="H145" s="1187"/>
      <c r="J145" s="1190"/>
      <c r="K145" s="1190"/>
      <c r="L145" s="1190"/>
      <c r="M145" s="1190"/>
      <c r="N145" s="1190"/>
      <c r="O145" s="1190"/>
    </row>
    <row r="146" spans="6:15" s="985" customFormat="1">
      <c r="F146" s="933"/>
      <c r="H146" s="1187"/>
      <c r="J146" s="1190"/>
      <c r="K146" s="1190"/>
      <c r="L146" s="1190"/>
      <c r="M146" s="1190"/>
      <c r="N146" s="1190"/>
      <c r="O146" s="1190"/>
    </row>
    <row r="147" spans="6:15" s="985" customFormat="1">
      <c r="F147" s="933"/>
      <c r="H147" s="1187"/>
      <c r="J147" s="1190"/>
      <c r="K147" s="1190"/>
      <c r="L147" s="1190"/>
      <c r="M147" s="1190"/>
      <c r="N147" s="1190"/>
      <c r="O147" s="1190"/>
    </row>
    <row r="148" spans="6:15" s="985" customFormat="1">
      <c r="F148" s="933"/>
      <c r="H148" s="1187"/>
      <c r="J148" s="1190"/>
      <c r="K148" s="1190"/>
      <c r="L148" s="1190"/>
      <c r="M148" s="1190"/>
      <c r="N148" s="1190"/>
      <c r="O148" s="1190"/>
    </row>
    <row r="149" spans="6:15" s="985" customFormat="1">
      <c r="F149" s="933"/>
      <c r="H149" s="1187"/>
      <c r="J149" s="1190"/>
      <c r="K149" s="1190"/>
      <c r="L149" s="1190"/>
      <c r="M149" s="1190"/>
      <c r="N149" s="1190"/>
      <c r="O149" s="1190"/>
    </row>
    <row r="150" spans="6:15" s="985" customFormat="1">
      <c r="F150" s="933"/>
      <c r="H150" s="1187"/>
      <c r="J150" s="1190"/>
      <c r="K150" s="1190"/>
      <c r="L150" s="1190"/>
      <c r="M150" s="1190"/>
      <c r="N150" s="1190"/>
      <c r="O150" s="1190"/>
    </row>
    <row r="151" spans="6:15" s="985" customFormat="1">
      <c r="F151" s="933"/>
      <c r="H151" s="1187"/>
      <c r="J151" s="1190"/>
      <c r="K151" s="1190"/>
      <c r="L151" s="1190"/>
      <c r="M151" s="1190"/>
      <c r="N151" s="1190"/>
      <c r="O151" s="1190"/>
    </row>
    <row r="152" spans="6:15" s="985" customFormat="1">
      <c r="F152" s="933"/>
      <c r="H152" s="1187"/>
      <c r="J152" s="1190"/>
      <c r="K152" s="1190"/>
      <c r="L152" s="1190"/>
      <c r="M152" s="1190"/>
      <c r="N152" s="1190"/>
      <c r="O152" s="1190"/>
    </row>
    <row r="153" spans="6:15" s="985" customFormat="1">
      <c r="F153" s="933"/>
      <c r="H153" s="1187"/>
      <c r="J153" s="1190"/>
      <c r="K153" s="1190"/>
      <c r="L153" s="1190"/>
      <c r="M153" s="1190"/>
      <c r="N153" s="1190"/>
      <c r="O153" s="1190"/>
    </row>
    <row r="154" spans="6:15" s="985" customFormat="1">
      <c r="F154" s="933"/>
      <c r="H154" s="1187"/>
      <c r="J154" s="1190"/>
      <c r="K154" s="1190"/>
      <c r="L154" s="1190"/>
      <c r="M154" s="1190"/>
      <c r="N154" s="1190"/>
      <c r="O154" s="1190"/>
    </row>
    <row r="155" spans="6:15" s="985" customFormat="1">
      <c r="F155" s="933"/>
      <c r="H155" s="1187"/>
      <c r="J155" s="1190"/>
      <c r="K155" s="1190"/>
      <c r="L155" s="1190"/>
      <c r="M155" s="1190"/>
      <c r="N155" s="1190"/>
      <c r="O155" s="1190"/>
    </row>
    <row r="156" spans="6:15" s="985" customFormat="1">
      <c r="F156" s="933"/>
      <c r="H156" s="1187"/>
      <c r="J156" s="1190"/>
      <c r="K156" s="1190"/>
      <c r="L156" s="1190"/>
      <c r="M156" s="1190"/>
      <c r="N156" s="1190"/>
      <c r="O156" s="1190"/>
    </row>
    <row r="157" spans="6:15" s="985" customFormat="1">
      <c r="F157" s="933"/>
      <c r="H157" s="1187"/>
      <c r="J157" s="1190"/>
      <c r="K157" s="1190"/>
      <c r="L157" s="1190"/>
      <c r="M157" s="1190"/>
      <c r="N157" s="1190"/>
      <c r="O157" s="1190"/>
    </row>
    <row r="158" spans="6:15" s="985" customFormat="1">
      <c r="F158" s="933"/>
      <c r="H158" s="1187"/>
      <c r="J158" s="1190"/>
      <c r="K158" s="1190"/>
      <c r="L158" s="1190"/>
      <c r="M158" s="1190"/>
      <c r="N158" s="1190"/>
      <c r="O158" s="1190"/>
    </row>
    <row r="159" spans="6:15" s="985" customFormat="1">
      <c r="F159" s="933"/>
      <c r="H159" s="1187"/>
      <c r="J159" s="1190"/>
      <c r="K159" s="1190"/>
      <c r="L159" s="1190"/>
      <c r="M159" s="1190"/>
      <c r="N159" s="1190"/>
      <c r="O159" s="1190"/>
    </row>
    <row r="160" spans="6:15" s="985" customFormat="1">
      <c r="F160" s="933"/>
      <c r="H160" s="1187"/>
      <c r="J160" s="1190"/>
      <c r="K160" s="1190"/>
      <c r="L160" s="1190"/>
      <c r="M160" s="1190"/>
      <c r="N160" s="1190"/>
      <c r="O160" s="1190"/>
    </row>
    <row r="161" spans="6:15" s="985" customFormat="1">
      <c r="F161" s="933"/>
      <c r="H161" s="1187"/>
      <c r="J161" s="1190"/>
      <c r="K161" s="1190"/>
      <c r="L161" s="1190"/>
      <c r="M161" s="1190"/>
      <c r="N161" s="1190"/>
      <c r="O161" s="1190"/>
    </row>
    <row r="162" spans="6:15" s="985" customFormat="1">
      <c r="F162" s="933"/>
      <c r="H162" s="1187"/>
      <c r="J162" s="1190"/>
      <c r="K162" s="1190"/>
      <c r="L162" s="1190"/>
      <c r="M162" s="1190"/>
      <c r="N162" s="1190"/>
      <c r="O162" s="1190"/>
    </row>
    <row r="163" spans="6:15" s="985" customFormat="1">
      <c r="F163" s="933"/>
      <c r="H163" s="1187"/>
      <c r="J163" s="1190"/>
      <c r="K163" s="1190"/>
      <c r="L163" s="1190"/>
      <c r="M163" s="1190"/>
      <c r="N163" s="1190"/>
      <c r="O163" s="1190"/>
    </row>
    <row r="164" spans="6:15" s="985" customFormat="1">
      <c r="F164" s="933"/>
      <c r="H164" s="1187"/>
      <c r="J164" s="1190"/>
      <c r="K164" s="1190"/>
      <c r="L164" s="1190"/>
      <c r="M164" s="1190"/>
      <c r="N164" s="1190"/>
      <c r="O164" s="1190"/>
    </row>
    <row r="165" spans="6:15" s="985" customFormat="1">
      <c r="F165" s="933"/>
      <c r="H165" s="1187"/>
      <c r="J165" s="1190"/>
      <c r="K165" s="1190"/>
      <c r="L165" s="1190"/>
      <c r="M165" s="1190"/>
      <c r="N165" s="1190"/>
      <c r="O165" s="1190"/>
    </row>
    <row r="166" spans="6:15" s="985" customFormat="1">
      <c r="F166" s="933"/>
      <c r="H166" s="1187"/>
      <c r="J166" s="1190"/>
      <c r="K166" s="1190"/>
      <c r="L166" s="1190"/>
      <c r="M166" s="1190"/>
      <c r="N166" s="1190"/>
      <c r="O166" s="1190"/>
    </row>
    <row r="167" spans="6:15" s="985" customFormat="1">
      <c r="F167" s="933"/>
      <c r="H167" s="1187"/>
      <c r="J167" s="1190"/>
      <c r="K167" s="1190"/>
      <c r="L167" s="1190"/>
      <c r="M167" s="1190"/>
      <c r="N167" s="1190"/>
      <c r="O167" s="1190"/>
    </row>
    <row r="168" spans="6:15" s="985" customFormat="1">
      <c r="F168" s="933"/>
      <c r="H168" s="1187"/>
      <c r="J168" s="1190"/>
      <c r="K168" s="1190"/>
      <c r="L168" s="1190"/>
      <c r="M168" s="1190"/>
      <c r="N168" s="1190"/>
      <c r="O168" s="1190"/>
    </row>
    <row r="169" spans="6:15" s="985" customFormat="1">
      <c r="F169" s="933"/>
      <c r="H169" s="1187"/>
      <c r="J169" s="1190"/>
      <c r="K169" s="1190"/>
      <c r="L169" s="1190"/>
      <c r="M169" s="1190"/>
      <c r="N169" s="1190"/>
      <c r="O169" s="1190"/>
    </row>
    <row r="170" spans="6:15" s="985" customFormat="1">
      <c r="F170" s="933"/>
      <c r="H170" s="1187"/>
      <c r="J170" s="1190"/>
      <c r="K170" s="1190"/>
      <c r="L170" s="1190"/>
      <c r="M170" s="1190"/>
      <c r="N170" s="1190"/>
      <c r="O170" s="1190"/>
    </row>
    <row r="171" spans="6:15" s="985" customFormat="1">
      <c r="F171" s="933"/>
      <c r="H171" s="1187"/>
      <c r="J171" s="1190"/>
      <c r="K171" s="1190"/>
      <c r="L171" s="1190"/>
      <c r="M171" s="1190"/>
      <c r="N171" s="1190"/>
      <c r="O171" s="1190"/>
    </row>
    <row r="172" spans="6:15" s="985" customFormat="1">
      <c r="F172" s="933"/>
      <c r="H172" s="1187"/>
      <c r="J172" s="1190"/>
      <c r="K172" s="1190"/>
      <c r="L172" s="1190"/>
      <c r="M172" s="1190"/>
      <c r="N172" s="1190"/>
      <c r="O172" s="1190"/>
    </row>
    <row r="173" spans="6:15" s="985" customFormat="1">
      <c r="F173" s="933"/>
      <c r="H173" s="1187"/>
      <c r="J173" s="1190"/>
      <c r="K173" s="1190"/>
      <c r="L173" s="1190"/>
      <c r="M173" s="1190"/>
      <c r="N173" s="1190"/>
      <c r="O173" s="1190"/>
    </row>
    <row r="174" spans="6:15" s="985" customFormat="1">
      <c r="F174" s="933"/>
      <c r="H174" s="1187"/>
      <c r="J174" s="1190"/>
      <c r="K174" s="1190"/>
      <c r="L174" s="1190"/>
      <c r="M174" s="1190"/>
      <c r="N174" s="1190"/>
      <c r="O174" s="1190"/>
    </row>
    <row r="175" spans="6:15" s="985" customFormat="1">
      <c r="F175" s="933"/>
      <c r="H175" s="1187"/>
      <c r="J175" s="1190"/>
      <c r="K175" s="1190"/>
      <c r="L175" s="1190"/>
      <c r="M175" s="1190"/>
      <c r="N175" s="1190"/>
      <c r="O175" s="1190"/>
    </row>
    <row r="176" spans="6:15" s="985" customFormat="1">
      <c r="F176" s="933"/>
      <c r="H176" s="1187"/>
      <c r="J176" s="1190"/>
      <c r="K176" s="1190"/>
      <c r="L176" s="1190"/>
      <c r="M176" s="1190"/>
      <c r="N176" s="1190"/>
      <c r="O176" s="1190"/>
    </row>
    <row r="177" spans="6:15" s="985" customFormat="1">
      <c r="F177" s="933"/>
      <c r="H177" s="1187"/>
      <c r="J177" s="1190"/>
      <c r="K177" s="1190"/>
      <c r="L177" s="1190"/>
      <c r="M177" s="1190"/>
      <c r="N177" s="1190"/>
      <c r="O177" s="1190"/>
    </row>
    <row r="178" spans="6:15" s="985" customFormat="1">
      <c r="F178" s="933"/>
      <c r="H178" s="1187"/>
      <c r="J178" s="1190"/>
      <c r="K178" s="1190"/>
      <c r="L178" s="1190"/>
      <c r="M178" s="1190"/>
      <c r="N178" s="1190"/>
      <c r="O178" s="1190"/>
    </row>
    <row r="179" spans="6:15" s="985" customFormat="1">
      <c r="F179" s="933"/>
      <c r="H179" s="1187"/>
      <c r="J179" s="1190"/>
      <c r="K179" s="1190"/>
      <c r="L179" s="1190"/>
      <c r="M179" s="1190"/>
      <c r="N179" s="1190"/>
      <c r="O179" s="1190"/>
    </row>
    <row r="180" spans="6:15" s="985" customFormat="1">
      <c r="F180" s="933"/>
      <c r="H180" s="1187"/>
      <c r="J180" s="1190"/>
      <c r="K180" s="1190"/>
      <c r="L180" s="1190"/>
      <c r="M180" s="1190"/>
      <c r="N180" s="1190"/>
      <c r="O180" s="1190"/>
    </row>
    <row r="181" spans="6:15" s="985" customFormat="1">
      <c r="F181" s="933"/>
      <c r="H181" s="1187"/>
      <c r="J181" s="1190"/>
      <c r="K181" s="1190"/>
      <c r="L181" s="1190"/>
      <c r="M181" s="1190"/>
      <c r="N181" s="1190"/>
      <c r="O181" s="1190"/>
    </row>
    <row r="182" spans="6:15" s="985" customFormat="1">
      <c r="F182" s="933"/>
      <c r="H182" s="1187"/>
      <c r="J182" s="1190"/>
      <c r="K182" s="1190"/>
      <c r="L182" s="1190"/>
      <c r="M182" s="1190"/>
      <c r="N182" s="1190"/>
      <c r="O182" s="1190"/>
    </row>
    <row r="183" spans="6:15" s="985" customFormat="1">
      <c r="F183" s="933"/>
      <c r="H183" s="1187"/>
      <c r="J183" s="1190"/>
      <c r="K183" s="1190"/>
      <c r="L183" s="1190"/>
      <c r="M183" s="1190"/>
      <c r="N183" s="1190"/>
      <c r="O183" s="1190"/>
    </row>
    <row r="184" spans="6:15" s="985" customFormat="1">
      <c r="F184" s="933"/>
      <c r="H184" s="1187"/>
      <c r="J184" s="1190"/>
      <c r="K184" s="1190"/>
      <c r="L184" s="1190"/>
      <c r="M184" s="1190"/>
      <c r="N184" s="1190"/>
      <c r="O184" s="1190"/>
    </row>
    <row r="185" spans="6:15" s="985" customFormat="1">
      <c r="F185" s="933"/>
      <c r="H185" s="1187"/>
      <c r="J185" s="1190"/>
      <c r="K185" s="1190"/>
      <c r="L185" s="1190"/>
      <c r="M185" s="1190"/>
      <c r="N185" s="1190"/>
      <c r="O185" s="1190"/>
    </row>
    <row r="186" spans="6:15" s="985" customFormat="1">
      <c r="F186" s="933"/>
      <c r="H186" s="1187"/>
      <c r="J186" s="1190"/>
      <c r="K186" s="1190"/>
      <c r="L186" s="1190"/>
      <c r="M186" s="1190"/>
      <c r="N186" s="1190"/>
      <c r="O186" s="1190"/>
    </row>
    <row r="187" spans="6:15" s="985" customFormat="1">
      <c r="F187" s="933"/>
      <c r="H187" s="1187"/>
      <c r="J187" s="1190"/>
      <c r="K187" s="1190"/>
      <c r="L187" s="1190"/>
      <c r="M187" s="1190"/>
      <c r="N187" s="1190"/>
      <c r="O187" s="1190"/>
    </row>
    <row r="188" spans="6:15" s="985" customFormat="1">
      <c r="F188" s="933"/>
      <c r="H188" s="1187"/>
      <c r="J188" s="1190"/>
      <c r="K188" s="1190"/>
      <c r="L188" s="1190"/>
      <c r="M188" s="1190"/>
      <c r="N188" s="1190"/>
      <c r="O188" s="1190"/>
    </row>
    <row r="189" spans="6:15" s="985" customFormat="1">
      <c r="F189" s="933"/>
      <c r="H189" s="1187"/>
      <c r="J189" s="1190"/>
      <c r="K189" s="1190"/>
      <c r="L189" s="1190"/>
      <c r="M189" s="1190"/>
      <c r="N189" s="1190"/>
      <c r="O189" s="1190"/>
    </row>
    <row r="190" spans="6:15" s="985" customFormat="1">
      <c r="F190" s="933"/>
      <c r="H190" s="1187"/>
      <c r="J190" s="1190"/>
      <c r="K190" s="1190"/>
      <c r="L190" s="1190"/>
      <c r="M190" s="1190"/>
      <c r="N190" s="1190"/>
      <c r="O190" s="1190"/>
    </row>
    <row r="191" spans="6:15" s="985" customFormat="1">
      <c r="F191" s="933"/>
      <c r="H191" s="1187"/>
      <c r="J191" s="1190"/>
      <c r="K191" s="1190"/>
      <c r="L191" s="1190"/>
      <c r="M191" s="1190"/>
      <c r="N191" s="1190"/>
      <c r="O191" s="1190"/>
    </row>
    <row r="192" spans="6:15" s="985" customFormat="1">
      <c r="F192" s="933"/>
      <c r="H192" s="1187"/>
      <c r="J192" s="1190"/>
      <c r="K192" s="1190"/>
      <c r="L192" s="1190"/>
      <c r="M192" s="1190"/>
      <c r="N192" s="1190"/>
      <c r="O192" s="1190"/>
    </row>
    <row r="193" spans="6:15" s="985" customFormat="1">
      <c r="F193" s="933"/>
      <c r="H193" s="1187"/>
      <c r="J193" s="1190"/>
      <c r="K193" s="1190"/>
      <c r="L193" s="1190"/>
      <c r="M193" s="1190"/>
      <c r="N193" s="1190"/>
      <c r="O193" s="1190"/>
    </row>
    <row r="194" spans="6:15" s="985" customFormat="1">
      <c r="F194" s="933"/>
      <c r="H194" s="1187"/>
      <c r="J194" s="1190"/>
      <c r="K194" s="1190"/>
      <c r="L194" s="1190"/>
      <c r="M194" s="1190"/>
      <c r="N194" s="1190"/>
      <c r="O194" s="1190"/>
    </row>
    <row r="195" spans="6:15" s="985" customFormat="1">
      <c r="F195" s="933"/>
      <c r="H195" s="1187"/>
      <c r="J195" s="1190"/>
      <c r="K195" s="1190"/>
      <c r="L195" s="1190"/>
      <c r="M195" s="1190"/>
      <c r="N195" s="1190"/>
      <c r="O195" s="1190"/>
    </row>
    <row r="196" spans="6:15" s="985" customFormat="1">
      <c r="F196" s="933"/>
      <c r="H196" s="1187"/>
      <c r="J196" s="1190"/>
      <c r="K196" s="1190"/>
      <c r="L196" s="1190"/>
      <c r="M196" s="1190"/>
      <c r="N196" s="1190"/>
      <c r="O196" s="1190"/>
    </row>
    <row r="197" spans="6:15" s="985" customFormat="1">
      <c r="F197" s="933"/>
      <c r="H197" s="1187"/>
      <c r="J197" s="1190"/>
      <c r="K197" s="1190"/>
      <c r="L197" s="1190"/>
      <c r="M197" s="1190"/>
      <c r="N197" s="1190"/>
      <c r="O197" s="1190"/>
    </row>
    <row r="198" spans="6:15" s="985" customFormat="1">
      <c r="F198" s="933"/>
      <c r="H198" s="1187"/>
      <c r="J198" s="1190"/>
      <c r="K198" s="1190"/>
      <c r="L198" s="1190"/>
      <c r="M198" s="1190"/>
      <c r="N198" s="1190"/>
      <c r="O198" s="1190"/>
    </row>
    <row r="199" spans="6:15" s="985" customFormat="1">
      <c r="F199" s="933"/>
      <c r="H199" s="1187"/>
      <c r="J199" s="1190"/>
      <c r="K199" s="1190"/>
      <c r="L199" s="1190"/>
      <c r="M199" s="1190"/>
      <c r="N199" s="1190"/>
      <c r="O199" s="1190"/>
    </row>
    <row r="200" spans="6:15" s="985" customFormat="1">
      <c r="F200" s="933"/>
      <c r="H200" s="1187"/>
      <c r="J200" s="1190"/>
      <c r="K200" s="1190"/>
      <c r="L200" s="1190"/>
      <c r="M200" s="1190"/>
      <c r="N200" s="1190"/>
      <c r="O200" s="1190"/>
    </row>
    <row r="201" spans="6:15" s="985" customFormat="1">
      <c r="F201" s="933"/>
      <c r="H201" s="1187"/>
      <c r="J201" s="1190"/>
      <c r="K201" s="1190"/>
      <c r="L201" s="1190"/>
      <c r="M201" s="1190"/>
      <c r="N201" s="1190"/>
      <c r="O201" s="1190"/>
    </row>
    <row r="202" spans="6:15" s="985" customFormat="1">
      <c r="F202" s="933"/>
      <c r="H202" s="1187"/>
      <c r="J202" s="1190"/>
      <c r="K202" s="1190"/>
      <c r="L202" s="1190"/>
      <c r="M202" s="1190"/>
      <c r="N202" s="1190"/>
      <c r="O202" s="1190"/>
    </row>
    <row r="203" spans="6:15" s="985" customFormat="1">
      <c r="F203" s="933"/>
      <c r="H203" s="1187"/>
      <c r="J203" s="1190"/>
      <c r="K203" s="1190"/>
      <c r="L203" s="1190"/>
      <c r="M203" s="1190"/>
      <c r="N203" s="1190"/>
      <c r="O203" s="1190"/>
    </row>
    <row r="204" spans="6:15" s="985" customFormat="1">
      <c r="F204" s="933"/>
      <c r="H204" s="1187"/>
      <c r="J204" s="1190"/>
      <c r="K204" s="1190"/>
      <c r="L204" s="1190"/>
      <c r="M204" s="1190"/>
      <c r="N204" s="1190"/>
      <c r="O204" s="1190"/>
    </row>
    <row r="205" spans="6:15" s="985" customFormat="1">
      <c r="F205" s="933"/>
      <c r="H205" s="1187"/>
      <c r="J205" s="1190"/>
      <c r="K205" s="1190"/>
      <c r="L205" s="1190"/>
      <c r="M205" s="1190"/>
      <c r="N205" s="1190"/>
      <c r="O205" s="1190"/>
    </row>
    <row r="206" spans="6:15" s="985" customFormat="1">
      <c r="F206" s="933"/>
      <c r="H206" s="1187"/>
      <c r="J206" s="1190"/>
      <c r="K206" s="1190"/>
      <c r="L206" s="1190"/>
      <c r="M206" s="1190"/>
      <c r="N206" s="1190"/>
      <c r="O206" s="1190"/>
    </row>
    <row r="207" spans="6:15" s="985" customFormat="1">
      <c r="F207" s="933"/>
      <c r="H207" s="1187"/>
      <c r="J207" s="1190"/>
      <c r="K207" s="1190"/>
      <c r="L207" s="1190"/>
      <c r="M207" s="1190"/>
      <c r="N207" s="1190"/>
      <c r="O207" s="1190"/>
    </row>
    <row r="208" spans="6:15" s="985" customFormat="1">
      <c r="F208" s="933"/>
      <c r="H208" s="1187"/>
      <c r="J208" s="1190"/>
      <c r="K208" s="1190"/>
      <c r="L208" s="1190"/>
      <c r="M208" s="1190"/>
      <c r="N208" s="1190"/>
      <c r="O208" s="1190"/>
    </row>
    <row r="209" spans="6:15" s="985" customFormat="1">
      <c r="F209" s="933"/>
      <c r="H209" s="1187"/>
      <c r="J209" s="1190"/>
      <c r="K209" s="1190"/>
      <c r="L209" s="1190"/>
      <c r="M209" s="1190"/>
      <c r="N209" s="1190"/>
      <c r="O209" s="1190"/>
    </row>
    <row r="210" spans="6:15" s="985" customFormat="1">
      <c r="F210" s="933"/>
      <c r="H210" s="1187"/>
      <c r="J210" s="1190"/>
      <c r="K210" s="1190"/>
      <c r="L210" s="1190"/>
      <c r="M210" s="1190"/>
      <c r="N210" s="1190"/>
      <c r="O210" s="1190"/>
    </row>
    <row r="211" spans="6:15" s="985" customFormat="1">
      <c r="F211" s="933"/>
      <c r="H211" s="1187"/>
      <c r="J211" s="1190"/>
      <c r="K211" s="1190"/>
      <c r="L211" s="1190"/>
      <c r="M211" s="1190"/>
      <c r="N211" s="1190"/>
      <c r="O211" s="1190"/>
    </row>
    <row r="212" spans="6:15" s="985" customFormat="1">
      <c r="F212" s="933"/>
      <c r="H212" s="1187"/>
      <c r="J212" s="1190"/>
      <c r="K212" s="1190"/>
      <c r="L212" s="1190"/>
      <c r="M212" s="1190"/>
      <c r="N212" s="1190"/>
      <c r="O212" s="1190"/>
    </row>
    <row r="213" spans="6:15" s="985" customFormat="1">
      <c r="F213" s="933"/>
      <c r="H213" s="1187"/>
      <c r="J213" s="1190"/>
      <c r="K213" s="1190"/>
      <c r="L213" s="1190"/>
      <c r="M213" s="1190"/>
      <c r="N213" s="1190"/>
      <c r="O213" s="1190"/>
    </row>
    <row r="214" spans="6:15" s="985" customFormat="1">
      <c r="F214" s="933"/>
      <c r="H214" s="1187"/>
      <c r="J214" s="1190"/>
      <c r="K214" s="1190"/>
      <c r="L214" s="1190"/>
      <c r="M214" s="1190"/>
      <c r="N214" s="1190"/>
      <c r="O214" s="1190"/>
    </row>
    <row r="215" spans="6:15" s="985" customFormat="1">
      <c r="F215" s="933"/>
      <c r="H215" s="1187"/>
      <c r="J215" s="1190"/>
      <c r="K215" s="1190"/>
      <c r="L215" s="1190"/>
      <c r="M215" s="1190"/>
      <c r="N215" s="1190"/>
      <c r="O215" s="1190"/>
    </row>
    <row r="216" spans="6:15" s="985" customFormat="1">
      <c r="F216" s="933"/>
      <c r="H216" s="1187"/>
      <c r="J216" s="1190"/>
      <c r="K216" s="1190"/>
      <c r="L216" s="1190"/>
      <c r="M216" s="1190"/>
      <c r="N216" s="1190"/>
      <c r="O216" s="1190"/>
    </row>
    <row r="217" spans="6:15" s="985" customFormat="1">
      <c r="F217" s="933"/>
      <c r="H217" s="1187"/>
      <c r="J217" s="1190"/>
      <c r="K217" s="1190"/>
      <c r="L217" s="1190"/>
      <c r="M217" s="1190"/>
      <c r="N217" s="1190"/>
      <c r="O217" s="1190"/>
    </row>
    <row r="218" spans="6:15" s="985" customFormat="1">
      <c r="F218" s="933"/>
      <c r="H218" s="1187"/>
      <c r="J218" s="1190"/>
      <c r="K218" s="1190"/>
      <c r="L218" s="1190"/>
      <c r="M218" s="1190"/>
      <c r="N218" s="1190"/>
      <c r="O218" s="1190"/>
    </row>
    <row r="219" spans="6:15" s="985" customFormat="1">
      <c r="F219" s="933"/>
      <c r="H219" s="1187"/>
      <c r="J219" s="1190"/>
      <c r="K219" s="1190"/>
      <c r="L219" s="1190"/>
      <c r="M219" s="1190"/>
      <c r="N219" s="1190"/>
      <c r="O219" s="1190"/>
    </row>
    <row r="220" spans="6:15" s="985" customFormat="1">
      <c r="F220" s="933"/>
      <c r="H220" s="1187"/>
      <c r="J220" s="1190"/>
      <c r="K220" s="1190"/>
      <c r="L220" s="1190"/>
      <c r="M220" s="1190"/>
      <c r="N220" s="1190"/>
      <c r="O220" s="1190"/>
    </row>
    <row r="221" spans="6:15" s="985" customFormat="1">
      <c r="F221" s="933"/>
      <c r="H221" s="1187"/>
      <c r="J221" s="1190"/>
      <c r="K221" s="1190"/>
      <c r="L221" s="1190"/>
      <c r="M221" s="1190"/>
      <c r="N221" s="1190"/>
      <c r="O221" s="1190"/>
    </row>
    <row r="222" spans="6:15" s="985" customFormat="1">
      <c r="F222" s="933"/>
      <c r="H222" s="1187"/>
      <c r="J222" s="1190"/>
      <c r="K222" s="1190"/>
      <c r="L222" s="1190"/>
      <c r="M222" s="1190"/>
      <c r="N222" s="1190"/>
      <c r="O222" s="1190"/>
    </row>
    <row r="223" spans="6:15" s="985" customFormat="1">
      <c r="F223" s="933"/>
      <c r="H223" s="1187"/>
      <c r="J223" s="1190"/>
      <c r="K223" s="1190"/>
      <c r="L223" s="1190"/>
      <c r="M223" s="1190"/>
      <c r="N223" s="1190"/>
      <c r="O223" s="1190"/>
    </row>
    <row r="224" spans="6:15" s="985" customFormat="1">
      <c r="F224" s="933"/>
      <c r="H224" s="1187"/>
      <c r="J224" s="1190"/>
      <c r="K224" s="1190"/>
      <c r="L224" s="1190"/>
      <c r="M224" s="1190"/>
      <c r="N224" s="1190"/>
      <c r="O224" s="1190"/>
    </row>
    <row r="225" spans="6:15" s="985" customFormat="1">
      <c r="F225" s="933"/>
      <c r="H225" s="1187"/>
      <c r="J225" s="1190"/>
      <c r="K225" s="1190"/>
      <c r="L225" s="1190"/>
      <c r="M225" s="1190"/>
      <c r="N225" s="1190"/>
      <c r="O225" s="1190"/>
    </row>
    <row r="226" spans="6:15" s="985" customFormat="1">
      <c r="F226" s="933"/>
      <c r="H226" s="1187"/>
      <c r="J226" s="1190"/>
      <c r="K226" s="1190"/>
      <c r="L226" s="1190"/>
      <c r="M226" s="1190"/>
      <c r="N226" s="1190"/>
      <c r="O226" s="1190"/>
    </row>
    <row r="227" spans="6:15" s="985" customFormat="1">
      <c r="F227" s="933"/>
      <c r="H227" s="1187"/>
      <c r="J227" s="1190"/>
      <c r="K227" s="1190"/>
      <c r="L227" s="1190"/>
      <c r="M227" s="1190"/>
      <c r="N227" s="1190"/>
      <c r="O227" s="1190"/>
    </row>
    <row r="228" spans="6:15" s="985" customFormat="1">
      <c r="F228" s="933"/>
      <c r="H228" s="1187"/>
      <c r="J228" s="1190"/>
      <c r="K228" s="1190"/>
      <c r="L228" s="1190"/>
      <c r="M228" s="1190"/>
      <c r="N228" s="1190"/>
      <c r="O228" s="1190"/>
    </row>
    <row r="229" spans="6:15" s="985" customFormat="1">
      <c r="F229" s="933"/>
      <c r="H229" s="1187"/>
      <c r="J229" s="1190"/>
      <c r="K229" s="1190"/>
      <c r="L229" s="1190"/>
      <c r="M229" s="1190"/>
      <c r="N229" s="1190"/>
      <c r="O229" s="1190"/>
    </row>
    <row r="230" spans="6:15" s="985" customFormat="1">
      <c r="F230" s="933"/>
      <c r="H230" s="1187"/>
      <c r="J230" s="1190"/>
      <c r="K230" s="1190"/>
      <c r="L230" s="1190"/>
      <c r="M230" s="1190"/>
      <c r="N230" s="1190"/>
      <c r="O230" s="1190"/>
    </row>
    <row r="231" spans="6:15" s="985" customFormat="1">
      <c r="F231" s="933"/>
      <c r="H231" s="1187"/>
      <c r="J231" s="1190"/>
      <c r="K231" s="1190"/>
      <c r="L231" s="1190"/>
      <c r="M231" s="1190"/>
      <c r="N231" s="1190"/>
      <c r="O231" s="1190"/>
    </row>
    <row r="232" spans="6:15" s="985" customFormat="1">
      <c r="F232" s="933"/>
      <c r="H232" s="1187"/>
      <c r="J232" s="1190"/>
      <c r="K232" s="1190"/>
      <c r="L232" s="1190"/>
      <c r="M232" s="1190"/>
      <c r="N232" s="1190"/>
      <c r="O232" s="1190"/>
    </row>
    <row r="233" spans="6:15" s="985" customFormat="1">
      <c r="F233" s="933"/>
      <c r="H233" s="1187"/>
      <c r="J233" s="1190"/>
      <c r="K233" s="1190"/>
      <c r="L233" s="1190"/>
      <c r="M233" s="1190"/>
      <c r="N233" s="1190"/>
      <c r="O233" s="1190"/>
    </row>
    <row r="234" spans="6:15" s="985" customFormat="1">
      <c r="F234" s="933"/>
      <c r="H234" s="1187"/>
      <c r="J234" s="1190"/>
      <c r="K234" s="1190"/>
      <c r="L234" s="1190"/>
      <c r="M234" s="1190"/>
      <c r="N234" s="1190"/>
      <c r="O234" s="1190"/>
    </row>
    <row r="235" spans="6:15" s="985" customFormat="1">
      <c r="F235" s="933"/>
      <c r="H235" s="1187"/>
      <c r="J235" s="1190"/>
      <c r="K235" s="1190"/>
      <c r="L235" s="1190"/>
      <c r="M235" s="1190"/>
      <c r="N235" s="1190"/>
      <c r="O235" s="1190"/>
    </row>
    <row r="236" spans="6:15" s="985" customFormat="1">
      <c r="F236" s="933"/>
      <c r="H236" s="1187"/>
      <c r="J236" s="1190"/>
      <c r="K236" s="1190"/>
      <c r="L236" s="1190"/>
      <c r="M236" s="1190"/>
      <c r="N236" s="1190"/>
      <c r="O236" s="1190"/>
    </row>
    <row r="237" spans="6:15" s="985" customFormat="1">
      <c r="F237" s="933"/>
      <c r="H237" s="1187"/>
      <c r="J237" s="1190"/>
      <c r="K237" s="1190"/>
      <c r="L237" s="1190"/>
      <c r="M237" s="1190"/>
      <c r="N237" s="1190"/>
      <c r="O237" s="1190"/>
    </row>
    <row r="238" spans="6:15" s="985" customFormat="1">
      <c r="F238" s="933"/>
      <c r="H238" s="1187"/>
      <c r="J238" s="1190"/>
      <c r="K238" s="1190"/>
      <c r="L238" s="1190"/>
      <c r="M238" s="1190"/>
      <c r="N238" s="1190"/>
      <c r="O238" s="1190"/>
    </row>
    <row r="239" spans="6:15" s="985" customFormat="1">
      <c r="F239" s="933"/>
      <c r="H239" s="1187"/>
      <c r="J239" s="1190"/>
      <c r="K239" s="1190"/>
      <c r="L239" s="1190"/>
      <c r="M239" s="1190"/>
      <c r="N239" s="1190"/>
      <c r="O239" s="1190"/>
    </row>
    <row r="240" spans="6:15" s="985" customFormat="1">
      <c r="F240" s="933"/>
      <c r="H240" s="1187"/>
      <c r="J240" s="1190"/>
      <c r="K240" s="1190"/>
      <c r="L240" s="1190"/>
      <c r="M240" s="1190"/>
      <c r="N240" s="1190"/>
      <c r="O240" s="1190"/>
    </row>
    <row r="241" spans="6:15" s="985" customFormat="1">
      <c r="F241" s="933"/>
      <c r="H241" s="1187"/>
      <c r="J241" s="1190"/>
      <c r="K241" s="1190"/>
      <c r="L241" s="1190"/>
      <c r="M241" s="1190"/>
      <c r="N241" s="1190"/>
      <c r="O241" s="1190"/>
    </row>
    <row r="242" spans="6:15" s="985" customFormat="1">
      <c r="F242" s="933"/>
      <c r="H242" s="1187"/>
      <c r="J242" s="1190"/>
      <c r="K242" s="1190"/>
      <c r="L242" s="1190"/>
      <c r="M242" s="1190"/>
      <c r="N242" s="1190"/>
      <c r="O242" s="1190"/>
    </row>
    <row r="243" spans="6:15" s="985" customFormat="1">
      <c r="F243" s="933"/>
      <c r="H243" s="1187"/>
      <c r="J243" s="1190"/>
      <c r="K243" s="1190"/>
      <c r="L243" s="1190"/>
      <c r="M243" s="1190"/>
      <c r="N243" s="1190"/>
      <c r="O243" s="1190"/>
    </row>
    <row r="244" spans="6:15" s="985" customFormat="1">
      <c r="F244" s="933"/>
      <c r="H244" s="1187"/>
      <c r="J244" s="1190"/>
      <c r="K244" s="1190"/>
      <c r="L244" s="1190"/>
      <c r="M244" s="1190"/>
      <c r="N244" s="1190"/>
      <c r="O244" s="1190"/>
    </row>
    <row r="245" spans="6:15" s="985" customFormat="1">
      <c r="F245" s="933"/>
      <c r="H245" s="1187"/>
      <c r="J245" s="1190"/>
      <c r="K245" s="1190"/>
      <c r="L245" s="1190"/>
      <c r="M245" s="1190"/>
      <c r="N245" s="1190"/>
      <c r="O245" s="1190"/>
    </row>
    <row r="246" spans="6:15" s="985" customFormat="1">
      <c r="F246" s="933"/>
      <c r="H246" s="1187"/>
      <c r="J246" s="1190"/>
      <c r="K246" s="1190"/>
      <c r="L246" s="1190"/>
      <c r="M246" s="1190"/>
      <c r="N246" s="1190"/>
      <c r="O246" s="1190"/>
    </row>
    <row r="247" spans="6:15" s="985" customFormat="1">
      <c r="F247" s="933"/>
      <c r="H247" s="1187"/>
      <c r="J247" s="1190"/>
      <c r="K247" s="1190"/>
      <c r="L247" s="1190"/>
      <c r="M247" s="1190"/>
      <c r="N247" s="1190"/>
      <c r="O247" s="1190"/>
    </row>
    <row r="248" spans="6:15" s="985" customFormat="1">
      <c r="F248" s="933"/>
      <c r="H248" s="1187"/>
      <c r="J248" s="1190"/>
      <c r="K248" s="1190"/>
      <c r="L248" s="1190"/>
      <c r="M248" s="1190"/>
      <c r="N248" s="1190"/>
      <c r="O248" s="1190"/>
    </row>
    <row r="249" spans="6:15" s="985" customFormat="1">
      <c r="F249" s="933"/>
      <c r="H249" s="1187"/>
      <c r="J249" s="1190"/>
      <c r="K249" s="1190"/>
      <c r="L249" s="1190"/>
      <c r="M249" s="1190"/>
      <c r="N249" s="1190"/>
      <c r="O249" s="1190"/>
    </row>
    <row r="250" spans="6:15" s="985" customFormat="1">
      <c r="F250" s="933"/>
      <c r="H250" s="1187"/>
      <c r="J250" s="1190"/>
      <c r="K250" s="1190"/>
      <c r="L250" s="1190"/>
      <c r="M250" s="1190"/>
      <c r="N250" s="1190"/>
      <c r="O250" s="1190"/>
    </row>
    <row r="251" spans="6:15" s="985" customFormat="1">
      <c r="F251" s="933"/>
      <c r="H251" s="1187"/>
      <c r="J251" s="1190"/>
      <c r="K251" s="1190"/>
      <c r="L251" s="1190"/>
      <c r="M251" s="1190"/>
      <c r="N251" s="1190"/>
      <c r="O251" s="1190"/>
    </row>
    <row r="252" spans="6:15" s="985" customFormat="1">
      <c r="F252" s="933"/>
      <c r="H252" s="1187"/>
      <c r="J252" s="1190"/>
      <c r="K252" s="1190"/>
      <c r="L252" s="1190"/>
      <c r="M252" s="1190"/>
      <c r="N252" s="1190"/>
      <c r="O252" s="1190"/>
    </row>
    <row r="253" spans="6:15" s="985" customFormat="1">
      <c r="F253" s="933"/>
      <c r="H253" s="1187"/>
      <c r="J253" s="1190"/>
      <c r="K253" s="1190"/>
      <c r="L253" s="1190"/>
      <c r="M253" s="1190"/>
      <c r="N253" s="1190"/>
      <c r="O253" s="1190"/>
    </row>
    <row r="254" spans="6:15" s="985" customFormat="1">
      <c r="F254" s="933"/>
      <c r="H254" s="1187"/>
      <c r="J254" s="1190"/>
      <c r="K254" s="1190"/>
      <c r="L254" s="1190"/>
      <c r="M254" s="1190"/>
      <c r="N254" s="1190"/>
      <c r="O254" s="1190"/>
    </row>
    <row r="255" spans="6:15" s="985" customFormat="1">
      <c r="F255" s="933"/>
      <c r="H255" s="1187"/>
      <c r="J255" s="1190"/>
      <c r="K255" s="1190"/>
      <c r="L255" s="1190"/>
      <c r="M255" s="1190"/>
      <c r="N255" s="1190"/>
      <c r="O255" s="1190"/>
    </row>
    <row r="256" spans="6:15" s="985" customFormat="1">
      <c r="F256" s="933"/>
      <c r="H256" s="1187"/>
      <c r="J256" s="1190"/>
      <c r="K256" s="1190"/>
      <c r="L256" s="1190"/>
      <c r="M256" s="1190"/>
      <c r="N256" s="1190"/>
      <c r="O256" s="1190"/>
    </row>
    <row r="257" spans="6:15" s="985" customFormat="1">
      <c r="F257" s="933"/>
      <c r="H257" s="1187"/>
      <c r="J257" s="1190"/>
      <c r="K257" s="1190"/>
      <c r="L257" s="1190"/>
      <c r="M257" s="1190"/>
      <c r="N257" s="1190"/>
      <c r="O257" s="1190"/>
    </row>
    <row r="258" spans="6:15" s="985" customFormat="1">
      <c r="F258" s="933"/>
      <c r="H258" s="1187"/>
      <c r="J258" s="1190"/>
      <c r="K258" s="1190"/>
      <c r="L258" s="1190"/>
      <c r="M258" s="1190"/>
      <c r="N258" s="1190"/>
      <c r="O258" s="1190"/>
    </row>
    <row r="259" spans="6:15" s="985" customFormat="1">
      <c r="F259" s="933"/>
      <c r="H259" s="1187"/>
      <c r="J259" s="1190"/>
      <c r="K259" s="1190"/>
      <c r="L259" s="1190"/>
      <c r="M259" s="1190"/>
      <c r="N259" s="1190"/>
      <c r="O259" s="1190"/>
    </row>
    <row r="260" spans="6:15" s="985" customFormat="1">
      <c r="F260" s="933"/>
      <c r="H260" s="1187"/>
      <c r="J260" s="1190"/>
      <c r="K260" s="1190"/>
      <c r="L260" s="1190"/>
      <c r="M260" s="1190"/>
      <c r="N260" s="1190"/>
      <c r="O260" s="1190"/>
    </row>
    <row r="261" spans="6:15" s="985" customFormat="1">
      <c r="F261" s="933"/>
      <c r="H261" s="1187"/>
      <c r="J261" s="1190"/>
      <c r="K261" s="1190"/>
      <c r="L261" s="1190"/>
      <c r="M261" s="1190"/>
      <c r="N261" s="1190"/>
      <c r="O261" s="1190"/>
    </row>
    <row r="262" spans="6:15" s="985" customFormat="1">
      <c r="F262" s="933"/>
      <c r="H262" s="1187"/>
      <c r="J262" s="1190"/>
      <c r="K262" s="1190"/>
      <c r="L262" s="1190"/>
      <c r="M262" s="1190"/>
      <c r="N262" s="1190"/>
      <c r="O262" s="1190"/>
    </row>
    <row r="263" spans="6:15" s="985" customFormat="1">
      <c r="F263" s="933"/>
      <c r="H263" s="1187"/>
      <c r="J263" s="1190"/>
      <c r="K263" s="1190"/>
      <c r="L263" s="1190"/>
      <c r="M263" s="1190"/>
      <c r="N263" s="1190"/>
      <c r="O263" s="1190"/>
    </row>
    <row r="264" spans="6:15" s="985" customFormat="1">
      <c r="F264" s="933"/>
      <c r="H264" s="1187"/>
      <c r="J264" s="1190"/>
      <c r="K264" s="1190"/>
      <c r="L264" s="1190"/>
      <c r="M264" s="1190"/>
      <c r="N264" s="1190"/>
      <c r="O264" s="1190"/>
    </row>
    <row r="265" spans="6:15" s="985" customFormat="1">
      <c r="F265" s="933"/>
      <c r="H265" s="1187"/>
      <c r="J265" s="1190"/>
      <c r="K265" s="1190"/>
      <c r="L265" s="1190"/>
      <c r="M265" s="1190"/>
      <c r="N265" s="1190"/>
      <c r="O265" s="1190"/>
    </row>
    <row r="266" spans="6:15" s="985" customFormat="1">
      <c r="F266" s="933"/>
      <c r="H266" s="1187"/>
      <c r="J266" s="1190"/>
      <c r="K266" s="1190"/>
      <c r="L266" s="1190"/>
      <c r="M266" s="1190"/>
      <c r="N266" s="1190"/>
      <c r="O266" s="1190"/>
    </row>
    <row r="267" spans="6:15" s="985" customFormat="1">
      <c r="F267" s="933"/>
      <c r="H267" s="1187"/>
      <c r="J267" s="1190"/>
      <c r="K267" s="1190"/>
      <c r="L267" s="1190"/>
      <c r="M267" s="1190"/>
      <c r="N267" s="1190"/>
      <c r="O267" s="1190"/>
    </row>
    <row r="268" spans="6:15" s="985" customFormat="1">
      <c r="F268" s="933"/>
      <c r="H268" s="1187"/>
      <c r="J268" s="1190"/>
      <c r="K268" s="1190"/>
      <c r="L268" s="1190"/>
      <c r="M268" s="1190"/>
      <c r="N268" s="1190"/>
      <c r="O268" s="1190"/>
    </row>
    <row r="269" spans="6:15" s="985" customFormat="1">
      <c r="F269" s="933"/>
      <c r="H269" s="1187"/>
      <c r="J269" s="1190"/>
      <c r="K269" s="1190"/>
      <c r="L269" s="1190"/>
      <c r="M269" s="1190"/>
      <c r="N269" s="1190"/>
      <c r="O269" s="1190"/>
    </row>
    <row r="270" spans="6:15" s="985" customFormat="1">
      <c r="F270" s="933"/>
      <c r="H270" s="1187"/>
      <c r="J270" s="1190"/>
      <c r="K270" s="1190"/>
      <c r="L270" s="1190"/>
      <c r="M270" s="1190"/>
      <c r="N270" s="1190"/>
      <c r="O270" s="1190"/>
    </row>
    <row r="271" spans="6:15" s="985" customFormat="1">
      <c r="F271" s="933"/>
      <c r="H271" s="1187"/>
      <c r="J271" s="1190"/>
      <c r="K271" s="1190"/>
      <c r="L271" s="1190"/>
      <c r="M271" s="1190"/>
      <c r="N271" s="1190"/>
      <c r="O271" s="1190"/>
    </row>
    <row r="272" spans="6:15" s="985" customFormat="1">
      <c r="F272" s="933"/>
      <c r="H272" s="1187"/>
      <c r="J272" s="1190"/>
      <c r="K272" s="1190"/>
      <c r="L272" s="1190"/>
      <c r="M272" s="1190"/>
      <c r="N272" s="1190"/>
      <c r="O272" s="1190"/>
    </row>
    <row r="273" spans="6:15" s="985" customFormat="1">
      <c r="F273" s="933"/>
      <c r="H273" s="1187"/>
      <c r="J273" s="1190"/>
      <c r="K273" s="1190"/>
      <c r="L273" s="1190"/>
      <c r="M273" s="1190"/>
      <c r="N273" s="1190"/>
      <c r="O273" s="1190"/>
    </row>
    <row r="274" spans="6:15" s="985" customFormat="1">
      <c r="F274" s="933"/>
      <c r="H274" s="1187"/>
      <c r="J274" s="1190"/>
      <c r="K274" s="1190"/>
      <c r="L274" s="1190"/>
      <c r="M274" s="1190"/>
      <c r="N274" s="1190"/>
      <c r="O274" s="1190"/>
    </row>
    <row r="275" spans="6:15" s="985" customFormat="1">
      <c r="F275" s="933"/>
      <c r="H275" s="1187"/>
      <c r="J275" s="1190"/>
      <c r="K275" s="1190"/>
      <c r="L275" s="1190"/>
      <c r="M275" s="1190"/>
      <c r="N275" s="1190"/>
      <c r="O275" s="1190"/>
    </row>
    <row r="276" spans="6:15" s="985" customFormat="1">
      <c r="F276" s="933"/>
      <c r="H276" s="1187"/>
      <c r="J276" s="1190"/>
      <c r="K276" s="1190"/>
      <c r="L276" s="1190"/>
      <c r="M276" s="1190"/>
      <c r="N276" s="1190"/>
      <c r="O276" s="1190"/>
    </row>
    <row r="277" spans="6:15" s="985" customFormat="1">
      <c r="F277" s="933"/>
      <c r="H277" s="1187"/>
      <c r="J277" s="1190"/>
      <c r="K277" s="1190"/>
      <c r="L277" s="1190"/>
      <c r="M277" s="1190"/>
      <c r="N277" s="1190"/>
      <c r="O277" s="1190"/>
    </row>
    <row r="278" spans="6:15" s="985" customFormat="1">
      <c r="F278" s="933"/>
      <c r="H278" s="1187"/>
      <c r="J278" s="1190"/>
      <c r="K278" s="1190"/>
      <c r="L278" s="1190"/>
      <c r="M278" s="1190"/>
      <c r="N278" s="1190"/>
      <c r="O278" s="1190"/>
    </row>
    <row r="279" spans="6:15" s="985" customFormat="1">
      <c r="F279" s="933"/>
      <c r="H279" s="1187"/>
      <c r="J279" s="1190"/>
      <c r="K279" s="1190"/>
      <c r="L279" s="1190"/>
      <c r="M279" s="1190"/>
      <c r="N279" s="1190"/>
      <c r="O279" s="1190"/>
    </row>
    <row r="280" spans="6:15" s="985" customFormat="1">
      <c r="F280" s="933"/>
      <c r="H280" s="1187"/>
      <c r="J280" s="1190"/>
      <c r="K280" s="1190"/>
      <c r="L280" s="1190"/>
      <c r="M280" s="1190"/>
      <c r="N280" s="1190"/>
      <c r="O280" s="1190"/>
    </row>
    <row r="281" spans="6:15" s="985" customFormat="1">
      <c r="F281" s="933"/>
      <c r="H281" s="1187"/>
      <c r="J281" s="1190"/>
      <c r="K281" s="1190"/>
      <c r="L281" s="1190"/>
      <c r="M281" s="1190"/>
      <c r="N281" s="1190"/>
      <c r="O281" s="1190"/>
    </row>
    <row r="282" spans="6:15" s="985" customFormat="1">
      <c r="F282" s="933"/>
      <c r="H282" s="1187"/>
      <c r="J282" s="1190"/>
      <c r="K282" s="1190"/>
      <c r="L282" s="1190"/>
      <c r="M282" s="1190"/>
      <c r="N282" s="1190"/>
      <c r="O282" s="1190"/>
    </row>
    <row r="283" spans="6:15" s="985" customFormat="1">
      <c r="F283" s="933"/>
      <c r="H283" s="1187"/>
      <c r="J283" s="1190"/>
      <c r="K283" s="1190"/>
      <c r="L283" s="1190"/>
      <c r="M283" s="1190"/>
      <c r="N283" s="1190"/>
      <c r="O283" s="1190"/>
    </row>
    <row r="284" spans="6:15" s="985" customFormat="1">
      <c r="F284" s="933"/>
      <c r="H284" s="1187"/>
      <c r="J284" s="1190"/>
      <c r="K284" s="1190"/>
      <c r="L284" s="1190"/>
      <c r="M284" s="1190"/>
      <c r="N284" s="1190"/>
      <c r="O284" s="1190"/>
    </row>
    <row r="285" spans="6:15" s="985" customFormat="1">
      <c r="F285" s="933"/>
      <c r="H285" s="1187"/>
      <c r="J285" s="1190"/>
      <c r="K285" s="1190"/>
      <c r="L285" s="1190"/>
      <c r="M285" s="1190"/>
      <c r="N285" s="1190"/>
      <c r="O285" s="1190"/>
    </row>
    <row r="286" spans="6:15" s="985" customFormat="1">
      <c r="F286" s="933"/>
      <c r="H286" s="1187"/>
      <c r="J286" s="1190"/>
      <c r="K286" s="1190"/>
      <c r="L286" s="1190"/>
      <c r="M286" s="1190"/>
      <c r="N286" s="1190"/>
      <c r="O286" s="1190"/>
    </row>
    <row r="287" spans="6:15" s="985" customFormat="1">
      <c r="F287" s="933"/>
      <c r="H287" s="1187"/>
      <c r="J287" s="1190"/>
      <c r="K287" s="1190"/>
      <c r="L287" s="1190"/>
      <c r="M287" s="1190"/>
      <c r="N287" s="1190"/>
      <c r="O287" s="1190"/>
    </row>
    <row r="288" spans="6:15" s="985" customFormat="1">
      <c r="F288" s="933"/>
      <c r="H288" s="1187"/>
      <c r="J288" s="1190"/>
      <c r="K288" s="1190"/>
      <c r="L288" s="1190"/>
      <c r="M288" s="1190"/>
      <c r="N288" s="1190"/>
      <c r="O288" s="1190"/>
    </row>
    <row r="289" spans="6:15" s="985" customFormat="1">
      <c r="F289" s="933"/>
      <c r="H289" s="1187"/>
      <c r="J289" s="1190"/>
      <c r="K289" s="1190"/>
      <c r="L289" s="1190"/>
      <c r="M289" s="1190"/>
      <c r="N289" s="1190"/>
      <c r="O289" s="1190"/>
    </row>
    <row r="290" spans="6:15" s="985" customFormat="1">
      <c r="F290" s="933"/>
      <c r="H290" s="1187"/>
      <c r="J290" s="1190"/>
      <c r="K290" s="1190"/>
      <c r="L290" s="1190"/>
      <c r="M290" s="1190"/>
      <c r="N290" s="1190"/>
      <c r="O290" s="1190"/>
    </row>
    <row r="291" spans="6:15" s="985" customFormat="1">
      <c r="F291" s="933"/>
      <c r="H291" s="1187"/>
      <c r="J291" s="1190"/>
      <c r="K291" s="1190"/>
      <c r="L291" s="1190"/>
      <c r="M291" s="1190"/>
      <c r="N291" s="1190"/>
      <c r="O291" s="1190"/>
    </row>
    <row r="292" spans="6:15" s="985" customFormat="1">
      <c r="F292" s="933"/>
      <c r="H292" s="1187"/>
      <c r="J292" s="1190"/>
      <c r="K292" s="1190"/>
      <c r="L292" s="1190"/>
      <c r="M292" s="1190"/>
      <c r="N292" s="1190"/>
      <c r="O292" s="1190"/>
    </row>
    <row r="293" spans="6:15" s="985" customFormat="1">
      <c r="F293" s="933"/>
      <c r="H293" s="1187"/>
      <c r="J293" s="1190"/>
      <c r="K293" s="1190"/>
      <c r="L293" s="1190"/>
      <c r="M293" s="1190"/>
      <c r="N293" s="1190"/>
      <c r="O293" s="1190"/>
    </row>
    <row r="294" spans="6:15" s="985" customFormat="1">
      <c r="F294" s="933"/>
      <c r="H294" s="1187"/>
      <c r="J294" s="1190"/>
      <c r="K294" s="1190"/>
      <c r="L294" s="1190"/>
      <c r="M294" s="1190"/>
      <c r="N294" s="1190"/>
      <c r="O294" s="1190"/>
    </row>
    <row r="295" spans="6:15" s="985" customFormat="1">
      <c r="F295" s="933"/>
      <c r="H295" s="1187"/>
      <c r="J295" s="1190"/>
      <c r="K295" s="1190"/>
      <c r="L295" s="1190"/>
      <c r="M295" s="1190"/>
      <c r="N295" s="1190"/>
      <c r="O295" s="1190"/>
    </row>
    <row r="296" spans="6:15" s="985" customFormat="1">
      <c r="F296" s="933"/>
      <c r="H296" s="1187"/>
      <c r="J296" s="1190"/>
      <c r="K296" s="1190"/>
      <c r="L296" s="1190"/>
      <c r="M296" s="1190"/>
      <c r="N296" s="1190"/>
      <c r="O296" s="1190"/>
    </row>
    <row r="297" spans="6:15" s="985" customFormat="1">
      <c r="F297" s="933"/>
      <c r="H297" s="1187"/>
      <c r="J297" s="1190"/>
      <c r="K297" s="1190"/>
      <c r="L297" s="1190"/>
      <c r="M297" s="1190"/>
      <c r="N297" s="1190"/>
      <c r="O297" s="1190"/>
    </row>
    <row r="298" spans="6:15" s="985" customFormat="1">
      <c r="F298" s="933"/>
      <c r="H298" s="1187"/>
      <c r="J298" s="1190"/>
      <c r="K298" s="1190"/>
      <c r="L298" s="1190"/>
      <c r="M298" s="1190"/>
      <c r="N298" s="1190"/>
      <c r="O298" s="1190"/>
    </row>
    <row r="299" spans="6:15" s="985" customFormat="1">
      <c r="F299" s="933"/>
      <c r="H299" s="1187"/>
      <c r="J299" s="1190"/>
      <c r="K299" s="1190"/>
      <c r="L299" s="1190"/>
      <c r="M299" s="1190"/>
      <c r="N299" s="1190"/>
      <c r="O299" s="1190"/>
    </row>
    <row r="300" spans="6:15" s="985" customFormat="1">
      <c r="F300" s="933"/>
      <c r="H300" s="1187"/>
      <c r="J300" s="1190"/>
      <c r="K300" s="1190"/>
      <c r="L300" s="1190"/>
      <c r="M300" s="1190"/>
      <c r="N300" s="1190"/>
      <c r="O300" s="1190"/>
    </row>
    <row r="301" spans="6:15" s="985" customFormat="1">
      <c r="F301" s="933"/>
      <c r="H301" s="1187"/>
      <c r="J301" s="1190"/>
      <c r="K301" s="1190"/>
      <c r="L301" s="1190"/>
      <c r="M301" s="1190"/>
      <c r="N301" s="1190"/>
      <c r="O301" s="1190"/>
    </row>
    <row r="302" spans="6:15" s="985" customFormat="1">
      <c r="F302" s="933"/>
      <c r="H302" s="1187"/>
      <c r="J302" s="1190"/>
      <c r="K302" s="1190"/>
      <c r="L302" s="1190"/>
      <c r="M302" s="1190"/>
      <c r="N302" s="1190"/>
      <c r="O302" s="1190"/>
    </row>
    <row r="303" spans="6:15" s="985" customFormat="1">
      <c r="F303" s="933"/>
      <c r="H303" s="1187"/>
      <c r="J303" s="1190"/>
      <c r="K303" s="1190"/>
      <c r="L303" s="1190"/>
      <c r="M303" s="1190"/>
      <c r="N303" s="1190"/>
      <c r="O303" s="1190"/>
    </row>
    <row r="304" spans="6:15" s="985" customFormat="1">
      <c r="F304" s="933"/>
      <c r="H304" s="1187"/>
      <c r="J304" s="1190"/>
      <c r="K304" s="1190"/>
      <c r="L304" s="1190"/>
      <c r="M304" s="1190"/>
      <c r="N304" s="1190"/>
      <c r="O304" s="1190"/>
    </row>
    <row r="305" spans="6:15" s="985" customFormat="1">
      <c r="F305" s="933"/>
      <c r="H305" s="1187"/>
      <c r="J305" s="1190"/>
      <c r="K305" s="1190"/>
      <c r="L305" s="1190"/>
      <c r="M305" s="1190"/>
      <c r="N305" s="1190"/>
      <c r="O305" s="1190"/>
    </row>
    <row r="306" spans="6:15" s="985" customFormat="1">
      <c r="F306" s="933"/>
      <c r="H306" s="1187"/>
      <c r="J306" s="1190"/>
      <c r="K306" s="1190"/>
      <c r="L306" s="1190"/>
      <c r="M306" s="1190"/>
      <c r="N306" s="1190"/>
      <c r="O306" s="1190"/>
    </row>
    <row r="307" spans="6:15" s="985" customFormat="1">
      <c r="F307" s="933"/>
      <c r="H307" s="1187"/>
      <c r="J307" s="1190"/>
      <c r="K307" s="1190"/>
      <c r="L307" s="1190"/>
      <c r="M307" s="1190"/>
      <c r="N307" s="1190"/>
      <c r="O307" s="1190"/>
    </row>
    <row r="308" spans="6:15" s="985" customFormat="1">
      <c r="F308" s="933"/>
      <c r="H308" s="1187"/>
      <c r="J308" s="1190"/>
      <c r="K308" s="1190"/>
      <c r="L308" s="1190"/>
      <c r="M308" s="1190"/>
      <c r="N308" s="1190"/>
      <c r="O308" s="1190"/>
    </row>
    <row r="309" spans="6:15" s="985" customFormat="1">
      <c r="F309" s="933"/>
      <c r="H309" s="1187"/>
      <c r="J309" s="1190"/>
      <c r="K309" s="1190"/>
      <c r="L309" s="1190"/>
      <c r="M309" s="1190"/>
      <c r="N309" s="1190"/>
      <c r="O309" s="1190"/>
    </row>
    <row r="310" spans="6:15" s="985" customFormat="1">
      <c r="F310" s="933"/>
      <c r="H310" s="1187"/>
      <c r="J310" s="1190"/>
      <c r="K310" s="1190"/>
      <c r="L310" s="1190"/>
      <c r="M310" s="1190"/>
      <c r="N310" s="1190"/>
      <c r="O310" s="1190"/>
    </row>
    <row r="311" spans="6:15" s="985" customFormat="1">
      <c r="F311" s="933"/>
      <c r="H311" s="1187"/>
      <c r="J311" s="1190"/>
      <c r="K311" s="1190"/>
      <c r="L311" s="1190"/>
      <c r="M311" s="1190"/>
      <c r="N311" s="1190"/>
      <c r="O311" s="1190"/>
    </row>
    <row r="312" spans="6:15" s="985" customFormat="1">
      <c r="F312" s="933"/>
      <c r="H312" s="1187"/>
      <c r="J312" s="1190"/>
      <c r="K312" s="1190"/>
      <c r="L312" s="1190"/>
      <c r="M312" s="1190"/>
      <c r="N312" s="1190"/>
      <c r="O312" s="1190"/>
    </row>
    <row r="313" spans="6:15" s="985" customFormat="1">
      <c r="F313" s="933"/>
      <c r="H313" s="1187"/>
      <c r="J313" s="1190"/>
      <c r="K313" s="1190"/>
      <c r="L313" s="1190"/>
      <c r="M313" s="1190"/>
      <c r="N313" s="1190"/>
      <c r="O313" s="1190"/>
    </row>
    <row r="314" spans="6:15" s="985" customFormat="1">
      <c r="F314" s="933"/>
      <c r="H314" s="1187"/>
      <c r="J314" s="1190"/>
      <c r="K314" s="1190"/>
      <c r="L314" s="1190"/>
      <c r="M314" s="1190"/>
      <c r="N314" s="1190"/>
      <c r="O314" s="1190"/>
    </row>
    <row r="315" spans="6:15" s="985" customFormat="1">
      <c r="F315" s="933"/>
      <c r="H315" s="1187"/>
      <c r="J315" s="1190"/>
      <c r="K315" s="1190"/>
      <c r="L315" s="1190"/>
      <c r="M315" s="1190"/>
      <c r="N315" s="1190"/>
      <c r="O315" s="1190"/>
    </row>
    <row r="316" spans="6:15" s="985" customFormat="1">
      <c r="F316" s="933"/>
      <c r="H316" s="1187"/>
      <c r="J316" s="1190"/>
      <c r="K316" s="1190"/>
      <c r="L316" s="1190"/>
      <c r="M316" s="1190"/>
      <c r="N316" s="1190"/>
      <c r="O316" s="1190"/>
    </row>
    <row r="317" spans="6:15" s="985" customFormat="1">
      <c r="F317" s="933"/>
      <c r="H317" s="1187"/>
      <c r="J317" s="1190"/>
      <c r="K317" s="1190"/>
      <c r="L317" s="1190"/>
      <c r="M317" s="1190"/>
      <c r="N317" s="1190"/>
      <c r="O317" s="1190"/>
    </row>
    <row r="318" spans="6:15" s="985" customFormat="1">
      <c r="F318" s="933"/>
      <c r="H318" s="1187"/>
      <c r="J318" s="1190"/>
      <c r="K318" s="1190"/>
      <c r="L318" s="1190"/>
      <c r="M318" s="1190"/>
      <c r="N318" s="1190"/>
      <c r="O318" s="1190"/>
    </row>
    <row r="319" spans="6:15" s="985" customFormat="1">
      <c r="F319" s="933"/>
      <c r="H319" s="1187"/>
      <c r="J319" s="1190"/>
      <c r="K319" s="1190"/>
      <c r="L319" s="1190"/>
      <c r="M319" s="1190"/>
      <c r="N319" s="1190"/>
      <c r="O319" s="1190"/>
    </row>
    <row r="320" spans="6:15" s="985" customFormat="1">
      <c r="F320" s="933"/>
      <c r="H320" s="1187"/>
      <c r="J320" s="1190"/>
      <c r="K320" s="1190"/>
      <c r="L320" s="1190"/>
      <c r="M320" s="1190"/>
      <c r="N320" s="1190"/>
      <c r="O320" s="1190"/>
    </row>
    <row r="321" spans="6:15" s="985" customFormat="1">
      <c r="F321" s="933"/>
      <c r="H321" s="1187"/>
      <c r="J321" s="1190"/>
      <c r="K321" s="1190"/>
      <c r="L321" s="1190"/>
      <c r="M321" s="1190"/>
      <c r="N321" s="1190"/>
      <c r="O321" s="1190"/>
    </row>
    <row r="322" spans="6:15" s="985" customFormat="1">
      <c r="F322" s="933"/>
      <c r="H322" s="1187"/>
      <c r="J322" s="1190"/>
      <c r="K322" s="1190"/>
      <c r="L322" s="1190"/>
      <c r="M322" s="1190"/>
      <c r="N322" s="1190"/>
      <c r="O322" s="1190"/>
    </row>
    <row r="323" spans="6:15" s="985" customFormat="1">
      <c r="F323" s="933"/>
      <c r="H323" s="1187"/>
      <c r="J323" s="1190"/>
      <c r="K323" s="1190"/>
      <c r="L323" s="1190"/>
      <c r="M323" s="1190"/>
      <c r="N323" s="1190"/>
      <c r="O323" s="1190"/>
    </row>
    <row r="324" spans="6:15" s="985" customFormat="1">
      <c r="F324" s="933"/>
      <c r="H324" s="1187"/>
      <c r="J324" s="1190"/>
      <c r="K324" s="1190"/>
      <c r="L324" s="1190"/>
      <c r="M324" s="1190"/>
      <c r="N324" s="1190"/>
      <c r="O324" s="1190"/>
    </row>
    <row r="325" spans="6:15" s="985" customFormat="1">
      <c r="F325" s="933"/>
      <c r="H325" s="1187"/>
      <c r="J325" s="1190"/>
      <c r="K325" s="1190"/>
      <c r="L325" s="1190"/>
      <c r="M325" s="1190"/>
      <c r="N325" s="1190"/>
      <c r="O325" s="1190"/>
    </row>
    <row r="326" spans="6:15" s="985" customFormat="1">
      <c r="F326" s="933"/>
      <c r="H326" s="1187"/>
      <c r="J326" s="1190"/>
      <c r="K326" s="1190"/>
      <c r="L326" s="1190"/>
      <c r="M326" s="1190"/>
      <c r="N326" s="1190"/>
      <c r="O326" s="1190"/>
    </row>
    <row r="327" spans="6:15" s="985" customFormat="1">
      <c r="F327" s="933"/>
      <c r="H327" s="1187"/>
      <c r="J327" s="1190"/>
      <c r="K327" s="1190"/>
      <c r="L327" s="1190"/>
      <c r="M327" s="1190"/>
      <c r="N327" s="1190"/>
      <c r="O327" s="1190"/>
    </row>
    <row r="328" spans="6:15" s="985" customFormat="1">
      <c r="F328" s="933"/>
      <c r="H328" s="1187"/>
      <c r="J328" s="1190"/>
      <c r="K328" s="1190"/>
      <c r="L328" s="1190"/>
      <c r="M328" s="1190"/>
      <c r="N328" s="1190"/>
      <c r="O328" s="1190"/>
    </row>
    <row r="329" spans="6:15" s="985" customFormat="1">
      <c r="F329" s="933"/>
      <c r="H329" s="1187"/>
      <c r="J329" s="1190"/>
      <c r="K329" s="1190"/>
      <c r="L329" s="1190"/>
      <c r="M329" s="1190"/>
      <c r="N329" s="1190"/>
      <c r="O329" s="1190"/>
    </row>
    <row r="330" spans="6:15" s="985" customFormat="1">
      <c r="F330" s="933"/>
      <c r="H330" s="1187"/>
      <c r="J330" s="1190"/>
      <c r="K330" s="1190"/>
      <c r="L330" s="1190"/>
      <c r="M330" s="1190"/>
      <c r="N330" s="1190"/>
      <c r="O330" s="1190"/>
    </row>
    <row r="331" spans="6:15" s="985" customFormat="1">
      <c r="F331" s="933"/>
      <c r="H331" s="1187"/>
      <c r="J331" s="1190"/>
      <c r="K331" s="1190"/>
      <c r="L331" s="1190"/>
      <c r="M331" s="1190"/>
      <c r="N331" s="1190"/>
      <c r="O331" s="1190"/>
    </row>
    <row r="332" spans="6:15" s="985" customFormat="1">
      <c r="F332" s="933"/>
      <c r="H332" s="1187"/>
      <c r="J332" s="1190"/>
      <c r="K332" s="1190"/>
      <c r="L332" s="1190"/>
      <c r="M332" s="1190"/>
      <c r="N332" s="1190"/>
      <c r="O332" s="1190"/>
    </row>
    <row r="333" spans="6:15" s="985" customFormat="1">
      <c r="F333" s="933"/>
      <c r="H333" s="1187"/>
      <c r="J333" s="1190"/>
      <c r="K333" s="1190"/>
      <c r="L333" s="1190"/>
      <c r="M333" s="1190"/>
      <c r="N333" s="1190"/>
      <c r="O333" s="1190"/>
    </row>
    <row r="334" spans="6:15" s="985" customFormat="1">
      <c r="F334" s="933"/>
      <c r="H334" s="1187"/>
      <c r="J334" s="1190"/>
      <c r="K334" s="1190"/>
      <c r="L334" s="1190"/>
      <c r="M334" s="1190"/>
      <c r="N334" s="1190"/>
      <c r="O334" s="1190"/>
    </row>
    <row r="335" spans="6:15" s="985" customFormat="1">
      <c r="F335" s="933"/>
      <c r="H335" s="1187"/>
      <c r="J335" s="1190"/>
      <c r="K335" s="1190"/>
      <c r="L335" s="1190"/>
      <c r="M335" s="1190"/>
      <c r="N335" s="1190"/>
      <c r="O335" s="1190"/>
    </row>
    <row r="336" spans="6:15" s="985" customFormat="1">
      <c r="F336" s="933"/>
      <c r="H336" s="1187"/>
      <c r="J336" s="1190"/>
      <c r="K336" s="1190"/>
      <c r="L336" s="1190"/>
      <c r="M336" s="1190"/>
      <c r="N336" s="1190"/>
      <c r="O336" s="1190"/>
    </row>
    <row r="337" spans="6:15" s="985" customFormat="1">
      <c r="F337" s="933"/>
      <c r="H337" s="1187"/>
      <c r="J337" s="1190"/>
      <c r="K337" s="1190"/>
      <c r="L337" s="1190"/>
      <c r="M337" s="1190"/>
      <c r="N337" s="1190"/>
      <c r="O337" s="1190"/>
    </row>
    <row r="338" spans="6:15" s="985" customFormat="1">
      <c r="F338" s="933"/>
      <c r="H338" s="1187"/>
      <c r="J338" s="1190"/>
      <c r="K338" s="1190"/>
      <c r="L338" s="1190"/>
      <c r="M338" s="1190"/>
      <c r="N338" s="1190"/>
      <c r="O338" s="1190"/>
    </row>
    <row r="339" spans="6:15" s="985" customFormat="1">
      <c r="F339" s="933"/>
      <c r="H339" s="1187"/>
      <c r="J339" s="1190"/>
      <c r="K339" s="1190"/>
      <c r="L339" s="1190"/>
      <c r="M339" s="1190"/>
      <c r="N339" s="1190"/>
      <c r="O339" s="1190"/>
    </row>
    <row r="340" spans="6:15" s="985" customFormat="1">
      <c r="F340" s="933"/>
      <c r="H340" s="1187"/>
      <c r="J340" s="1190"/>
      <c r="K340" s="1190"/>
      <c r="L340" s="1190"/>
      <c r="M340" s="1190"/>
      <c r="N340" s="1190"/>
      <c r="O340" s="1190"/>
    </row>
    <row r="341" spans="6:15" s="985" customFormat="1">
      <c r="F341" s="933"/>
      <c r="H341" s="1187"/>
      <c r="J341" s="1190"/>
      <c r="K341" s="1190"/>
      <c r="L341" s="1190"/>
      <c r="M341" s="1190"/>
      <c r="N341" s="1190"/>
      <c r="O341" s="1190"/>
    </row>
    <row r="342" spans="6:15" s="985" customFormat="1">
      <c r="F342" s="933"/>
      <c r="H342" s="1187"/>
      <c r="J342" s="1190"/>
      <c r="K342" s="1190"/>
      <c r="L342" s="1190"/>
      <c r="M342" s="1190"/>
      <c r="N342" s="1190"/>
      <c r="O342" s="1190"/>
    </row>
    <row r="343" spans="6:15" s="985" customFormat="1">
      <c r="F343" s="933"/>
      <c r="H343" s="1187"/>
      <c r="J343" s="1190"/>
      <c r="K343" s="1190"/>
      <c r="L343" s="1190"/>
      <c r="M343" s="1190"/>
      <c r="N343" s="1190"/>
      <c r="O343" s="1190"/>
    </row>
    <row r="344" spans="6:15" s="985" customFormat="1">
      <c r="F344" s="933"/>
      <c r="H344" s="1187"/>
      <c r="J344" s="1190"/>
      <c r="K344" s="1190"/>
      <c r="L344" s="1190"/>
      <c r="M344" s="1190"/>
      <c r="N344" s="1190"/>
      <c r="O344" s="1190"/>
    </row>
    <row r="345" spans="6:15" s="985" customFormat="1">
      <c r="F345" s="933"/>
      <c r="H345" s="1187"/>
      <c r="J345" s="1190"/>
      <c r="K345" s="1190"/>
      <c r="L345" s="1190"/>
      <c r="M345" s="1190"/>
      <c r="N345" s="1190"/>
      <c r="O345" s="1190"/>
    </row>
    <row r="346" spans="6:15" s="985" customFormat="1">
      <c r="F346" s="933"/>
      <c r="H346" s="1187"/>
      <c r="J346" s="1190"/>
      <c r="K346" s="1190"/>
      <c r="L346" s="1190"/>
      <c r="M346" s="1190"/>
      <c r="N346" s="1190"/>
      <c r="O346" s="1190"/>
    </row>
    <row r="347" spans="6:15" s="985" customFormat="1">
      <c r="F347" s="933"/>
      <c r="H347" s="1187"/>
      <c r="J347" s="1190"/>
      <c r="K347" s="1190"/>
      <c r="L347" s="1190"/>
      <c r="M347" s="1190"/>
      <c r="N347" s="1190"/>
      <c r="O347" s="1190"/>
    </row>
    <row r="348" spans="6:15" s="985" customFormat="1">
      <c r="F348" s="933"/>
      <c r="H348" s="1187"/>
      <c r="J348" s="1190"/>
      <c r="K348" s="1190"/>
      <c r="L348" s="1190"/>
      <c r="M348" s="1190"/>
      <c r="N348" s="1190"/>
      <c r="O348" s="1190"/>
    </row>
    <row r="349" spans="6:15" s="985" customFormat="1">
      <c r="F349" s="933"/>
      <c r="H349" s="1187"/>
      <c r="J349" s="1190"/>
      <c r="K349" s="1190"/>
      <c r="L349" s="1190"/>
      <c r="M349" s="1190"/>
      <c r="N349" s="1190"/>
      <c r="O349" s="1190"/>
    </row>
    <row r="350" spans="6:15" s="985" customFormat="1">
      <c r="F350" s="933"/>
      <c r="H350" s="1187"/>
      <c r="J350" s="1190"/>
      <c r="K350" s="1190"/>
      <c r="L350" s="1190"/>
      <c r="M350" s="1190"/>
      <c r="N350" s="1190"/>
      <c r="O350" s="1190"/>
    </row>
    <row r="351" spans="6:15" s="985" customFormat="1">
      <c r="F351" s="933"/>
      <c r="H351" s="1187"/>
      <c r="J351" s="1190"/>
      <c r="K351" s="1190"/>
      <c r="L351" s="1190"/>
      <c r="M351" s="1190"/>
      <c r="N351" s="1190"/>
      <c r="O351" s="1190"/>
    </row>
    <row r="352" spans="6:15" s="985" customFormat="1">
      <c r="F352" s="933"/>
      <c r="H352" s="1187"/>
      <c r="J352" s="1190"/>
      <c r="K352" s="1190"/>
      <c r="L352" s="1190"/>
      <c r="M352" s="1190"/>
      <c r="N352" s="1190"/>
      <c r="O352" s="1190"/>
    </row>
    <row r="353" spans="6:15" s="985" customFormat="1">
      <c r="F353" s="933"/>
      <c r="H353" s="1187"/>
      <c r="J353" s="1190"/>
      <c r="K353" s="1190"/>
      <c r="L353" s="1190"/>
      <c r="M353" s="1190"/>
      <c r="N353" s="1190"/>
      <c r="O353" s="1190"/>
    </row>
    <row r="354" spans="6:15" s="985" customFormat="1">
      <c r="F354" s="933"/>
      <c r="H354" s="1187"/>
      <c r="J354" s="1190"/>
      <c r="K354" s="1190"/>
      <c r="L354" s="1190"/>
      <c r="M354" s="1190"/>
      <c r="N354" s="1190"/>
      <c r="O354" s="1190"/>
    </row>
    <row r="355" spans="6:15" s="985" customFormat="1">
      <c r="F355" s="933"/>
      <c r="H355" s="1187"/>
      <c r="J355" s="1190"/>
      <c r="K355" s="1190"/>
      <c r="L355" s="1190"/>
      <c r="M355" s="1190"/>
      <c r="N355" s="1190"/>
      <c r="O355" s="1190"/>
    </row>
    <row r="356" spans="6:15" s="985" customFormat="1">
      <c r="F356" s="933"/>
      <c r="H356" s="1187"/>
      <c r="J356" s="1190"/>
      <c r="K356" s="1190"/>
      <c r="L356" s="1190"/>
      <c r="M356" s="1190"/>
      <c r="N356" s="1190"/>
      <c r="O356" s="1190"/>
    </row>
    <row r="357" spans="6:15" s="985" customFormat="1">
      <c r="F357" s="933"/>
      <c r="H357" s="1187"/>
      <c r="J357" s="1190"/>
      <c r="K357" s="1190"/>
      <c r="L357" s="1190"/>
      <c r="M357" s="1190"/>
      <c r="N357" s="1190"/>
      <c r="O357" s="1190"/>
    </row>
    <row r="358" spans="6:15" s="985" customFormat="1">
      <c r="F358" s="933"/>
      <c r="H358" s="1187"/>
      <c r="J358" s="1190"/>
      <c r="K358" s="1190"/>
      <c r="L358" s="1190"/>
      <c r="M358" s="1190"/>
      <c r="N358" s="1190"/>
      <c r="O358" s="1190"/>
    </row>
    <row r="359" spans="6:15" s="985" customFormat="1">
      <c r="F359" s="933"/>
      <c r="H359" s="1187"/>
      <c r="J359" s="1190"/>
      <c r="K359" s="1190"/>
      <c r="L359" s="1190"/>
      <c r="M359" s="1190"/>
      <c r="N359" s="1190"/>
      <c r="O359" s="1190"/>
    </row>
    <row r="360" spans="6:15" s="985" customFormat="1">
      <c r="F360" s="933"/>
      <c r="H360" s="1187"/>
      <c r="J360" s="1190"/>
      <c r="K360" s="1190"/>
      <c r="L360" s="1190"/>
      <c r="M360" s="1190"/>
      <c r="N360" s="1190"/>
      <c r="O360" s="1190"/>
    </row>
    <row r="361" spans="6:15" s="985" customFormat="1">
      <c r="F361" s="933"/>
      <c r="H361" s="1187"/>
      <c r="J361" s="1190"/>
      <c r="K361" s="1190"/>
      <c r="L361" s="1190"/>
      <c r="M361" s="1190"/>
      <c r="N361" s="1190"/>
      <c r="O361" s="1190"/>
    </row>
    <row r="362" spans="6:15" s="985" customFormat="1">
      <c r="F362" s="933"/>
      <c r="H362" s="1187"/>
      <c r="J362" s="1190"/>
      <c r="K362" s="1190"/>
      <c r="L362" s="1190"/>
      <c r="M362" s="1190"/>
      <c r="N362" s="1190"/>
      <c r="O362" s="1190"/>
    </row>
    <row r="363" spans="6:15" s="985" customFormat="1">
      <c r="F363" s="933"/>
      <c r="H363" s="1187"/>
      <c r="J363" s="1190"/>
      <c r="K363" s="1190"/>
      <c r="L363" s="1190"/>
      <c r="M363" s="1190"/>
      <c r="N363" s="1190"/>
      <c r="O363" s="1190"/>
    </row>
    <row r="364" spans="6:15" s="985" customFormat="1">
      <c r="F364" s="933"/>
      <c r="H364" s="1187"/>
      <c r="J364" s="1190"/>
      <c r="K364" s="1190"/>
      <c r="L364" s="1190"/>
      <c r="M364" s="1190"/>
      <c r="N364" s="1190"/>
      <c r="O364" s="1190"/>
    </row>
    <row r="365" spans="6:15" s="985" customFormat="1">
      <c r="F365" s="933"/>
      <c r="H365" s="1187"/>
      <c r="J365" s="1190"/>
      <c r="K365" s="1190"/>
      <c r="L365" s="1190"/>
      <c r="M365" s="1190"/>
      <c r="N365" s="1190"/>
      <c r="O365" s="1190"/>
    </row>
    <row r="366" spans="6:15" s="985" customFormat="1">
      <c r="F366" s="933"/>
      <c r="H366" s="1187"/>
      <c r="J366" s="1190"/>
      <c r="K366" s="1190"/>
      <c r="L366" s="1190"/>
      <c r="M366" s="1190"/>
      <c r="N366" s="1190"/>
      <c r="O366" s="1190"/>
    </row>
    <row r="367" spans="6:15" s="985" customFormat="1">
      <c r="F367" s="933"/>
      <c r="H367" s="1187"/>
      <c r="J367" s="1190"/>
      <c r="K367" s="1190"/>
      <c r="L367" s="1190"/>
      <c r="M367" s="1190"/>
      <c r="N367" s="1190"/>
      <c r="O367" s="1190"/>
    </row>
    <row r="368" spans="6:15" s="985" customFormat="1">
      <c r="F368" s="933"/>
      <c r="H368" s="1187"/>
      <c r="J368" s="1190"/>
      <c r="K368" s="1190"/>
      <c r="L368" s="1190"/>
      <c r="M368" s="1190"/>
      <c r="N368" s="1190"/>
      <c r="O368" s="1190"/>
    </row>
    <row r="369" spans="6:15" s="985" customFormat="1">
      <c r="F369" s="933"/>
      <c r="H369" s="1187"/>
      <c r="J369" s="1190"/>
      <c r="K369" s="1190"/>
      <c r="L369" s="1190"/>
      <c r="M369" s="1190"/>
      <c r="N369" s="1190"/>
      <c r="O369" s="1190"/>
    </row>
    <row r="370" spans="6:15" s="985" customFormat="1">
      <c r="F370" s="933"/>
      <c r="H370" s="1187"/>
      <c r="J370" s="1190"/>
      <c r="K370" s="1190"/>
      <c r="L370" s="1190"/>
      <c r="M370" s="1190"/>
      <c r="N370" s="1190"/>
      <c r="O370" s="1190"/>
    </row>
    <row r="371" spans="6:15" s="985" customFormat="1">
      <c r="F371" s="933"/>
      <c r="H371" s="1187"/>
      <c r="J371" s="1190"/>
      <c r="K371" s="1190"/>
      <c r="L371" s="1190"/>
      <c r="M371" s="1190"/>
      <c r="N371" s="1190"/>
      <c r="O371" s="1190"/>
    </row>
    <row r="372" spans="6:15" s="985" customFormat="1">
      <c r="F372" s="933"/>
      <c r="H372" s="1187"/>
      <c r="J372" s="1190"/>
      <c r="K372" s="1190"/>
      <c r="L372" s="1190"/>
      <c r="M372" s="1190"/>
      <c r="N372" s="1190"/>
      <c r="O372" s="1190"/>
    </row>
    <row r="373" spans="6:15" s="985" customFormat="1">
      <c r="F373" s="933"/>
      <c r="H373" s="1187"/>
      <c r="J373" s="1190"/>
      <c r="K373" s="1190"/>
      <c r="L373" s="1190"/>
      <c r="M373" s="1190"/>
      <c r="N373" s="1190"/>
      <c r="O373" s="1190"/>
    </row>
    <row r="374" spans="6:15" s="985" customFormat="1">
      <c r="F374" s="933"/>
      <c r="H374" s="1187"/>
      <c r="J374" s="1190"/>
      <c r="K374" s="1190"/>
      <c r="L374" s="1190"/>
      <c r="M374" s="1190"/>
      <c r="N374" s="1190"/>
      <c r="O374" s="1190"/>
    </row>
    <row r="375" spans="6:15" s="985" customFormat="1">
      <c r="F375" s="933"/>
      <c r="H375" s="1187"/>
      <c r="J375" s="1190"/>
      <c r="K375" s="1190"/>
      <c r="L375" s="1190"/>
      <c r="M375" s="1190"/>
      <c r="N375" s="1190"/>
      <c r="O375" s="1190"/>
    </row>
    <row r="376" spans="6:15" s="985" customFormat="1">
      <c r="F376" s="933"/>
      <c r="H376" s="1187"/>
      <c r="J376" s="1190"/>
      <c r="K376" s="1190"/>
      <c r="L376" s="1190"/>
      <c r="M376" s="1190"/>
      <c r="N376" s="1190"/>
      <c r="O376" s="1190"/>
    </row>
    <row r="377" spans="6:15" s="985" customFormat="1">
      <c r="F377" s="933"/>
      <c r="H377" s="1187"/>
      <c r="J377" s="1190"/>
      <c r="K377" s="1190"/>
      <c r="L377" s="1190"/>
      <c r="M377" s="1190"/>
      <c r="N377" s="1190"/>
      <c r="O377" s="1190"/>
    </row>
    <row r="378" spans="6:15" s="985" customFormat="1">
      <c r="F378" s="933"/>
      <c r="H378" s="1187"/>
      <c r="J378" s="1190"/>
      <c r="K378" s="1190"/>
      <c r="L378" s="1190"/>
      <c r="M378" s="1190"/>
      <c r="N378" s="1190"/>
      <c r="O378" s="1190"/>
    </row>
    <row r="379" spans="6:15" s="985" customFormat="1">
      <c r="F379" s="933"/>
      <c r="H379" s="1187"/>
      <c r="J379" s="1190"/>
      <c r="K379" s="1190"/>
      <c r="L379" s="1190"/>
      <c r="M379" s="1190"/>
      <c r="N379" s="1190"/>
      <c r="O379" s="1190"/>
    </row>
    <row r="380" spans="6:15" s="985" customFormat="1">
      <c r="F380" s="933"/>
      <c r="H380" s="1187"/>
      <c r="J380" s="1190"/>
      <c r="K380" s="1190"/>
      <c r="L380" s="1190"/>
      <c r="M380" s="1190"/>
      <c r="N380" s="1190"/>
      <c r="O380" s="1190"/>
    </row>
    <row r="381" spans="6:15" s="985" customFormat="1">
      <c r="F381" s="933"/>
      <c r="H381" s="1187"/>
      <c r="J381" s="1190"/>
      <c r="K381" s="1190"/>
      <c r="L381" s="1190"/>
      <c r="M381" s="1190"/>
      <c r="N381" s="1190"/>
      <c r="O381" s="1190"/>
    </row>
    <row r="382" spans="6:15" s="985" customFormat="1">
      <c r="F382" s="933"/>
      <c r="H382" s="1187"/>
      <c r="J382" s="1190"/>
      <c r="K382" s="1190"/>
      <c r="L382" s="1190"/>
      <c r="M382" s="1190"/>
      <c r="N382" s="1190"/>
      <c r="O382" s="1190"/>
    </row>
    <row r="383" spans="6:15" s="985" customFormat="1">
      <c r="F383" s="933"/>
      <c r="H383" s="1187"/>
      <c r="J383" s="1190"/>
      <c r="K383" s="1190"/>
      <c r="L383" s="1190"/>
      <c r="M383" s="1190"/>
      <c r="N383" s="1190"/>
      <c r="O383" s="1190"/>
    </row>
    <row r="384" spans="6:15" s="985" customFormat="1">
      <c r="F384" s="933"/>
      <c r="H384" s="1187"/>
      <c r="J384" s="1190"/>
      <c r="K384" s="1190"/>
      <c r="L384" s="1190"/>
      <c r="M384" s="1190"/>
      <c r="N384" s="1190"/>
      <c r="O384" s="1190"/>
    </row>
    <row r="385" spans="2:24" s="985" customFormat="1">
      <c r="F385" s="933"/>
      <c r="H385" s="1187"/>
      <c r="J385" s="1190"/>
      <c r="K385" s="1190"/>
      <c r="L385" s="1190"/>
      <c r="M385" s="1190"/>
      <c r="N385" s="1190"/>
      <c r="O385" s="1190"/>
    </row>
    <row r="386" spans="2:24" s="985" customFormat="1">
      <c r="F386" s="933"/>
      <c r="H386" s="1187"/>
      <c r="J386" s="1190"/>
      <c r="K386" s="1190"/>
      <c r="L386" s="1190"/>
      <c r="M386" s="1190"/>
      <c r="N386" s="1190"/>
      <c r="O386" s="1190"/>
    </row>
    <row r="387" spans="2:24" s="985" customFormat="1">
      <c r="F387" s="933"/>
      <c r="H387" s="1187"/>
      <c r="J387" s="1190"/>
      <c r="K387" s="1190"/>
      <c r="L387" s="1190"/>
      <c r="M387" s="1190"/>
      <c r="N387" s="1190"/>
      <c r="O387" s="1190"/>
    </row>
    <row r="388" spans="2:24" s="985" customFormat="1">
      <c r="F388" s="933"/>
      <c r="H388" s="1187"/>
      <c r="J388" s="1190"/>
      <c r="K388" s="1190"/>
      <c r="L388" s="1190"/>
      <c r="M388" s="1190"/>
      <c r="N388" s="1190"/>
      <c r="O388" s="1190"/>
    </row>
    <row r="389" spans="2:24" s="985" customFormat="1">
      <c r="F389" s="933"/>
      <c r="H389" s="1187"/>
      <c r="J389" s="1190"/>
      <c r="K389" s="1190"/>
      <c r="L389" s="1190"/>
      <c r="M389" s="1190"/>
      <c r="N389" s="1190"/>
      <c r="O389" s="1190"/>
    </row>
    <row r="390" spans="2:24" s="985" customFormat="1">
      <c r="F390" s="933"/>
      <c r="H390" s="1187"/>
      <c r="J390" s="1190"/>
      <c r="K390" s="1190"/>
      <c r="L390" s="1190"/>
      <c r="M390" s="1190"/>
      <c r="N390" s="1190"/>
      <c r="O390" s="1190"/>
    </row>
    <row r="391" spans="2:24" s="985" customFormat="1">
      <c r="F391" s="933"/>
      <c r="H391" s="1187"/>
      <c r="J391" s="1190"/>
      <c r="K391" s="1190"/>
      <c r="L391" s="1190"/>
      <c r="M391" s="1190"/>
      <c r="N391" s="1190"/>
      <c r="O391" s="1190"/>
    </row>
    <row r="392" spans="2:24" s="985" customFormat="1">
      <c r="F392" s="933"/>
      <c r="H392" s="1187"/>
      <c r="J392" s="1190"/>
      <c r="K392" s="1190"/>
      <c r="L392" s="1190"/>
      <c r="M392" s="1190"/>
      <c r="N392" s="1190"/>
      <c r="O392" s="1190"/>
    </row>
    <row r="393" spans="2:24" s="985" customFormat="1">
      <c r="F393" s="933"/>
      <c r="H393" s="1187"/>
      <c r="J393" s="1190"/>
      <c r="K393" s="1190"/>
      <c r="L393" s="1190"/>
      <c r="M393" s="1190"/>
      <c r="N393" s="1190"/>
      <c r="O393" s="1190"/>
    </row>
    <row r="394" spans="2:24" s="985" customFormat="1">
      <c r="F394" s="933"/>
      <c r="H394" s="1187"/>
      <c r="J394" s="1190"/>
      <c r="K394" s="1190"/>
      <c r="L394" s="1190"/>
      <c r="M394" s="1190"/>
      <c r="N394" s="1190"/>
      <c r="O394" s="1190"/>
    </row>
    <row r="395" spans="2:24" s="985" customFormat="1">
      <c r="F395" s="933"/>
      <c r="H395" s="1187"/>
      <c r="J395" s="1190"/>
      <c r="K395" s="1190"/>
      <c r="L395" s="1190"/>
      <c r="M395" s="1190"/>
      <c r="N395" s="1190"/>
      <c r="O395" s="1190"/>
    </row>
    <row r="396" spans="2:24" s="985" customFormat="1">
      <c r="F396" s="933"/>
      <c r="H396" s="1187"/>
      <c r="J396" s="1190"/>
      <c r="K396" s="1190"/>
      <c r="L396" s="1190"/>
      <c r="M396" s="1190"/>
      <c r="N396" s="1190"/>
      <c r="O396" s="1190"/>
    </row>
    <row r="397" spans="2:24" s="984" customFormat="1">
      <c r="B397" s="985"/>
      <c r="C397" s="985"/>
      <c r="D397" s="985"/>
      <c r="E397" s="985"/>
      <c r="F397" s="933"/>
      <c r="G397" s="985"/>
      <c r="H397" s="1187"/>
      <c r="J397" s="1190"/>
      <c r="K397" s="1190"/>
      <c r="L397" s="1190"/>
      <c r="M397" s="1190"/>
      <c r="N397" s="1190"/>
      <c r="O397" s="1190"/>
      <c r="Q397" s="985"/>
      <c r="R397" s="985"/>
      <c r="S397" s="985"/>
      <c r="T397" s="985"/>
      <c r="U397" s="985"/>
      <c r="V397" s="985"/>
      <c r="W397" s="985"/>
      <c r="X397" s="985"/>
    </row>
    <row r="398" spans="2:24" s="984" customFormat="1">
      <c r="F398" s="1205"/>
      <c r="H398" s="1191"/>
      <c r="J398" s="1190"/>
      <c r="K398" s="1190"/>
      <c r="L398" s="1190"/>
      <c r="M398" s="1190"/>
      <c r="N398" s="1190"/>
      <c r="O398" s="1190"/>
      <c r="Q398" s="985"/>
      <c r="R398" s="985"/>
      <c r="S398" s="985"/>
      <c r="T398" s="985"/>
      <c r="U398" s="985"/>
      <c r="V398" s="985"/>
      <c r="W398" s="985"/>
      <c r="X398" s="985"/>
    </row>
    <row r="399" spans="2:24" s="984" customFormat="1">
      <c r="F399" s="1205"/>
      <c r="H399" s="1191"/>
      <c r="J399" s="1190"/>
      <c r="K399" s="1190"/>
      <c r="L399" s="1190"/>
      <c r="M399" s="1190"/>
      <c r="N399" s="1190"/>
      <c r="O399" s="1190"/>
      <c r="Q399" s="985"/>
      <c r="R399" s="985"/>
      <c r="S399" s="985"/>
      <c r="T399" s="985"/>
      <c r="U399" s="985"/>
      <c r="V399" s="985"/>
      <c r="W399" s="985"/>
      <c r="X399" s="985"/>
    </row>
    <row r="400" spans="2:24" s="984" customFormat="1">
      <c r="F400" s="1205"/>
      <c r="H400" s="1191"/>
      <c r="J400" s="1122"/>
      <c r="K400" s="1122"/>
      <c r="L400" s="1122"/>
      <c r="M400" s="1122"/>
      <c r="N400" s="1122"/>
      <c r="O400" s="1122"/>
      <c r="Q400" s="985"/>
      <c r="R400" s="985"/>
      <c r="S400" s="985"/>
      <c r="T400" s="985"/>
      <c r="U400" s="985"/>
      <c r="V400" s="985"/>
      <c r="W400" s="985"/>
      <c r="X400" s="985"/>
    </row>
    <row r="401" spans="2:24" s="984" customFormat="1">
      <c r="F401" s="1205"/>
      <c r="H401" s="1191"/>
      <c r="J401" s="1122"/>
      <c r="K401" s="1122"/>
      <c r="L401" s="1122"/>
      <c r="M401" s="1122"/>
      <c r="N401" s="1122"/>
      <c r="O401" s="1122"/>
      <c r="Q401" s="985"/>
      <c r="R401" s="985"/>
      <c r="S401" s="985"/>
      <c r="T401" s="985"/>
      <c r="U401" s="985"/>
      <c r="V401" s="985"/>
      <c r="W401" s="985"/>
      <c r="X401" s="985"/>
    </row>
    <row r="402" spans="2:24" s="984" customFormat="1">
      <c r="F402" s="1205"/>
      <c r="H402" s="1191"/>
      <c r="J402" s="1122"/>
      <c r="K402" s="1122"/>
      <c r="L402" s="1122"/>
      <c r="M402" s="1122"/>
      <c r="N402" s="1122"/>
      <c r="O402" s="1122"/>
      <c r="Q402" s="985"/>
      <c r="R402" s="985"/>
      <c r="S402" s="985"/>
      <c r="T402" s="985"/>
      <c r="U402" s="985"/>
      <c r="V402" s="985"/>
      <c r="W402" s="985"/>
      <c r="X402" s="985"/>
    </row>
    <row r="403" spans="2:24" s="984" customFormat="1">
      <c r="F403" s="1205"/>
      <c r="H403" s="1191"/>
      <c r="J403" s="1122"/>
      <c r="K403" s="1122"/>
      <c r="L403" s="1122"/>
      <c r="M403" s="1122"/>
      <c r="N403" s="1122"/>
      <c r="O403" s="1122"/>
      <c r="Q403" s="985"/>
      <c r="R403" s="985"/>
      <c r="S403" s="985"/>
      <c r="T403" s="985"/>
      <c r="U403" s="985"/>
      <c r="V403" s="985"/>
      <c r="W403" s="985"/>
      <c r="X403" s="985"/>
    </row>
    <row r="404" spans="2:24" s="984" customFormat="1">
      <c r="F404" s="1205"/>
      <c r="H404" s="1191"/>
      <c r="J404" s="1122"/>
      <c r="K404" s="1122"/>
      <c r="L404" s="1122"/>
      <c r="M404" s="1122"/>
      <c r="N404" s="1122"/>
      <c r="O404" s="1122"/>
      <c r="Q404" s="985"/>
      <c r="R404" s="985"/>
      <c r="S404" s="985"/>
      <c r="T404" s="985"/>
      <c r="U404" s="985"/>
      <c r="V404" s="985"/>
      <c r="W404" s="985"/>
      <c r="X404" s="985"/>
    </row>
    <row r="405" spans="2:24" s="984" customFormat="1">
      <c r="F405" s="1205"/>
      <c r="H405" s="1191"/>
      <c r="J405" s="1122"/>
      <c r="K405" s="1122"/>
      <c r="L405" s="1122"/>
      <c r="M405" s="1122"/>
      <c r="N405" s="1122"/>
      <c r="O405" s="1122"/>
      <c r="Q405" s="985"/>
      <c r="R405" s="985"/>
      <c r="S405" s="985"/>
      <c r="T405" s="985"/>
      <c r="U405" s="985"/>
      <c r="V405" s="985"/>
      <c r="W405" s="985"/>
      <c r="X405" s="985"/>
    </row>
    <row r="406" spans="2:24" s="984" customFormat="1">
      <c r="F406" s="1205"/>
      <c r="H406" s="1191"/>
      <c r="J406" s="1122"/>
      <c r="K406" s="1122"/>
      <c r="L406" s="1122"/>
      <c r="M406" s="1122"/>
      <c r="N406" s="1122"/>
      <c r="O406" s="1122"/>
      <c r="Q406" s="985"/>
      <c r="R406" s="985"/>
      <c r="S406" s="985"/>
      <c r="T406" s="985"/>
      <c r="U406" s="985"/>
      <c r="V406" s="985"/>
      <c r="W406" s="985"/>
      <c r="X406" s="985"/>
    </row>
    <row r="407" spans="2:24" s="984" customFormat="1">
      <c r="F407" s="1205"/>
      <c r="H407" s="1191"/>
      <c r="J407" s="1122"/>
      <c r="K407" s="1122"/>
      <c r="L407" s="1122"/>
      <c r="M407" s="1122"/>
      <c r="N407" s="1122"/>
      <c r="O407" s="1122"/>
      <c r="Q407" s="985"/>
      <c r="R407" s="985"/>
      <c r="S407" s="985"/>
      <c r="T407" s="985"/>
      <c r="U407" s="985"/>
      <c r="V407" s="985"/>
      <c r="W407" s="985"/>
      <c r="X407" s="985"/>
    </row>
    <row r="408" spans="2:24" s="984" customFormat="1">
      <c r="F408" s="1205"/>
      <c r="H408" s="1191"/>
      <c r="J408" s="1122"/>
      <c r="K408" s="1122"/>
      <c r="L408" s="1122"/>
      <c r="M408" s="1122"/>
      <c r="N408" s="1122"/>
      <c r="O408" s="1122"/>
      <c r="Q408" s="985"/>
      <c r="R408" s="985"/>
      <c r="S408" s="985"/>
      <c r="T408" s="985"/>
      <c r="U408" s="985"/>
      <c r="V408" s="985"/>
      <c r="W408" s="985"/>
      <c r="X408" s="985"/>
    </row>
    <row r="409" spans="2:24" s="984" customFormat="1">
      <c r="F409" s="1205"/>
      <c r="H409" s="1191"/>
      <c r="J409" s="1122"/>
      <c r="K409" s="1122"/>
      <c r="L409" s="1122"/>
      <c r="M409" s="1122"/>
      <c r="N409" s="1122"/>
      <c r="O409" s="1122"/>
      <c r="Q409" s="985"/>
      <c r="R409" s="985"/>
      <c r="S409" s="985"/>
      <c r="T409" s="985"/>
      <c r="U409" s="985"/>
      <c r="V409" s="985"/>
      <c r="W409" s="985"/>
      <c r="X409" s="985"/>
    </row>
    <row r="410" spans="2:24">
      <c r="B410" s="984"/>
      <c r="C410" s="984"/>
      <c r="D410" s="984"/>
      <c r="E410" s="984"/>
      <c r="F410" s="1205"/>
      <c r="G410" s="984"/>
      <c r="H410" s="1191"/>
    </row>
  </sheetData>
  <mergeCells count="3">
    <mergeCell ref="B1:H1"/>
    <mergeCell ref="B71:H71"/>
    <mergeCell ref="B80:H82"/>
  </mergeCells>
  <printOptions horizontalCentered="1"/>
  <pageMargins left="0.25" right="0.25" top="0.25" bottom="0.25" header="0.3" footer="0.3"/>
  <pageSetup scale="75" fitToHeight="2" orientation="portrait" r:id="rId1"/>
  <headerFooter>
    <oddFooter>&amp;R&amp;P of &amp;N</oddFooter>
  </headerFooter>
  <rowBreaks count="1" manualBreakCount="1">
    <brk id="49" min="9" max="14" man="1"/>
  </rowBreaks>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79998168889431442"/>
    <pageSetUpPr fitToPage="1"/>
  </sheetPr>
  <dimension ref="A1:LW462"/>
  <sheetViews>
    <sheetView topLeftCell="A13" zoomScale="80" zoomScaleNormal="80" workbookViewId="0">
      <selection activeCell="F56" sqref="F56"/>
    </sheetView>
  </sheetViews>
  <sheetFormatPr defaultColWidth="9.42578125" defaultRowHeight="12.75"/>
  <cols>
    <col min="1" max="1" width="3" style="8" customWidth="1"/>
    <col min="2" max="2" width="23.5703125" style="8" customWidth="1"/>
    <col min="3" max="9" width="10.42578125" style="8" customWidth="1"/>
    <col min="10" max="10" width="19.42578125" style="8" customWidth="1"/>
    <col min="11" max="11" width="2.5703125" style="8" customWidth="1"/>
    <col min="12" max="12" width="21.42578125" style="8" customWidth="1"/>
    <col min="13" max="13" width="4.5703125" style="8" bestFit="1" customWidth="1"/>
    <col min="14" max="14" width="14.5703125" style="8" customWidth="1"/>
    <col min="15" max="15" width="11.5703125" style="8" customWidth="1"/>
    <col min="16" max="16" width="12" style="8" customWidth="1"/>
    <col min="17" max="17" width="3.5703125" style="8" customWidth="1"/>
    <col min="18" max="18" width="22.42578125" style="8" customWidth="1"/>
    <col min="19" max="19" width="4.5703125" style="8" bestFit="1" customWidth="1"/>
    <col min="20" max="20" width="15.5703125" style="8" customWidth="1"/>
    <col min="21" max="21" width="12.42578125" style="8" customWidth="1"/>
    <col min="22" max="22" width="12" style="8" customWidth="1"/>
    <col min="23" max="23" width="4.42578125" style="8" customWidth="1"/>
    <col min="24" max="24" width="23" style="8" bestFit="1" customWidth="1"/>
    <col min="25" max="25" width="4.5703125" style="8" bestFit="1" customWidth="1"/>
    <col min="26" max="26" width="15.5703125" style="8" customWidth="1"/>
    <col min="27" max="27" width="12.42578125" style="8" customWidth="1"/>
    <col min="28" max="28" width="12" style="8" customWidth="1"/>
    <col min="29" max="29" width="6" style="8" customWidth="1"/>
    <col min="30" max="335" width="9.42578125" style="255"/>
    <col min="336" max="16384" width="9.42578125" style="8"/>
  </cols>
  <sheetData>
    <row r="1" spans="1:29" s="255" customFormat="1" ht="15.75" customHeight="1" thickBot="1">
      <c r="A1" s="253"/>
      <c r="B1" s="2554" t="s">
        <v>546</v>
      </c>
      <c r="C1" s="2554"/>
      <c r="D1" s="2554"/>
      <c r="E1" s="2554"/>
      <c r="F1" s="2554"/>
      <c r="G1" s="2554"/>
      <c r="H1" s="2554"/>
      <c r="I1" s="2554"/>
      <c r="J1" s="2554"/>
      <c r="K1" s="253"/>
      <c r="L1" s="2554" t="s">
        <v>554</v>
      </c>
      <c r="M1" s="2554"/>
      <c r="N1" s="2554"/>
      <c r="O1" s="2554"/>
      <c r="P1" s="2554"/>
      <c r="Q1" s="2554"/>
      <c r="R1" s="2554"/>
      <c r="S1" s="2554"/>
      <c r="T1" s="2554"/>
      <c r="U1" s="2554"/>
      <c r="V1" s="2554"/>
      <c r="W1" s="2554"/>
      <c r="X1" s="2554"/>
      <c r="Y1" s="2554"/>
      <c r="Z1" s="2554"/>
      <c r="AA1" s="2554"/>
      <c r="AB1" s="2554"/>
      <c r="AC1" s="253"/>
    </row>
    <row r="2" spans="1:29" s="255" customFormat="1" ht="9.75" customHeight="1" thickBot="1">
      <c r="A2" s="253"/>
      <c r="B2" s="35"/>
      <c r="C2" s="35"/>
      <c r="D2" s="35"/>
      <c r="E2" s="35"/>
      <c r="F2" s="35"/>
      <c r="G2" s="35"/>
      <c r="H2" s="35"/>
      <c r="I2" s="35"/>
      <c r="J2" s="35"/>
      <c r="K2" s="253"/>
      <c r="L2" s="35"/>
      <c r="M2" s="35"/>
      <c r="N2" s="35"/>
      <c r="O2" s="35"/>
      <c r="P2" s="35"/>
      <c r="Q2" s="35"/>
      <c r="R2" s="35"/>
      <c r="S2" s="35"/>
      <c r="T2" s="35"/>
      <c r="U2" s="35"/>
      <c r="V2" s="35"/>
      <c r="W2" s="35"/>
      <c r="X2" s="35"/>
      <c r="Y2" s="35"/>
      <c r="Z2" s="35"/>
      <c r="AA2" s="35"/>
      <c r="AB2" s="35"/>
      <c r="AC2" s="253"/>
    </row>
    <row r="3" spans="1:29" s="255" customFormat="1">
      <c r="A3" s="253"/>
      <c r="B3" s="138" t="s">
        <v>0</v>
      </c>
      <c r="C3" s="139" t="s">
        <v>1</v>
      </c>
      <c r="D3" s="163" t="s">
        <v>2</v>
      </c>
      <c r="E3" s="253"/>
      <c r="F3" s="253"/>
      <c r="G3" s="253"/>
      <c r="H3" s="253"/>
      <c r="I3" s="253"/>
      <c r="J3" s="253"/>
      <c r="K3" s="253"/>
      <c r="L3" s="254"/>
      <c r="M3" s="253"/>
      <c r="N3" s="253"/>
      <c r="O3" s="253"/>
      <c r="P3" s="253"/>
      <c r="Q3" s="253"/>
      <c r="R3" s="253"/>
      <c r="S3" s="253"/>
      <c r="T3" s="253"/>
      <c r="U3" s="253"/>
      <c r="V3" s="253"/>
      <c r="W3" s="253"/>
      <c r="X3" s="253"/>
      <c r="Y3" s="253"/>
      <c r="Z3" s="253"/>
      <c r="AA3" s="253"/>
      <c r="AB3" s="253"/>
      <c r="AC3" s="253"/>
    </row>
    <row r="4" spans="1:29" s="255" customFormat="1">
      <c r="A4" s="253"/>
      <c r="B4" s="140" t="s">
        <v>370</v>
      </c>
      <c r="C4" s="141">
        <v>10</v>
      </c>
      <c r="D4" s="164">
        <f>C4*8</f>
        <v>80</v>
      </c>
      <c r="E4" s="38"/>
      <c r="F4" s="38"/>
      <c r="G4" s="253"/>
      <c r="H4" s="253"/>
      <c r="I4" s="253"/>
      <c r="J4" s="253"/>
      <c r="K4" s="253"/>
      <c r="L4" s="253"/>
      <c r="M4" s="253"/>
      <c r="N4" s="253"/>
      <c r="O4" s="253"/>
      <c r="P4" s="253"/>
      <c r="Q4" s="253"/>
      <c r="R4" s="253"/>
      <c r="S4" s="253"/>
      <c r="T4" s="253"/>
      <c r="U4" s="253"/>
      <c r="V4" s="253"/>
      <c r="W4" s="253"/>
      <c r="X4" s="253"/>
      <c r="Y4" s="253"/>
      <c r="Z4" s="253"/>
      <c r="AA4" s="253"/>
      <c r="AB4" s="253"/>
      <c r="AC4" s="253"/>
    </row>
    <row r="5" spans="1:29" s="255" customFormat="1">
      <c r="A5" s="253"/>
      <c r="B5" s="140" t="s">
        <v>378</v>
      </c>
      <c r="C5" s="141">
        <v>10</v>
      </c>
      <c r="D5" s="164">
        <f>C5*8</f>
        <v>80</v>
      </c>
      <c r="E5" s="39"/>
      <c r="F5" s="39"/>
      <c r="G5" s="253"/>
      <c r="H5" s="253"/>
      <c r="I5" s="253"/>
      <c r="J5" s="253"/>
      <c r="K5" s="253"/>
      <c r="L5" s="253"/>
      <c r="M5" s="253"/>
      <c r="N5" s="253"/>
      <c r="O5" s="253"/>
      <c r="P5" s="253"/>
      <c r="Q5" s="253"/>
      <c r="R5" s="253"/>
      <c r="S5" s="253"/>
      <c r="T5" s="253"/>
      <c r="U5" s="253"/>
      <c r="V5" s="253"/>
      <c r="W5" s="253"/>
      <c r="X5" s="253"/>
      <c r="Y5" s="253"/>
      <c r="Z5" s="253"/>
      <c r="AA5" s="253"/>
      <c r="AB5" s="253"/>
      <c r="AC5" s="253"/>
    </row>
    <row r="6" spans="1:29" s="255" customFormat="1">
      <c r="A6" s="253"/>
      <c r="B6" s="140" t="s">
        <v>372</v>
      </c>
      <c r="C6" s="141">
        <v>10</v>
      </c>
      <c r="D6" s="164">
        <f>C6*8</f>
        <v>80</v>
      </c>
      <c r="E6" s="39"/>
      <c r="F6" s="39"/>
      <c r="G6" s="253"/>
      <c r="H6" s="253"/>
      <c r="I6" s="253"/>
      <c r="J6" s="253"/>
      <c r="K6" s="253"/>
      <c r="L6" s="253"/>
      <c r="M6" s="253"/>
      <c r="N6" s="253"/>
      <c r="O6" s="253"/>
      <c r="P6" s="253"/>
      <c r="Q6" s="253"/>
      <c r="R6" s="253"/>
      <c r="S6" s="253"/>
      <c r="T6" s="253"/>
      <c r="U6" s="253"/>
      <c r="V6" s="253"/>
      <c r="W6" s="253"/>
      <c r="X6" s="253"/>
      <c r="Y6" s="253"/>
      <c r="Z6" s="253"/>
      <c r="AA6" s="253"/>
      <c r="AB6" s="253"/>
      <c r="AC6" s="253"/>
    </row>
    <row r="7" spans="1:29" s="255" customFormat="1">
      <c r="A7" s="253"/>
      <c r="B7" s="142" t="s">
        <v>14</v>
      </c>
      <c r="C7" s="141">
        <v>10</v>
      </c>
      <c r="D7" s="165">
        <f>C7*8</f>
        <v>80</v>
      </c>
      <c r="E7" s="39"/>
      <c r="F7" s="39"/>
      <c r="G7" s="253"/>
      <c r="H7" s="253"/>
      <c r="I7" s="253"/>
      <c r="J7" s="253"/>
      <c r="K7" s="253"/>
      <c r="L7" s="330" t="s">
        <v>557</v>
      </c>
      <c r="M7" s="253"/>
      <c r="N7" s="253"/>
      <c r="O7" s="253"/>
      <c r="P7" s="253"/>
      <c r="Q7" s="253"/>
      <c r="R7" s="253"/>
      <c r="S7" s="253"/>
      <c r="T7" s="253"/>
      <c r="U7" s="253"/>
      <c r="V7" s="253"/>
      <c r="W7" s="253"/>
      <c r="X7" s="253"/>
      <c r="Y7" s="253"/>
      <c r="Z7" s="253"/>
      <c r="AA7" s="253"/>
      <c r="AB7" s="253"/>
      <c r="AC7" s="253"/>
    </row>
    <row r="8" spans="1:29" s="255" customFormat="1" ht="13.5" thickBot="1">
      <c r="A8" s="253"/>
      <c r="B8" s="140"/>
      <c r="C8" s="143" t="s">
        <v>3</v>
      </c>
      <c r="D8" s="164">
        <f>SUM(D4:D7)</f>
        <v>320</v>
      </c>
      <c r="E8" s="39"/>
      <c r="F8" s="39"/>
      <c r="G8" s="253"/>
      <c r="H8" s="253"/>
      <c r="I8" s="253"/>
      <c r="J8" s="253"/>
      <c r="K8" s="253"/>
      <c r="L8" s="253"/>
      <c r="M8" s="253"/>
      <c r="N8" s="253"/>
      <c r="O8" s="253"/>
      <c r="P8" s="253"/>
      <c r="Q8" s="253"/>
      <c r="R8" s="253"/>
      <c r="S8" s="253"/>
      <c r="T8" s="253"/>
      <c r="U8" s="253"/>
      <c r="V8" s="253"/>
      <c r="W8" s="253"/>
      <c r="X8" s="253"/>
      <c r="Y8" s="253"/>
      <c r="Z8" s="253"/>
      <c r="AA8" s="253"/>
      <c r="AB8" s="253"/>
      <c r="AC8" s="253"/>
    </row>
    <row r="9" spans="1:29" s="255" customFormat="1" ht="13.5" customHeight="1" thickBot="1">
      <c r="A9" s="253"/>
      <c r="B9" s="144"/>
      <c r="C9" s="145" t="s">
        <v>4</v>
      </c>
      <c r="D9" s="166">
        <f>D8/(52*40)</f>
        <v>0.15384615384615385</v>
      </c>
      <c r="E9" s="39"/>
      <c r="F9" s="39"/>
      <c r="G9" s="253"/>
      <c r="H9" s="253"/>
      <c r="I9" s="253"/>
      <c r="J9" s="253"/>
      <c r="K9" s="253"/>
      <c r="L9" s="2560" t="s">
        <v>558</v>
      </c>
      <c r="M9" s="2561"/>
      <c r="N9" s="2561"/>
      <c r="O9" s="2561"/>
      <c r="P9" s="2562"/>
      <c r="Q9" s="8"/>
      <c r="R9" s="2560" t="s">
        <v>559</v>
      </c>
      <c r="S9" s="2561"/>
      <c r="T9" s="2561"/>
      <c r="U9" s="2561"/>
      <c r="V9" s="2562"/>
      <c r="W9" s="8"/>
      <c r="X9" s="2560" t="s">
        <v>560</v>
      </c>
      <c r="Y9" s="2561"/>
      <c r="Z9" s="2561"/>
      <c r="AA9" s="2561"/>
      <c r="AB9" s="2562"/>
      <c r="AC9" s="253"/>
    </row>
    <row r="10" spans="1:29" s="255" customFormat="1">
      <c r="A10" s="253"/>
      <c r="B10" s="253"/>
      <c r="C10" s="253"/>
      <c r="D10" s="253"/>
      <c r="E10" s="40"/>
      <c r="F10" s="40"/>
      <c r="G10" s="253"/>
      <c r="H10" s="253"/>
      <c r="I10" s="253"/>
      <c r="J10" s="253"/>
      <c r="K10" s="253"/>
      <c r="L10" s="146" t="s">
        <v>277</v>
      </c>
      <c r="M10" s="147">
        <v>5</v>
      </c>
      <c r="N10" s="148"/>
      <c r="O10" s="149" t="s">
        <v>133</v>
      </c>
      <c r="P10" s="150">
        <f>M10*365</f>
        <v>1825</v>
      </c>
      <c r="Q10" s="253"/>
      <c r="R10" s="146" t="s">
        <v>277</v>
      </c>
      <c r="S10" s="147">
        <v>8</v>
      </c>
      <c r="T10" s="148"/>
      <c r="U10" s="149" t="s">
        <v>133</v>
      </c>
      <c r="V10" s="150">
        <f>S10*365</f>
        <v>2920</v>
      </c>
      <c r="W10" s="253"/>
      <c r="X10" s="146" t="s">
        <v>36</v>
      </c>
      <c r="Y10" s="147">
        <v>11</v>
      </c>
      <c r="Z10" s="148"/>
      <c r="AA10" s="149" t="s">
        <v>133</v>
      </c>
      <c r="AB10" s="150">
        <f>Y10*365</f>
        <v>4015</v>
      </c>
      <c r="AC10" s="253"/>
    </row>
    <row r="11" spans="1:29" s="255" customFormat="1" ht="13.5" thickBot="1">
      <c r="A11" s="253"/>
      <c r="B11" s="330" t="s">
        <v>566</v>
      </c>
      <c r="C11" s="253"/>
      <c r="D11" s="253"/>
      <c r="E11" s="253"/>
      <c r="F11" s="253"/>
      <c r="G11" s="253"/>
      <c r="H11" s="253"/>
      <c r="I11" s="253"/>
      <c r="J11" s="253"/>
      <c r="K11" s="253"/>
      <c r="L11" s="104"/>
      <c r="M11" s="72"/>
      <c r="N11" s="72"/>
      <c r="O11" s="72"/>
      <c r="P11" s="105"/>
      <c r="Q11" s="253"/>
      <c r="R11" s="104"/>
      <c r="S11" s="72"/>
      <c r="T11" s="72"/>
      <c r="U11" s="72"/>
      <c r="V11" s="105"/>
      <c r="W11" s="253"/>
      <c r="X11" s="104"/>
      <c r="Y11" s="72"/>
      <c r="Z11" s="72"/>
      <c r="AA11" s="72"/>
      <c r="AB11" s="105"/>
      <c r="AC11" s="253"/>
    </row>
    <row r="12" spans="1:29" s="255" customFormat="1" ht="25.5">
      <c r="A12" s="253"/>
      <c r="B12" s="42"/>
      <c r="C12" s="43" t="s">
        <v>41</v>
      </c>
      <c r="D12" s="43"/>
      <c r="E12" s="43"/>
      <c r="F12" s="603" t="s">
        <v>602</v>
      </c>
      <c r="G12" s="287" t="s">
        <v>278</v>
      </c>
      <c r="H12" s="272"/>
      <c r="I12" s="272"/>
      <c r="J12" s="273"/>
      <c r="K12" s="253"/>
      <c r="L12" s="106"/>
      <c r="M12" s="53"/>
      <c r="N12" s="54" t="s">
        <v>5</v>
      </c>
      <c r="O12" s="54" t="s">
        <v>6</v>
      </c>
      <c r="P12" s="107" t="s">
        <v>7</v>
      </c>
      <c r="Q12" s="253"/>
      <c r="R12" s="106"/>
      <c r="S12" s="53"/>
      <c r="T12" s="54" t="s">
        <v>5</v>
      </c>
      <c r="U12" s="54" t="s">
        <v>6</v>
      </c>
      <c r="V12" s="107" t="s">
        <v>7</v>
      </c>
      <c r="W12" s="253"/>
      <c r="X12" s="106"/>
      <c r="Y12" s="53"/>
      <c r="Z12" s="54" t="s">
        <v>5</v>
      </c>
      <c r="AA12" s="54" t="s">
        <v>6</v>
      </c>
      <c r="AB12" s="107" t="s">
        <v>7</v>
      </c>
      <c r="AC12" s="253"/>
    </row>
    <row r="13" spans="1:29" s="255" customFormat="1">
      <c r="A13" s="253"/>
      <c r="B13" s="171" t="s">
        <v>31</v>
      </c>
      <c r="C13" s="82"/>
      <c r="D13" s="82"/>
      <c r="E13" s="82"/>
      <c r="F13" s="82"/>
      <c r="G13" s="283"/>
      <c r="H13" s="274"/>
      <c r="I13" s="274"/>
      <c r="J13" s="275"/>
      <c r="K13" s="253"/>
      <c r="L13" s="171" t="s">
        <v>31</v>
      </c>
      <c r="M13" s="55"/>
      <c r="N13" s="56"/>
      <c r="O13" s="56"/>
      <c r="P13" s="108"/>
      <c r="Q13" s="253"/>
      <c r="R13" s="171" t="s">
        <v>31</v>
      </c>
      <c r="S13" s="55"/>
      <c r="T13" s="56"/>
      <c r="U13" s="56"/>
      <c r="V13" s="108"/>
      <c r="W13" s="253"/>
      <c r="X13" s="171" t="s">
        <v>31</v>
      </c>
      <c r="Y13" s="55"/>
      <c r="Z13" s="56"/>
      <c r="AA13" s="56"/>
      <c r="AB13" s="108"/>
      <c r="AC13" s="253"/>
    </row>
    <row r="14" spans="1:29" s="255" customFormat="1">
      <c r="A14" s="253"/>
      <c r="B14" s="48" t="s">
        <v>421</v>
      </c>
      <c r="C14" s="46">
        <f>'[21]FY15 Salary Benchmark'!C4</f>
        <v>75010.821691296602</v>
      </c>
      <c r="D14" s="46"/>
      <c r="E14" s="46"/>
      <c r="F14" s="601">
        <f>'[21]Integrated Team'!F15</f>
        <v>85899</v>
      </c>
      <c r="G14" s="304" t="s">
        <v>791</v>
      </c>
      <c r="H14" s="274"/>
      <c r="I14" s="274"/>
      <c r="J14" s="275"/>
      <c r="K14" s="253"/>
      <c r="L14" s="109" t="s">
        <v>422</v>
      </c>
      <c r="M14" s="57"/>
      <c r="N14" s="594">
        <f>F14</f>
        <v>85899</v>
      </c>
      <c r="O14" s="59">
        <f>C23</f>
        <v>0.05</v>
      </c>
      <c r="P14" s="110">
        <f>N14*O14</f>
        <v>4294.95</v>
      </c>
      <c r="Q14" s="256"/>
      <c r="R14" s="109" t="s">
        <v>422</v>
      </c>
      <c r="S14" s="57"/>
      <c r="T14" s="594">
        <f>F14</f>
        <v>85899</v>
      </c>
      <c r="U14" s="59">
        <f>D23</f>
        <v>0.05</v>
      </c>
      <c r="V14" s="110">
        <f>T14*U14</f>
        <v>4294.95</v>
      </c>
      <c r="W14" s="253"/>
      <c r="X14" s="109" t="s">
        <v>422</v>
      </c>
      <c r="Y14" s="57"/>
      <c r="Z14" s="594">
        <f>F14</f>
        <v>85899</v>
      </c>
      <c r="AA14" s="59">
        <f>E23</f>
        <v>0.05</v>
      </c>
      <c r="AB14" s="110">
        <f>Z14*AA14</f>
        <v>4294.95</v>
      </c>
      <c r="AC14" s="253"/>
    </row>
    <row r="15" spans="1:29" s="255" customFormat="1">
      <c r="A15" s="253"/>
      <c r="B15" s="48" t="s">
        <v>121</v>
      </c>
      <c r="C15" s="46">
        <v>41906</v>
      </c>
      <c r="D15" s="46"/>
      <c r="E15" s="46"/>
      <c r="F15" s="325"/>
      <c r="G15" s="304" t="s">
        <v>474</v>
      </c>
      <c r="H15" s="274"/>
      <c r="I15" s="274"/>
      <c r="J15" s="275"/>
      <c r="K15" s="253"/>
      <c r="L15" s="109" t="s">
        <v>135</v>
      </c>
      <c r="M15" s="57"/>
      <c r="N15" s="58">
        <f>C15</f>
        <v>41906</v>
      </c>
      <c r="O15" s="59">
        <f>C24</f>
        <v>1.1499999999999999</v>
      </c>
      <c r="P15" s="110">
        <f>N15*O15</f>
        <v>48191.899999999994</v>
      </c>
      <c r="Q15" s="256"/>
      <c r="R15" s="109" t="s">
        <v>135</v>
      </c>
      <c r="S15" s="57"/>
      <c r="T15" s="58">
        <f>C15</f>
        <v>41906</v>
      </c>
      <c r="U15" s="59">
        <f>D24</f>
        <v>1.1499999999999999</v>
      </c>
      <c r="V15" s="110">
        <f>T15*U15</f>
        <v>48191.899999999994</v>
      </c>
      <c r="W15" s="253"/>
      <c r="X15" s="109" t="s">
        <v>135</v>
      </c>
      <c r="Y15" s="57"/>
      <c r="Z15" s="58">
        <f>C15</f>
        <v>41906</v>
      </c>
      <c r="AA15" s="59">
        <f>E24</f>
        <v>1.1499999999999999</v>
      </c>
      <c r="AB15" s="110">
        <f>Z15*AA15</f>
        <v>48191.899999999994</v>
      </c>
      <c r="AC15" s="253"/>
    </row>
    <row r="16" spans="1:29" s="255" customFormat="1">
      <c r="A16" s="253"/>
      <c r="B16" s="48" t="s">
        <v>130</v>
      </c>
      <c r="C16" s="46">
        <f>'[21]Integrated Team'!E23</f>
        <v>28974.49</v>
      </c>
      <c r="D16" s="46"/>
      <c r="E16" s="46"/>
      <c r="F16" s="46"/>
      <c r="G16" s="304" t="str">
        <f>'[21]Integrated Team'!H23</f>
        <v>Benchmark 101 CMR 420</v>
      </c>
      <c r="H16" s="274"/>
      <c r="I16" s="274"/>
      <c r="J16" s="275"/>
      <c r="K16" s="253"/>
      <c r="L16" s="109" t="s">
        <v>131</v>
      </c>
      <c r="M16" s="57"/>
      <c r="N16" s="58">
        <f>C16</f>
        <v>28974.49</v>
      </c>
      <c r="O16" s="59">
        <f>C25</f>
        <v>7</v>
      </c>
      <c r="P16" s="110">
        <f>N16*O16</f>
        <v>202821.43000000002</v>
      </c>
      <c r="Q16" s="256"/>
      <c r="R16" s="109" t="s">
        <v>131</v>
      </c>
      <c r="S16" s="57"/>
      <c r="T16" s="58">
        <f>C16</f>
        <v>28974.49</v>
      </c>
      <c r="U16" s="59">
        <f>D25</f>
        <v>8</v>
      </c>
      <c r="V16" s="110">
        <f>T16*U16</f>
        <v>231795.92</v>
      </c>
      <c r="W16" s="253"/>
      <c r="X16" s="109" t="s">
        <v>131</v>
      </c>
      <c r="Y16" s="57"/>
      <c r="Z16" s="58">
        <f>C16</f>
        <v>28974.49</v>
      </c>
      <c r="AA16" s="59">
        <f>E25</f>
        <v>9</v>
      </c>
      <c r="AB16" s="110">
        <f>Z16*AA16</f>
        <v>260770.41</v>
      </c>
      <c r="AC16" s="253"/>
    </row>
    <row r="17" spans="1:29" s="255" customFormat="1">
      <c r="A17" s="253"/>
      <c r="B17" s="48" t="s">
        <v>49</v>
      </c>
      <c r="C17" s="46">
        <f>C16</f>
        <v>28974.49</v>
      </c>
      <c r="D17" s="46"/>
      <c r="E17" s="46"/>
      <c r="F17" s="46"/>
      <c r="G17" s="304" t="str">
        <f>G16</f>
        <v>Benchmark 101 CMR 420</v>
      </c>
      <c r="H17" s="274"/>
      <c r="I17" s="274"/>
      <c r="J17" s="275"/>
      <c r="K17" s="253"/>
      <c r="L17" s="182" t="s">
        <v>12</v>
      </c>
      <c r="M17" s="60"/>
      <c r="N17" s="61">
        <f>C17</f>
        <v>28974.49</v>
      </c>
      <c r="O17" s="62">
        <f>C26</f>
        <v>1.0769230769230771</v>
      </c>
      <c r="P17" s="113">
        <f>N17*O17</f>
        <v>31203.29692307693</v>
      </c>
      <c r="Q17" s="256"/>
      <c r="R17" s="182" t="s">
        <v>12</v>
      </c>
      <c r="S17" s="60"/>
      <c r="T17" s="61">
        <f>C17</f>
        <v>28974.49</v>
      </c>
      <c r="U17" s="62">
        <f>D26</f>
        <v>1.2307692307692308</v>
      </c>
      <c r="V17" s="113">
        <f>T17*U17</f>
        <v>35660.910769230773</v>
      </c>
      <c r="W17" s="253"/>
      <c r="X17" s="182" t="s">
        <v>12</v>
      </c>
      <c r="Y17" s="60"/>
      <c r="Z17" s="61">
        <f>C17</f>
        <v>28974.49</v>
      </c>
      <c r="AA17" s="62">
        <f>E26</f>
        <v>1.3846153846153846</v>
      </c>
      <c r="AB17" s="113">
        <f>Z17*AA17</f>
        <v>40118.524615384616</v>
      </c>
      <c r="AC17" s="253"/>
    </row>
    <row r="18" spans="1:29" s="255" customFormat="1">
      <c r="A18" s="253"/>
      <c r="B18" s="48"/>
      <c r="C18" s="46"/>
      <c r="D18" s="46"/>
      <c r="E18" s="46"/>
      <c r="F18" s="46"/>
      <c r="G18" s="284"/>
      <c r="H18" s="274"/>
      <c r="I18" s="274"/>
      <c r="J18" s="275"/>
      <c r="K18" s="253"/>
      <c r="L18" s="106" t="s">
        <v>13</v>
      </c>
      <c r="M18" s="5"/>
      <c r="N18" s="181">
        <f>P18/O18</f>
        <v>30884.332504145943</v>
      </c>
      <c r="O18" s="169">
        <f>SUM(O14:O17)</f>
        <v>9.2769230769230759</v>
      </c>
      <c r="P18" s="183">
        <f>SUM(P14:P17)</f>
        <v>286511.57692307694</v>
      </c>
      <c r="Q18" s="256"/>
      <c r="R18" s="106" t="s">
        <v>13</v>
      </c>
      <c r="S18" s="5"/>
      <c r="T18" s="181">
        <f>V18/U18</f>
        <v>30673.066740412989</v>
      </c>
      <c r="U18" s="169">
        <f>SUM(U14:U17)</f>
        <v>10.430769230769229</v>
      </c>
      <c r="V18" s="183">
        <f>SUM(V14:V17)</f>
        <v>319943.68076923082</v>
      </c>
      <c r="W18" s="253"/>
      <c r="X18" s="106" t="s">
        <v>13</v>
      </c>
      <c r="Y18" s="5"/>
      <c r="Z18" s="181">
        <f>AB18/AA18</f>
        <v>30503.885790172648</v>
      </c>
      <c r="AA18" s="169">
        <f>SUM(AA14:AA17)</f>
        <v>11.584615384615384</v>
      </c>
      <c r="AB18" s="183">
        <f>SUM(AB14:AB17)</f>
        <v>353375.78461538465</v>
      </c>
      <c r="AC18" s="253"/>
    </row>
    <row r="19" spans="1:29" s="255" customFormat="1">
      <c r="A19" s="253"/>
      <c r="B19" s="48"/>
      <c r="C19" s="46"/>
      <c r="D19" s="46"/>
      <c r="E19" s="46"/>
      <c r="F19" s="46"/>
      <c r="G19" s="284"/>
      <c r="H19" s="274"/>
      <c r="I19" s="274"/>
      <c r="J19" s="275"/>
      <c r="K19" s="253"/>
      <c r="L19" s="104"/>
      <c r="M19" s="72"/>
      <c r="N19" s="72"/>
      <c r="O19" s="72"/>
      <c r="P19" s="116"/>
      <c r="Q19" s="256"/>
      <c r="R19" s="104"/>
      <c r="S19" s="72"/>
      <c r="T19" s="72"/>
      <c r="U19" s="72"/>
      <c r="V19" s="116"/>
      <c r="W19" s="253"/>
      <c r="X19" s="104"/>
      <c r="Y19" s="72"/>
      <c r="Z19" s="72"/>
      <c r="AA19" s="72"/>
      <c r="AB19" s="116"/>
      <c r="AC19" s="253"/>
    </row>
    <row r="20" spans="1:29" s="255" customFormat="1">
      <c r="A20" s="253"/>
      <c r="B20" s="81"/>
      <c r="C20" s="82" t="s">
        <v>35</v>
      </c>
      <c r="D20" s="82"/>
      <c r="E20" s="82"/>
      <c r="F20" s="328"/>
      <c r="G20" s="283"/>
      <c r="H20" s="274"/>
      <c r="I20" s="274"/>
      <c r="J20" s="275"/>
      <c r="K20" s="253"/>
      <c r="L20" s="100" t="s">
        <v>15</v>
      </c>
      <c r="M20" s="72"/>
      <c r="N20" s="72"/>
      <c r="O20" s="4" t="s">
        <v>16</v>
      </c>
      <c r="P20" s="105"/>
      <c r="Q20" s="256"/>
      <c r="R20" s="100" t="s">
        <v>15</v>
      </c>
      <c r="S20" s="72"/>
      <c r="T20" s="72"/>
      <c r="U20" s="4" t="s">
        <v>16</v>
      </c>
      <c r="V20" s="105"/>
      <c r="W20" s="253"/>
      <c r="X20" s="100" t="s">
        <v>15</v>
      </c>
      <c r="Y20" s="72"/>
      <c r="Z20" s="72"/>
      <c r="AA20" s="4" t="s">
        <v>16</v>
      </c>
      <c r="AB20" s="105"/>
      <c r="AC20" s="253"/>
    </row>
    <row r="21" spans="1:29" s="255" customFormat="1">
      <c r="A21" s="253"/>
      <c r="B21" s="81" t="s">
        <v>36</v>
      </c>
      <c r="C21" s="172" t="s">
        <v>118</v>
      </c>
      <c r="D21" s="172" t="s">
        <v>119</v>
      </c>
      <c r="E21" s="172" t="s">
        <v>120</v>
      </c>
      <c r="F21" s="51"/>
      <c r="G21" s="284"/>
      <c r="H21" s="274"/>
      <c r="I21" s="274"/>
      <c r="J21" s="275"/>
      <c r="K21" s="253"/>
      <c r="L21" s="104" t="s">
        <v>17</v>
      </c>
      <c r="M21" s="72"/>
      <c r="N21" s="65">
        <f>C30</f>
        <v>0.21493933013040212</v>
      </c>
      <c r="O21" s="72"/>
      <c r="P21" s="117">
        <f>N21*P18</f>
        <v>61582.606418451338</v>
      </c>
      <c r="Q21" s="256"/>
      <c r="R21" s="104" t="s">
        <v>17</v>
      </c>
      <c r="S21" s="72"/>
      <c r="T21" s="65">
        <f>C30</f>
        <v>0.21493933013040212</v>
      </c>
      <c r="U21" s="72"/>
      <c r="V21" s="117">
        <f>T21*V18</f>
        <v>68768.480423993693</v>
      </c>
      <c r="W21" s="253"/>
      <c r="X21" s="104" t="s">
        <v>17</v>
      </c>
      <c r="Y21" s="72"/>
      <c r="Z21" s="65">
        <f>C30</f>
        <v>0.21493933013040212</v>
      </c>
      <c r="AA21" s="72"/>
      <c r="AB21" s="117">
        <f>Z21*AB18</f>
        <v>75954.354429536033</v>
      </c>
      <c r="AC21" s="253"/>
    </row>
    <row r="22" spans="1:29" s="255" customFormat="1">
      <c r="A22" s="253"/>
      <c r="B22" s="171" t="s">
        <v>31</v>
      </c>
      <c r="C22" s="51"/>
      <c r="D22" s="51"/>
      <c r="E22" s="51"/>
      <c r="F22" s="51"/>
      <c r="G22" s="274"/>
      <c r="H22" s="274"/>
      <c r="I22" s="274"/>
      <c r="J22" s="275"/>
      <c r="K22" s="253"/>
      <c r="L22" s="114" t="s">
        <v>18</v>
      </c>
      <c r="M22" s="3"/>
      <c r="N22" s="3"/>
      <c r="O22" s="63"/>
      <c r="P22" s="118">
        <f>P18+P21</f>
        <v>348094.18334152829</v>
      </c>
      <c r="Q22" s="256"/>
      <c r="R22" s="114" t="s">
        <v>18</v>
      </c>
      <c r="S22" s="3"/>
      <c r="T22" s="3"/>
      <c r="U22" s="63"/>
      <c r="V22" s="118">
        <f>V18+V21</f>
        <v>388712.16119322449</v>
      </c>
      <c r="W22" s="253"/>
      <c r="X22" s="114" t="s">
        <v>18</v>
      </c>
      <c r="Y22" s="3"/>
      <c r="Z22" s="3"/>
      <c r="AA22" s="63"/>
      <c r="AB22" s="118">
        <f>AB18+AB21</f>
        <v>429330.13904492068</v>
      </c>
      <c r="AC22" s="253"/>
    </row>
    <row r="23" spans="1:29" s="255" customFormat="1">
      <c r="A23" s="253"/>
      <c r="B23" s="48" t="str">
        <f>B14</f>
        <v xml:space="preserve">  Management Supervision</v>
      </c>
      <c r="C23" s="85">
        <v>0.05</v>
      </c>
      <c r="D23" s="85">
        <v>0.05</v>
      </c>
      <c r="E23" s="85">
        <v>0.05</v>
      </c>
      <c r="F23" s="85"/>
      <c r="G23" s="276"/>
      <c r="H23" s="857"/>
      <c r="I23" s="857"/>
      <c r="J23" s="858"/>
      <c r="K23" s="253"/>
      <c r="L23" s="100"/>
      <c r="M23" s="4"/>
      <c r="N23" s="4"/>
      <c r="O23" s="66"/>
      <c r="P23" s="119"/>
      <c r="Q23" s="256"/>
      <c r="R23" s="100"/>
      <c r="S23" s="4"/>
      <c r="T23" s="4"/>
      <c r="U23" s="66"/>
      <c r="V23" s="119"/>
      <c r="W23" s="253"/>
      <c r="X23" s="100"/>
      <c r="Y23" s="4"/>
      <c r="Z23" s="4"/>
      <c r="AA23" s="66"/>
      <c r="AB23" s="119"/>
      <c r="AC23" s="253"/>
    </row>
    <row r="24" spans="1:29" s="255" customFormat="1">
      <c r="A24" s="253"/>
      <c r="B24" s="48" t="str">
        <f>B15</f>
        <v xml:space="preserve">  Site Manager</v>
      </c>
      <c r="C24" s="85">
        <v>1.1499999999999999</v>
      </c>
      <c r="D24" s="85">
        <v>1.1499999999999999</v>
      </c>
      <c r="E24" s="85">
        <v>1.1499999999999999</v>
      </c>
      <c r="F24" s="85"/>
      <c r="G24" s="276"/>
      <c r="H24" s="857"/>
      <c r="I24" s="857"/>
      <c r="J24" s="858"/>
      <c r="K24" s="253"/>
      <c r="L24" s="81" t="s">
        <v>22</v>
      </c>
      <c r="M24" s="72"/>
      <c r="N24" s="72"/>
      <c r="O24" s="72"/>
      <c r="P24" s="123">
        <f>D34</f>
        <v>5750</v>
      </c>
      <c r="Q24" s="256"/>
      <c r="R24" s="81" t="s">
        <v>22</v>
      </c>
      <c r="S24" s="72"/>
      <c r="T24" s="72"/>
      <c r="U24" s="72"/>
      <c r="V24" s="123">
        <f>D34</f>
        <v>5750</v>
      </c>
      <c r="W24" s="253"/>
      <c r="X24" s="81" t="s">
        <v>22</v>
      </c>
      <c r="Y24" s="72"/>
      <c r="Z24" s="72"/>
      <c r="AA24" s="72"/>
      <c r="AB24" s="123">
        <f>D34</f>
        <v>5750</v>
      </c>
      <c r="AC24" s="253"/>
    </row>
    <row r="25" spans="1:29" s="255" customFormat="1">
      <c r="A25" s="253"/>
      <c r="B25" s="48" t="str">
        <f>B16</f>
        <v xml:space="preserve">  DC Blended (DC I + II)</v>
      </c>
      <c r="C25" s="85">
        <v>7</v>
      </c>
      <c r="D25" s="85">
        <v>8</v>
      </c>
      <c r="E25" s="85">
        <v>9</v>
      </c>
      <c r="F25" s="85"/>
      <c r="G25" s="276"/>
      <c r="H25" s="857"/>
      <c r="I25" s="857"/>
      <c r="J25" s="858"/>
      <c r="K25" s="253"/>
      <c r="L25" s="81" t="s">
        <v>601</v>
      </c>
      <c r="M25" s="72"/>
      <c r="N25" s="598">
        <v>8.16</v>
      </c>
      <c r="O25" s="72"/>
      <c r="P25" s="879">
        <f>N25*P10</f>
        <v>14892</v>
      </c>
      <c r="Q25" s="256"/>
      <c r="R25" s="81" t="s">
        <v>601</v>
      </c>
      <c r="S25" s="72"/>
      <c r="T25" s="598">
        <v>8.16</v>
      </c>
      <c r="U25" s="72"/>
      <c r="V25" s="879">
        <f>T25*V10</f>
        <v>23827.200000000001</v>
      </c>
      <c r="W25" s="253"/>
      <c r="X25" s="570" t="str">
        <f>L25</f>
        <v>Meals / Food***</v>
      </c>
      <c r="Y25" s="571"/>
      <c r="Z25" s="598">
        <f>T25</f>
        <v>8.16</v>
      </c>
      <c r="AA25" s="571"/>
      <c r="AB25" s="878">
        <f>Z25*AB10</f>
        <v>32762.400000000001</v>
      </c>
      <c r="AC25" s="253"/>
    </row>
    <row r="26" spans="1:29" s="255" customFormat="1">
      <c r="A26" s="253"/>
      <c r="B26" s="80" t="str">
        <f>B17</f>
        <v xml:space="preserve">  Relief</v>
      </c>
      <c r="C26" s="85">
        <f>C25*$D$9</f>
        <v>1.0769230769230771</v>
      </c>
      <c r="D26" s="85">
        <f>D25*$D$9</f>
        <v>1.2307692307692308</v>
      </c>
      <c r="E26" s="85">
        <f>E25*$D$9</f>
        <v>1.3846153846153846</v>
      </c>
      <c r="F26" s="85"/>
      <c r="G26" s="285"/>
      <c r="H26" s="274"/>
      <c r="I26" s="274"/>
      <c r="J26" s="275"/>
      <c r="K26" s="253"/>
      <c r="L26" s="104"/>
      <c r="M26" s="72"/>
      <c r="N26" s="72"/>
      <c r="O26" s="66"/>
      <c r="P26" s="125"/>
      <c r="Q26" s="256"/>
      <c r="R26" s="104"/>
      <c r="S26" s="72"/>
      <c r="T26" s="72"/>
      <c r="U26" s="66"/>
      <c r="V26" s="125"/>
      <c r="W26" s="253"/>
      <c r="X26" s="104"/>
      <c r="Y26" s="72"/>
      <c r="Z26" s="72"/>
      <c r="AA26" s="66"/>
      <c r="AB26" s="125"/>
      <c r="AC26" s="253"/>
    </row>
    <row r="27" spans="1:29" s="255" customFormat="1" ht="12.75" customHeight="1">
      <c r="A27" s="253"/>
      <c r="B27" s="173"/>
      <c r="C27" s="174"/>
      <c r="D27" s="174"/>
      <c r="E27" s="174"/>
      <c r="F27" s="85"/>
      <c r="G27" s="276"/>
      <c r="H27" s="857"/>
      <c r="I27" s="857"/>
      <c r="J27" s="858"/>
      <c r="K27" s="253"/>
      <c r="L27" s="114" t="s">
        <v>23</v>
      </c>
      <c r="M27" s="3"/>
      <c r="N27" s="3"/>
      <c r="O27" s="3"/>
      <c r="P27" s="126">
        <f>SUM(P22:P25)</f>
        <v>368736.18334152829</v>
      </c>
      <c r="Q27" s="256"/>
      <c r="R27" s="114" t="s">
        <v>23</v>
      </c>
      <c r="S27" s="3"/>
      <c r="T27" s="3"/>
      <c r="U27" s="3"/>
      <c r="V27" s="126">
        <f>SUM(V22:V25)</f>
        <v>418289.3611932245</v>
      </c>
      <c r="W27" s="253"/>
      <c r="X27" s="114" t="s">
        <v>23</v>
      </c>
      <c r="Y27" s="3"/>
      <c r="Z27" s="3"/>
      <c r="AA27" s="3"/>
      <c r="AB27" s="126">
        <f>SUM(AB22:AB25)</f>
        <v>467842.5390449207</v>
      </c>
      <c r="AC27" s="253"/>
    </row>
    <row r="28" spans="1:29" s="255" customFormat="1">
      <c r="A28" s="253"/>
      <c r="B28" s="48"/>
      <c r="C28" s="45"/>
      <c r="D28" s="45"/>
      <c r="E28" s="45"/>
      <c r="F28" s="45"/>
      <c r="G28" s="274"/>
      <c r="H28" s="274"/>
      <c r="I28" s="274"/>
      <c r="J28" s="275"/>
      <c r="K28" s="253"/>
      <c r="L28" s="104"/>
      <c r="M28" s="72"/>
      <c r="N28" s="72"/>
      <c r="O28" s="73"/>
      <c r="P28" s="127"/>
      <c r="Q28" s="256"/>
      <c r="R28" s="104"/>
      <c r="S28" s="72"/>
      <c r="T28" s="72"/>
      <c r="U28" s="73"/>
      <c r="V28" s="127"/>
      <c r="W28" s="253"/>
      <c r="X28" s="104"/>
      <c r="Y28" s="72"/>
      <c r="Z28" s="72"/>
      <c r="AA28" s="73"/>
      <c r="AB28" s="127"/>
      <c r="AC28" s="253"/>
    </row>
    <row r="29" spans="1:29" s="255" customFormat="1">
      <c r="A29" s="253"/>
      <c r="B29" s="81"/>
      <c r="C29" s="82" t="s">
        <v>42</v>
      </c>
      <c r="D29" s="82"/>
      <c r="E29" s="82"/>
      <c r="F29" s="82"/>
      <c r="G29" s="283"/>
      <c r="H29" s="274"/>
      <c r="I29" s="274"/>
      <c r="J29" s="275"/>
      <c r="K29" s="253"/>
      <c r="L29" s="104"/>
      <c r="M29" s="72"/>
      <c r="N29" s="72"/>
      <c r="O29" s="72"/>
      <c r="P29" s="105"/>
      <c r="Q29" s="256"/>
      <c r="R29" s="104"/>
      <c r="S29" s="72"/>
      <c r="T29" s="72"/>
      <c r="U29" s="72"/>
      <c r="V29" s="105"/>
      <c r="W29" s="253"/>
      <c r="X29" s="104"/>
      <c r="Y29" s="72"/>
      <c r="Z29" s="72"/>
      <c r="AA29" s="72"/>
      <c r="AB29" s="105"/>
      <c r="AC29" s="253"/>
    </row>
    <row r="30" spans="1:29" s="255" customFormat="1">
      <c r="A30" s="253"/>
      <c r="B30" s="81" t="s">
        <v>17</v>
      </c>
      <c r="C30" s="88">
        <f>'[21]Integrated Team'!E32</f>
        <v>0.21493933013040212</v>
      </c>
      <c r="D30" s="88"/>
      <c r="E30" s="88"/>
      <c r="F30" s="88"/>
      <c r="G30" s="286" t="s">
        <v>553</v>
      </c>
      <c r="H30" s="857"/>
      <c r="I30" s="857"/>
      <c r="J30" s="858"/>
      <c r="K30" s="253"/>
      <c r="L30" s="104" t="s">
        <v>24</v>
      </c>
      <c r="M30" s="72"/>
      <c r="N30" s="187">
        <f>C39</f>
        <v>0.12</v>
      </c>
      <c r="O30" s="72"/>
      <c r="P30" s="117">
        <f>N30*P27</f>
        <v>44248.342000983394</v>
      </c>
      <c r="Q30" s="256"/>
      <c r="R30" s="104" t="s">
        <v>24</v>
      </c>
      <c r="S30" s="72"/>
      <c r="T30" s="187">
        <f>C39</f>
        <v>0.12</v>
      </c>
      <c r="U30" s="72"/>
      <c r="V30" s="117">
        <f>T30*V27</f>
        <v>50194.723343186939</v>
      </c>
      <c r="W30" s="253"/>
      <c r="X30" s="104" t="s">
        <v>24</v>
      </c>
      <c r="Y30" s="72"/>
      <c r="Z30" s="187">
        <f>C39</f>
        <v>0.12</v>
      </c>
      <c r="AA30" s="72"/>
      <c r="AB30" s="117">
        <f>Z30*AB27</f>
        <v>56141.104685390485</v>
      </c>
      <c r="AC30" s="253"/>
    </row>
    <row r="31" spans="1:29" s="255" customFormat="1">
      <c r="A31" s="253"/>
      <c r="B31" s="81" t="s">
        <v>601</v>
      </c>
      <c r="C31" s="565"/>
      <c r="D31" s="175"/>
      <c r="E31" s="175"/>
      <c r="F31" s="600">
        <v>8.16</v>
      </c>
      <c r="G31" s="599" t="s">
        <v>599</v>
      </c>
      <c r="H31" s="274"/>
      <c r="I31" s="274"/>
      <c r="J31" s="275"/>
      <c r="K31" s="253"/>
      <c r="L31" s="104"/>
      <c r="M31" s="72"/>
      <c r="N31" s="72"/>
      <c r="O31" s="72"/>
      <c r="P31" s="128"/>
      <c r="Q31" s="256"/>
      <c r="R31" s="104"/>
      <c r="S31" s="72"/>
      <c r="T31" s="72"/>
      <c r="U31" s="72"/>
      <c r="V31" s="128"/>
      <c r="W31" s="253"/>
      <c r="X31" s="104"/>
      <c r="Y31" s="72"/>
      <c r="Z31" s="72"/>
      <c r="AA31" s="72"/>
      <c r="AB31" s="128"/>
      <c r="AC31" s="253"/>
    </row>
    <row r="32" spans="1:29" s="255" customFormat="1" ht="13.5" thickBot="1">
      <c r="A32" s="253"/>
      <c r="B32" s="368"/>
      <c r="C32" s="369"/>
      <c r="D32" s="369"/>
      <c r="E32" s="369"/>
      <c r="F32" s="369"/>
      <c r="G32" s="370"/>
      <c r="H32" s="370"/>
      <c r="I32" s="370"/>
      <c r="J32" s="278"/>
      <c r="K32" s="253"/>
      <c r="L32" s="129" t="s">
        <v>25</v>
      </c>
      <c r="M32" s="74"/>
      <c r="N32" s="74"/>
      <c r="O32" s="74"/>
      <c r="P32" s="130">
        <f>SUM(P27:P30)</f>
        <v>412984.52534251171</v>
      </c>
      <c r="Q32" s="256"/>
      <c r="R32" s="129" t="s">
        <v>25</v>
      </c>
      <c r="S32" s="74"/>
      <c r="T32" s="74"/>
      <c r="U32" s="74"/>
      <c r="V32" s="130">
        <f>SUM(V27:V30)</f>
        <v>468484.08453641145</v>
      </c>
      <c r="W32" s="253"/>
      <c r="X32" s="129" t="s">
        <v>25</v>
      </c>
      <c r="Y32" s="74"/>
      <c r="Z32" s="74"/>
      <c r="AA32" s="74"/>
      <c r="AB32" s="130">
        <f>SUM(AB27:AB30)</f>
        <v>523983.64373031119</v>
      </c>
      <c r="AC32" s="253"/>
    </row>
    <row r="33" spans="1:29" s="255" customFormat="1" ht="13.5" thickTop="1">
      <c r="A33" s="253"/>
      <c r="B33" s="368"/>
      <c r="C33" s="369"/>
      <c r="D33" s="369"/>
      <c r="E33" s="369"/>
      <c r="F33" s="369"/>
      <c r="G33" s="370"/>
      <c r="H33" s="370"/>
      <c r="I33" s="370"/>
      <c r="J33" s="278"/>
      <c r="K33" s="253"/>
      <c r="L33" s="104"/>
      <c r="M33" s="72"/>
      <c r="N33" s="72"/>
      <c r="O33" s="72"/>
      <c r="P33" s="105"/>
      <c r="Q33" s="253"/>
      <c r="R33" s="104"/>
      <c r="S33" s="72"/>
      <c r="T33" s="72"/>
      <c r="U33" s="72"/>
      <c r="V33" s="105"/>
      <c r="W33" s="253"/>
      <c r="X33" s="104"/>
      <c r="Y33" s="72"/>
      <c r="Z33" s="72"/>
      <c r="AA33" s="72"/>
      <c r="AB33" s="105"/>
      <c r="AC33" s="253"/>
    </row>
    <row r="34" spans="1:29" s="255" customFormat="1">
      <c r="A34" s="253"/>
      <c r="B34" s="81" t="s">
        <v>22</v>
      </c>
      <c r="C34" s="89"/>
      <c r="D34" s="364">
        <v>5750</v>
      </c>
      <c r="E34" s="89"/>
      <c r="F34" s="325"/>
      <c r="G34" s="252" t="s">
        <v>476</v>
      </c>
      <c r="H34" s="365"/>
      <c r="I34" s="365"/>
      <c r="J34" s="327"/>
      <c r="K34" s="253"/>
      <c r="L34" s="104" t="s">
        <v>26</v>
      </c>
      <c r="M34" s="72"/>
      <c r="N34" s="131">
        <f>C41</f>
        <v>7.6809383045675458E-2</v>
      </c>
      <c r="O34" s="72"/>
      <c r="P34" s="132">
        <f>P32*(1+N34)</f>
        <v>444705.61194148118</v>
      </c>
      <c r="Q34" s="253"/>
      <c r="R34" s="104" t="s">
        <v>26</v>
      </c>
      <c r="S34" s="72"/>
      <c r="T34" s="131">
        <f>C41</f>
        <v>7.6809383045675458E-2</v>
      </c>
      <c r="U34" s="72"/>
      <c r="V34" s="132">
        <f>V32*(1+T34)</f>
        <v>504468.05803637131</v>
      </c>
      <c r="W34" s="253"/>
      <c r="X34" s="104" t="s">
        <v>26</v>
      </c>
      <c r="Y34" s="72"/>
      <c r="Z34" s="131">
        <f>C41</f>
        <v>7.6809383045675458E-2</v>
      </c>
      <c r="AA34" s="72"/>
      <c r="AB34" s="132">
        <f>AB32*(1+Z34)</f>
        <v>564230.50413126149</v>
      </c>
      <c r="AC34" s="253"/>
    </row>
    <row r="35" spans="1:29" s="255" customFormat="1" ht="13.5" thickBot="1">
      <c r="A35" s="253"/>
      <c r="B35" s="92"/>
      <c r="C35" s="93"/>
      <c r="D35" s="93"/>
      <c r="E35" s="93"/>
      <c r="F35" s="295"/>
      <c r="G35" s="279"/>
      <c r="H35" s="274"/>
      <c r="I35" s="274"/>
      <c r="J35" s="275"/>
      <c r="K35" s="253"/>
      <c r="L35" s="570"/>
      <c r="M35" s="571"/>
      <c r="N35" s="598"/>
      <c r="O35" s="571"/>
      <c r="P35" s="572"/>
      <c r="Q35" s="253"/>
      <c r="R35" s="570"/>
      <c r="S35" s="571"/>
      <c r="T35" s="598"/>
      <c r="U35" s="571"/>
      <c r="V35" s="572"/>
      <c r="W35" s="571"/>
      <c r="X35" s="570"/>
      <c r="Y35" s="571"/>
      <c r="Z35" s="598"/>
      <c r="AA35" s="571"/>
      <c r="AB35" s="572"/>
      <c r="AC35" s="253"/>
    </row>
    <row r="36" spans="1:29" s="255" customFormat="1" ht="13.5" thickTop="1">
      <c r="A36" s="253"/>
      <c r="B36" s="171"/>
      <c r="C36" s="295"/>
      <c r="D36" s="295"/>
      <c r="E36" s="295"/>
      <c r="F36" s="295"/>
      <c r="G36" s="279"/>
      <c r="H36" s="274"/>
      <c r="I36" s="274"/>
      <c r="J36" s="275"/>
      <c r="K36" s="253"/>
      <c r="L36" s="104"/>
      <c r="M36" s="72"/>
      <c r="N36" s="566"/>
      <c r="O36" s="72"/>
      <c r="P36" s="567">
        <f>P34+P35</f>
        <v>444705.61194148118</v>
      </c>
      <c r="Q36" s="253"/>
      <c r="R36" s="104"/>
      <c r="S36" s="72"/>
      <c r="T36" s="72"/>
      <c r="U36" s="72"/>
      <c r="V36" s="567">
        <f>V35+V34</f>
        <v>504468.05803637131</v>
      </c>
      <c r="W36" s="253"/>
      <c r="X36" s="104"/>
      <c r="Y36" s="72"/>
      <c r="Z36" s="72"/>
      <c r="AA36" s="72"/>
      <c r="AB36" s="573">
        <f>AB34+AB35</f>
        <v>564230.50413126149</v>
      </c>
      <c r="AC36" s="253"/>
    </row>
    <row r="37" spans="1:29" s="255" customFormat="1">
      <c r="A37" s="253"/>
      <c r="B37" s="171"/>
      <c r="C37" s="295"/>
      <c r="D37" s="295"/>
      <c r="E37" s="295"/>
      <c r="F37" s="295"/>
      <c r="G37" s="279"/>
      <c r="H37" s="274"/>
      <c r="I37" s="274"/>
      <c r="J37" s="275"/>
      <c r="K37" s="253"/>
      <c r="L37" s="104"/>
      <c r="M37" s="72"/>
      <c r="N37" s="566"/>
      <c r="O37" s="72"/>
      <c r="P37" s="567"/>
      <c r="Q37" s="253"/>
      <c r="R37" s="104"/>
      <c r="S37" s="72"/>
      <c r="T37" s="72"/>
      <c r="U37" s="72"/>
      <c r="V37" s="105"/>
      <c r="W37" s="253"/>
      <c r="X37" s="104"/>
      <c r="Y37" s="72"/>
      <c r="Z37" s="72"/>
      <c r="AA37" s="72"/>
      <c r="AB37" s="105"/>
      <c r="AC37" s="253"/>
    </row>
    <row r="38" spans="1:29" s="255" customFormat="1">
      <c r="A38" s="253"/>
      <c r="B38" s="81"/>
      <c r="C38" s="45"/>
      <c r="D38" s="45"/>
      <c r="E38" s="45"/>
      <c r="F38" s="45"/>
      <c r="G38" s="274"/>
      <c r="H38" s="274"/>
      <c r="I38" s="274"/>
      <c r="J38" s="275"/>
      <c r="K38" s="253"/>
      <c r="L38" s="104"/>
      <c r="M38" s="72"/>
      <c r="N38" s="72"/>
      <c r="O38" s="72"/>
      <c r="P38" s="136" t="s">
        <v>27</v>
      </c>
      <c r="Q38" s="253"/>
      <c r="R38" s="104"/>
      <c r="S38" s="72"/>
      <c r="T38" s="72"/>
      <c r="U38" s="72"/>
      <c r="V38" s="136" t="s">
        <v>27</v>
      </c>
      <c r="W38" s="253"/>
      <c r="X38" s="104"/>
      <c r="Y38" s="72"/>
      <c r="Z38" s="72"/>
      <c r="AA38" s="72"/>
      <c r="AB38" s="136" t="s">
        <v>27</v>
      </c>
      <c r="AC38" s="253"/>
    </row>
    <row r="39" spans="1:29" s="255" customFormat="1">
      <c r="A39" s="253"/>
      <c r="B39" s="81" t="s">
        <v>24</v>
      </c>
      <c r="C39" s="88">
        <f>'[21]Integrated Team'!E45</f>
        <v>0.12</v>
      </c>
      <c r="D39" s="88"/>
      <c r="E39" s="88"/>
      <c r="F39" s="88"/>
      <c r="G39" s="370" t="s">
        <v>477</v>
      </c>
      <c r="H39" s="274"/>
      <c r="I39" s="274"/>
      <c r="J39" s="275"/>
      <c r="K39" s="253"/>
      <c r="L39" s="104" t="s">
        <v>28</v>
      </c>
      <c r="M39" s="72"/>
      <c r="N39" s="72"/>
      <c r="O39" s="73"/>
      <c r="P39" s="568">
        <f>O39*(1+N34)</f>
        <v>0</v>
      </c>
      <c r="Q39" s="253"/>
      <c r="R39" s="104" t="s">
        <v>28</v>
      </c>
      <c r="S39" s="72"/>
      <c r="T39" s="72"/>
      <c r="U39" s="73"/>
      <c r="V39" s="568">
        <f>U39*(1+T34)</f>
        <v>0</v>
      </c>
      <c r="W39" s="253"/>
      <c r="X39" s="104" t="s">
        <v>28</v>
      </c>
      <c r="Y39" s="72"/>
      <c r="Z39" s="72"/>
      <c r="AA39" s="73"/>
      <c r="AB39" s="568">
        <f>AA39*(1+Z34)</f>
        <v>0</v>
      </c>
      <c r="AC39" s="253"/>
    </row>
    <row r="40" spans="1:29" s="255" customFormat="1">
      <c r="A40" s="253"/>
      <c r="B40" s="81"/>
      <c r="C40" s="45"/>
      <c r="D40" s="45"/>
      <c r="E40" s="45"/>
      <c r="F40" s="45"/>
      <c r="G40" s="274"/>
      <c r="H40" s="274"/>
      <c r="I40" s="274"/>
      <c r="J40" s="275"/>
      <c r="K40" s="253"/>
      <c r="L40" s="104" t="s">
        <v>600</v>
      </c>
      <c r="M40" s="72"/>
      <c r="N40" s="72"/>
      <c r="O40" s="73"/>
      <c r="P40" s="569">
        <f>P36/P10</f>
        <v>243.67430791314038</v>
      </c>
      <c r="Q40" s="253"/>
      <c r="R40" s="104" t="s">
        <v>600</v>
      </c>
      <c r="S40" s="72"/>
      <c r="T40" s="72"/>
      <c r="U40" s="73"/>
      <c r="V40" s="569">
        <f>V36/V10</f>
        <v>172.76303357409975</v>
      </c>
      <c r="W40" s="253"/>
      <c r="X40" s="104" t="s">
        <v>600</v>
      </c>
      <c r="Y40" s="72"/>
      <c r="Z40" s="72"/>
      <c r="AA40" s="73"/>
      <c r="AB40" s="569">
        <f>AB36/AB10</f>
        <v>140.53063614726312</v>
      </c>
      <c r="AC40" s="253"/>
    </row>
    <row r="41" spans="1:29" s="255" customFormat="1" ht="13.5" thickBot="1">
      <c r="A41" s="253"/>
      <c r="B41" s="94" t="s">
        <v>37</v>
      </c>
      <c r="C41" s="96">
        <f>'[21]Integrated Team'!E46</f>
        <v>7.6809383045675458E-2</v>
      </c>
      <c r="D41" s="96"/>
      <c r="E41" s="96"/>
      <c r="F41" s="96"/>
      <c r="G41" s="280"/>
      <c r="H41" s="281"/>
      <c r="I41" s="281"/>
      <c r="J41" s="282"/>
      <c r="K41" s="253"/>
      <c r="L41" s="357"/>
      <c r="M41" s="358"/>
      <c r="N41" s="359"/>
      <c r="O41" s="360"/>
      <c r="P41" s="361"/>
      <c r="Q41" s="253"/>
      <c r="R41" s="357"/>
      <c r="S41" s="358"/>
      <c r="T41" s="359"/>
      <c r="U41" s="360"/>
      <c r="V41" s="361"/>
      <c r="W41" s="253"/>
      <c r="X41" s="357"/>
      <c r="Y41" s="358"/>
      <c r="Z41" s="359"/>
      <c r="AA41" s="360"/>
      <c r="AB41" s="361"/>
      <c r="AC41" s="253"/>
    </row>
    <row r="42" spans="1:29" s="255" customFormat="1">
      <c r="A42" s="253"/>
      <c r="B42" s="2563" t="s">
        <v>598</v>
      </c>
      <c r="C42" s="2563"/>
      <c r="D42" s="2563"/>
      <c r="E42" s="2563"/>
      <c r="F42" s="2563"/>
      <c r="G42" s="2563"/>
      <c r="H42" s="2563"/>
      <c r="I42" s="2563"/>
      <c r="J42" s="2563"/>
      <c r="K42" s="253"/>
      <c r="L42" s="363"/>
      <c r="M42" s="410"/>
      <c r="N42" s="72"/>
      <c r="O42" s="73"/>
      <c r="P42" s="411"/>
      <c r="Q42" s="253"/>
      <c r="R42" s="363"/>
      <c r="S42" s="410"/>
      <c r="T42" s="72"/>
      <c r="U42" s="73"/>
      <c r="V42" s="411"/>
      <c r="W42" s="253"/>
      <c r="X42" s="363"/>
      <c r="Y42" s="410"/>
      <c r="Z42" s="72"/>
      <c r="AA42" s="73"/>
      <c r="AB42" s="411"/>
      <c r="AC42" s="253"/>
    </row>
    <row r="43" spans="1:29" s="255" customFormat="1">
      <c r="A43" s="253"/>
      <c r="B43" s="2564"/>
      <c r="C43" s="2564"/>
      <c r="D43" s="2564"/>
      <c r="E43" s="2564"/>
      <c r="F43" s="2564"/>
      <c r="G43" s="2564"/>
      <c r="H43" s="2564"/>
      <c r="I43" s="2564"/>
      <c r="J43" s="2564"/>
      <c r="K43" s="253"/>
      <c r="L43" s="363"/>
      <c r="M43" s="410"/>
      <c r="N43" s="72"/>
      <c r="O43" s="73"/>
      <c r="P43" s="411">
        <v>241.99313159960931</v>
      </c>
      <c r="Q43" s="253"/>
      <c r="R43" s="363" t="s">
        <v>600</v>
      </c>
      <c r="S43" s="410"/>
      <c r="T43" s="72"/>
      <c r="U43" s="73"/>
      <c r="V43" s="411">
        <v>171.08185726056871</v>
      </c>
      <c r="W43" s="253"/>
      <c r="X43" s="363" t="s">
        <v>600</v>
      </c>
      <c r="Y43" s="410"/>
      <c r="Z43" s="72"/>
      <c r="AA43" s="73"/>
      <c r="AB43" s="411">
        <v>138.84945983373206</v>
      </c>
      <c r="AC43" s="253"/>
    </row>
    <row r="44" spans="1:29" s="255" customFormat="1">
      <c r="A44" s="253"/>
      <c r="B44" s="253"/>
      <c r="C44" s="253"/>
      <c r="D44" s="253"/>
      <c r="E44" s="253"/>
      <c r="F44" s="253"/>
      <c r="G44" s="253"/>
      <c r="H44" s="253"/>
      <c r="I44" s="253"/>
      <c r="J44" s="253"/>
      <c r="K44" s="253"/>
      <c r="L44" s="253"/>
      <c r="M44" s="253"/>
      <c r="N44" s="253"/>
      <c r="O44" s="253"/>
      <c r="P44" s="482"/>
      <c r="Q44" s="253"/>
      <c r="R44" s="253"/>
      <c r="S44" s="253"/>
      <c r="T44" s="253"/>
      <c r="U44" s="253"/>
      <c r="V44" s="253"/>
      <c r="W44" s="253"/>
      <c r="X44" s="253"/>
      <c r="Y44" s="253"/>
      <c r="Z44" s="253"/>
      <c r="AA44" s="253"/>
      <c r="AB44" s="253"/>
      <c r="AC44" s="253"/>
    </row>
    <row r="45" spans="1:29" s="255" customFormat="1">
      <c r="A45" s="253"/>
      <c r="B45" s="336" t="s">
        <v>567</v>
      </c>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row>
    <row r="46" spans="1:29" s="255" customFormat="1">
      <c r="A46" s="253"/>
      <c r="B46" s="334" t="s">
        <v>401</v>
      </c>
      <c r="C46" s="331" t="s">
        <v>400</v>
      </c>
      <c r="D46" s="331" t="s">
        <v>394</v>
      </c>
      <c r="E46" s="331" t="s">
        <v>395</v>
      </c>
      <c r="F46" s="331" t="s">
        <v>396</v>
      </c>
      <c r="G46" s="331" t="s">
        <v>397</v>
      </c>
      <c r="H46" s="331" t="s">
        <v>398</v>
      </c>
      <c r="I46" s="331" t="s">
        <v>399</v>
      </c>
      <c r="J46" s="253"/>
      <c r="K46" s="253"/>
      <c r="L46" s="253"/>
      <c r="M46" s="253"/>
      <c r="N46" s="253"/>
      <c r="O46" s="253"/>
      <c r="P46" s="482">
        <f>P40-P43</f>
        <v>1.6811763135310684</v>
      </c>
      <c r="Q46" s="253"/>
      <c r="R46" s="253"/>
      <c r="S46" s="253"/>
      <c r="T46" s="253"/>
      <c r="U46" s="253"/>
      <c r="V46" s="482">
        <f>V40-V43</f>
        <v>1.68117631353104</v>
      </c>
      <c r="W46" s="253"/>
      <c r="X46" s="253"/>
      <c r="Y46" s="253"/>
      <c r="Z46" s="253"/>
      <c r="AA46" s="253"/>
      <c r="AB46" s="482">
        <f>AB40-AB43</f>
        <v>1.6811763135310684</v>
      </c>
      <c r="AC46" s="253"/>
    </row>
    <row r="47" spans="1:29" s="255" customFormat="1">
      <c r="A47" s="253"/>
      <c r="B47" s="335" t="s">
        <v>391</v>
      </c>
      <c r="C47" s="332">
        <v>16</v>
      </c>
      <c r="D47" s="332">
        <v>16</v>
      </c>
      <c r="E47" s="332">
        <v>16</v>
      </c>
      <c r="F47" s="332">
        <v>16</v>
      </c>
      <c r="G47" s="332">
        <v>16</v>
      </c>
      <c r="H47" s="332">
        <v>16</v>
      </c>
      <c r="I47" s="332">
        <v>16</v>
      </c>
      <c r="J47" s="253"/>
      <c r="K47" s="253"/>
      <c r="L47" s="363"/>
      <c r="M47" s="75"/>
      <c r="N47" s="363"/>
      <c r="O47" s="77"/>
      <c r="P47" s="87">
        <f>P46/P43</f>
        <v>6.947206734415361E-3</v>
      </c>
      <c r="Q47" s="253"/>
      <c r="R47" s="363"/>
      <c r="S47" s="75"/>
      <c r="T47" s="76"/>
      <c r="U47" s="77"/>
      <c r="V47" s="87">
        <f>V46/V43</f>
        <v>9.8267363965455438E-3</v>
      </c>
      <c r="W47" s="880"/>
      <c r="X47" s="881"/>
      <c r="Y47" s="881"/>
      <c r="Z47" s="881"/>
      <c r="AA47" s="881"/>
      <c r="AB47" s="87">
        <f>AB46/AB43</f>
        <v>1.2107906761353088E-2</v>
      </c>
      <c r="AC47" s="253"/>
    </row>
    <row r="48" spans="1:29" s="255" customFormat="1">
      <c r="A48" s="253"/>
      <c r="B48" s="335" t="s">
        <v>392</v>
      </c>
      <c r="C48" s="332">
        <v>16</v>
      </c>
      <c r="D48" s="332">
        <v>16</v>
      </c>
      <c r="E48" s="332">
        <v>16</v>
      </c>
      <c r="F48" s="332">
        <v>16</v>
      </c>
      <c r="G48" s="332">
        <v>16</v>
      </c>
      <c r="H48" s="332">
        <v>16</v>
      </c>
      <c r="I48" s="332">
        <v>16</v>
      </c>
      <c r="J48" s="253"/>
      <c r="K48" s="253"/>
      <c r="L48" s="363"/>
      <c r="M48" s="75"/>
      <c r="N48" s="76"/>
      <c r="O48" s="77"/>
      <c r="P48" s="73"/>
      <c r="Q48" s="253"/>
      <c r="R48" s="363"/>
      <c r="S48" s="75"/>
      <c r="T48" s="76"/>
      <c r="U48" s="77"/>
      <c r="V48" s="73"/>
      <c r="W48" s="253"/>
      <c r="X48" s="363"/>
      <c r="Y48" s="75"/>
      <c r="Z48" s="76"/>
      <c r="AA48" s="77"/>
      <c r="AB48" s="73"/>
      <c r="AC48" s="253"/>
    </row>
    <row r="49" spans="1:29" s="255" customFormat="1">
      <c r="A49" s="253"/>
      <c r="B49" s="335" t="s">
        <v>393</v>
      </c>
      <c r="C49" s="332">
        <v>8</v>
      </c>
      <c r="D49" s="332">
        <v>8</v>
      </c>
      <c r="E49" s="332">
        <v>8</v>
      </c>
      <c r="F49" s="332">
        <v>8</v>
      </c>
      <c r="G49" s="332">
        <v>8</v>
      </c>
      <c r="H49" s="332">
        <v>8</v>
      </c>
      <c r="I49" s="332">
        <v>8</v>
      </c>
      <c r="J49" s="253"/>
      <c r="K49" s="253"/>
      <c r="L49" s="253"/>
      <c r="M49" s="253"/>
      <c r="N49" s="253"/>
      <c r="O49" s="253"/>
      <c r="P49" s="482"/>
      <c r="Q49" s="253"/>
      <c r="R49" s="253"/>
      <c r="S49" s="253"/>
      <c r="T49" s="253"/>
      <c r="U49" s="253"/>
      <c r="V49" s="253"/>
      <c r="W49" s="253"/>
      <c r="X49" s="253"/>
      <c r="Y49" s="253"/>
      <c r="Z49" s="253"/>
      <c r="AA49" s="253"/>
      <c r="AB49" s="253"/>
      <c r="AC49" s="253"/>
    </row>
    <row r="50" spans="1:29" s="255" customFormat="1">
      <c r="A50" s="253"/>
      <c r="B50" s="335" t="str">
        <f>"Total"&amp;" = "&amp;(SUM(C50:I50))</f>
        <v>Total = 280</v>
      </c>
      <c r="C50" s="333">
        <f t="shared" ref="C50:I50" si="0">SUM(C47:C49)</f>
        <v>40</v>
      </c>
      <c r="D50" s="333">
        <f t="shared" si="0"/>
        <v>40</v>
      </c>
      <c r="E50" s="333">
        <f t="shared" si="0"/>
        <v>40</v>
      </c>
      <c r="F50" s="333">
        <f t="shared" si="0"/>
        <v>40</v>
      </c>
      <c r="G50" s="333">
        <f t="shared" si="0"/>
        <v>40</v>
      </c>
      <c r="H50" s="333">
        <f t="shared" si="0"/>
        <v>40</v>
      </c>
      <c r="I50" s="333">
        <f t="shared" si="0"/>
        <v>40</v>
      </c>
      <c r="J50" s="253"/>
      <c r="K50" s="253"/>
      <c r="L50" s="330"/>
      <c r="M50" s="253"/>
      <c r="N50" s="253"/>
      <c r="O50" s="253"/>
      <c r="P50" s="253"/>
      <c r="Q50" s="253"/>
      <c r="R50" s="253"/>
      <c r="S50" s="253"/>
      <c r="T50" s="253"/>
      <c r="U50" s="253"/>
      <c r="V50" s="253"/>
      <c r="W50" s="253"/>
      <c r="X50" s="253"/>
      <c r="Y50" s="253"/>
      <c r="Z50" s="253"/>
      <c r="AA50" s="253"/>
      <c r="AB50" s="253"/>
      <c r="AC50" s="253"/>
    </row>
    <row r="51" spans="1:29" s="255" customFormat="1" ht="26.25" customHeight="1">
      <c r="A51" s="253"/>
      <c r="B51" s="2565" t="s">
        <v>420</v>
      </c>
      <c r="C51" s="2565"/>
      <c r="D51" s="2565"/>
      <c r="E51" s="2565"/>
      <c r="F51" s="2565"/>
      <c r="G51" s="2565"/>
      <c r="H51" s="2565"/>
      <c r="I51" s="2565"/>
      <c r="J51" s="253"/>
      <c r="K51" s="253"/>
      <c r="L51" s="330"/>
      <c r="M51" s="253"/>
      <c r="N51" s="253"/>
      <c r="O51" s="253"/>
      <c r="P51" s="253"/>
      <c r="Q51" s="253"/>
      <c r="R51" s="253"/>
      <c r="S51" s="253"/>
      <c r="T51" s="253"/>
      <c r="U51" s="253"/>
      <c r="V51" s="253"/>
      <c r="W51" s="253"/>
      <c r="X51" s="253"/>
      <c r="Y51" s="253"/>
      <c r="Z51" s="253"/>
      <c r="AA51" s="253"/>
      <c r="AB51" s="253"/>
      <c r="AC51" s="253"/>
    </row>
    <row r="52" spans="1:29" s="255" customFormat="1" ht="26.25" customHeight="1">
      <c r="A52" s="253"/>
      <c r="B52" s="404"/>
      <c r="C52" s="404"/>
      <c r="D52" s="404"/>
      <c r="E52" s="404"/>
      <c r="F52" s="404"/>
      <c r="G52" s="404"/>
      <c r="H52" s="404"/>
      <c r="I52" s="404"/>
      <c r="J52" s="253"/>
      <c r="K52" s="253"/>
      <c r="L52" s="330" t="s">
        <v>561</v>
      </c>
      <c r="M52" s="253"/>
      <c r="N52" s="253"/>
      <c r="O52" s="253"/>
      <c r="P52" s="253"/>
      <c r="Q52" s="253"/>
      <c r="R52" s="253"/>
      <c r="S52" s="253"/>
      <c r="T52" s="253"/>
      <c r="U52" s="253"/>
      <c r="V52" s="253"/>
      <c r="W52" s="253"/>
      <c r="X52" s="253"/>
      <c r="Y52" s="253"/>
      <c r="Z52" s="253"/>
      <c r="AA52" s="253"/>
      <c r="AB52" s="253"/>
      <c r="AC52" s="253"/>
    </row>
    <row r="53" spans="1:29" s="255" customFormat="1" ht="13.5" thickBot="1">
      <c r="A53" s="253"/>
      <c r="B53" s="253"/>
      <c r="C53" s="253"/>
      <c r="D53" s="326"/>
      <c r="E53" s="326"/>
      <c r="F53" s="326"/>
      <c r="G53" s="326"/>
      <c r="H53" s="326"/>
      <c r="I53" s="326"/>
      <c r="J53" s="253"/>
      <c r="K53" s="253"/>
      <c r="L53" s="330"/>
      <c r="M53" s="253"/>
      <c r="N53" s="253"/>
      <c r="O53" s="253"/>
      <c r="P53" s="253"/>
      <c r="Q53" s="253"/>
      <c r="R53" s="253"/>
      <c r="S53" s="253"/>
      <c r="T53" s="253"/>
      <c r="U53" s="253"/>
      <c r="V53" s="253"/>
      <c r="W53" s="253"/>
      <c r="X53" s="253"/>
      <c r="Y53" s="253"/>
      <c r="Z53" s="253"/>
      <c r="AA53" s="253"/>
      <c r="AB53" s="253"/>
      <c r="AC53" s="253"/>
    </row>
    <row r="54" spans="1:29" s="255" customFormat="1" ht="13.5" thickBot="1">
      <c r="A54" s="253"/>
      <c r="B54" s="336"/>
      <c r="C54" s="253"/>
      <c r="D54" s="253"/>
      <c r="E54" s="253"/>
      <c r="F54" s="253"/>
      <c r="G54" s="253"/>
      <c r="H54" s="253"/>
      <c r="I54" s="253"/>
      <c r="J54" s="253"/>
      <c r="K54" s="253"/>
      <c r="L54" s="2566" t="s">
        <v>562</v>
      </c>
      <c r="M54" s="2567"/>
      <c r="N54" s="2567"/>
      <c r="O54" s="2567"/>
      <c r="P54" s="2568"/>
      <c r="Q54" s="8"/>
      <c r="R54" s="2566" t="s">
        <v>563</v>
      </c>
      <c r="S54" s="2567"/>
      <c r="T54" s="2567"/>
      <c r="U54" s="2567"/>
      <c r="V54" s="2568"/>
      <c r="W54" s="8"/>
      <c r="X54" s="2566" t="s">
        <v>564</v>
      </c>
      <c r="Y54" s="2567"/>
      <c r="Z54" s="2567"/>
      <c r="AA54" s="2567"/>
      <c r="AB54" s="2568"/>
      <c r="AC54" s="253"/>
    </row>
    <row r="55" spans="1:29" s="255" customFormat="1">
      <c r="A55" s="253"/>
      <c r="B55" s="329"/>
      <c r="C55" s="253"/>
      <c r="D55" s="253"/>
      <c r="E55" s="253"/>
      <c r="F55" s="253"/>
      <c r="G55" s="253"/>
      <c r="H55" s="253"/>
      <c r="I55" s="253"/>
      <c r="J55" s="253"/>
      <c r="K55" s="253"/>
      <c r="L55" s="146" t="s">
        <v>277</v>
      </c>
      <c r="M55" s="147">
        <v>15</v>
      </c>
      <c r="N55" s="148"/>
      <c r="O55" s="149" t="s">
        <v>133</v>
      </c>
      <c r="P55" s="150">
        <f>M55*365</f>
        <v>5475</v>
      </c>
      <c r="Q55" s="253"/>
      <c r="R55" s="146" t="s">
        <v>277</v>
      </c>
      <c r="S55" s="147">
        <v>20</v>
      </c>
      <c r="T55" s="148"/>
      <c r="U55" s="149" t="s">
        <v>133</v>
      </c>
      <c r="V55" s="150">
        <f>S55*365</f>
        <v>7300</v>
      </c>
      <c r="W55" s="253"/>
      <c r="X55" s="146" t="s">
        <v>277</v>
      </c>
      <c r="Y55" s="147">
        <v>30</v>
      </c>
      <c r="Z55" s="148"/>
      <c r="AA55" s="149" t="s">
        <v>133</v>
      </c>
      <c r="AB55" s="150">
        <f>Y55*365</f>
        <v>10950</v>
      </c>
      <c r="AC55" s="253"/>
    </row>
    <row r="56" spans="1:29" s="255" customFormat="1" ht="13.5" thickBot="1">
      <c r="A56" s="253"/>
      <c r="B56" s="330" t="s">
        <v>565</v>
      </c>
      <c r="C56" s="253"/>
      <c r="D56" s="253"/>
      <c r="E56" s="253"/>
      <c r="F56" s="253"/>
      <c r="G56" s="253"/>
      <c r="H56" s="253"/>
      <c r="I56" s="253"/>
      <c r="J56" s="257"/>
      <c r="K56" s="253"/>
      <c r="L56" s="104"/>
      <c r="M56" s="72"/>
      <c r="N56" s="72"/>
      <c r="O56" s="72"/>
      <c r="P56" s="105"/>
      <c r="Q56" s="253"/>
      <c r="R56" s="104"/>
      <c r="S56" s="72"/>
      <c r="T56" s="72"/>
      <c r="U56" s="72"/>
      <c r="V56" s="105"/>
      <c r="W56" s="253"/>
      <c r="X56" s="104"/>
      <c r="Y56" s="72"/>
      <c r="Z56" s="72"/>
      <c r="AA56" s="72"/>
      <c r="AB56" s="105"/>
      <c r="AC56" s="253"/>
    </row>
    <row r="57" spans="1:29" s="255" customFormat="1" ht="25.5">
      <c r="A57" s="253"/>
      <c r="B57" s="42"/>
      <c r="C57" s="43" t="s">
        <v>41</v>
      </c>
      <c r="D57" s="43"/>
      <c r="E57" s="43"/>
      <c r="F57" s="603" t="s">
        <v>602</v>
      </c>
      <c r="G57" s="259" t="s">
        <v>278</v>
      </c>
      <c r="H57" s="258"/>
      <c r="I57" s="258"/>
      <c r="J57" s="337"/>
      <c r="K57" s="253"/>
      <c r="L57" s="106"/>
      <c r="M57" s="53"/>
      <c r="N57" s="54" t="s">
        <v>5</v>
      </c>
      <c r="O57" s="54" t="s">
        <v>6</v>
      </c>
      <c r="P57" s="107" t="s">
        <v>7</v>
      </c>
      <c r="Q57" s="253"/>
      <c r="R57" s="106"/>
      <c r="S57" s="53"/>
      <c r="T57" s="54" t="s">
        <v>5</v>
      </c>
      <c r="U57" s="54" t="s">
        <v>6</v>
      </c>
      <c r="V57" s="107" t="s">
        <v>7</v>
      </c>
      <c r="W57" s="253"/>
      <c r="X57" s="106"/>
      <c r="Y57" s="53"/>
      <c r="Z57" s="54" t="s">
        <v>5</v>
      </c>
      <c r="AA57" s="54" t="s">
        <v>6</v>
      </c>
      <c r="AB57" s="107" t="s">
        <v>7</v>
      </c>
      <c r="AC57" s="253"/>
    </row>
    <row r="58" spans="1:29" s="255" customFormat="1">
      <c r="A58" s="253"/>
      <c r="B58" s="171" t="s">
        <v>31</v>
      </c>
      <c r="C58" s="82"/>
      <c r="D58" s="82"/>
      <c r="E58" s="82"/>
      <c r="F58" s="82"/>
      <c r="G58" s="253"/>
      <c r="H58" s="253"/>
      <c r="I58" s="253"/>
      <c r="J58" s="260"/>
      <c r="K58" s="253"/>
      <c r="L58" s="171" t="s">
        <v>31</v>
      </c>
      <c r="M58" s="55"/>
      <c r="N58" s="56"/>
      <c r="O58" s="56"/>
      <c r="P58" s="108"/>
      <c r="Q58" s="253"/>
      <c r="R58" s="171" t="s">
        <v>31</v>
      </c>
      <c r="S58" s="55"/>
      <c r="T58" s="56"/>
      <c r="U58" s="56"/>
      <c r="V58" s="108"/>
      <c r="W58" s="253"/>
      <c r="X58" s="171" t="s">
        <v>31</v>
      </c>
      <c r="Y58" s="55"/>
      <c r="Z58" s="56"/>
      <c r="AA58" s="56"/>
      <c r="AB58" s="108"/>
      <c r="AC58" s="253"/>
    </row>
    <row r="59" spans="1:29" s="255" customFormat="1">
      <c r="A59" s="253"/>
      <c r="B59" s="48" t="s">
        <v>421</v>
      </c>
      <c r="C59" s="46">
        <f>C14</f>
        <v>75010.821691296602</v>
      </c>
      <c r="D59" s="46"/>
      <c r="E59" s="46"/>
      <c r="F59" s="601">
        <f>'[21]Integrated Team'!F15</f>
        <v>85899</v>
      </c>
      <c r="G59" s="304" t="str">
        <f>G14</f>
        <v>FY15 UFR, Weighted Average, Program Function Manager</v>
      </c>
      <c r="H59" s="253"/>
      <c r="I59" s="253"/>
      <c r="J59" s="260"/>
      <c r="K59" s="253"/>
      <c r="L59" s="109" t="s">
        <v>422</v>
      </c>
      <c r="M59" s="57"/>
      <c r="N59" s="594">
        <f>F59</f>
        <v>85899</v>
      </c>
      <c r="O59" s="59">
        <f>C68</f>
        <v>0.05</v>
      </c>
      <c r="P59" s="110">
        <f>N59*O59</f>
        <v>4294.95</v>
      </c>
      <c r="Q59" s="256"/>
      <c r="R59" s="109" t="s">
        <v>422</v>
      </c>
      <c r="S59" s="57"/>
      <c r="T59" s="594">
        <f>F59</f>
        <v>85899</v>
      </c>
      <c r="U59" s="59">
        <f>D68</f>
        <v>0.05</v>
      </c>
      <c r="V59" s="110">
        <f>T59*U59</f>
        <v>4294.95</v>
      </c>
      <c r="W59" s="253"/>
      <c r="X59" s="109" t="s">
        <v>422</v>
      </c>
      <c r="Y59" s="57"/>
      <c r="Z59" s="594">
        <f>F59</f>
        <v>85899</v>
      </c>
      <c r="AA59" s="59">
        <f>E68</f>
        <v>0.05</v>
      </c>
      <c r="AB59" s="110">
        <f>Z59*AA59</f>
        <v>4294.95</v>
      </c>
      <c r="AC59" s="253"/>
    </row>
    <row r="60" spans="1:29" s="255" customFormat="1">
      <c r="A60" s="253"/>
      <c r="B60" s="48" t="s">
        <v>121</v>
      </c>
      <c r="C60" s="46">
        <f>C15</f>
        <v>41906</v>
      </c>
      <c r="D60" s="46"/>
      <c r="E60" s="325"/>
      <c r="F60" s="46"/>
      <c r="G60" s="304" t="str">
        <f>G15</f>
        <v>Benchmark 101 CMR 420</v>
      </c>
      <c r="H60" s="253"/>
      <c r="I60" s="253"/>
      <c r="J60" s="260"/>
      <c r="K60" s="253"/>
      <c r="L60" s="109" t="s">
        <v>135</v>
      </c>
      <c r="M60" s="57"/>
      <c r="N60" s="58">
        <f>C60</f>
        <v>41906</v>
      </c>
      <c r="O60" s="59">
        <f>C69</f>
        <v>1</v>
      </c>
      <c r="P60" s="110">
        <f>N60*O60</f>
        <v>41906</v>
      </c>
      <c r="Q60" s="256"/>
      <c r="R60" s="109" t="s">
        <v>135</v>
      </c>
      <c r="S60" s="57"/>
      <c r="T60" s="58">
        <f>C60</f>
        <v>41906</v>
      </c>
      <c r="U60" s="59">
        <f>D69</f>
        <v>1</v>
      </c>
      <c r="V60" s="110">
        <f>T60*U60</f>
        <v>41906</v>
      </c>
      <c r="W60" s="253"/>
      <c r="X60" s="109" t="s">
        <v>135</v>
      </c>
      <c r="Y60" s="57"/>
      <c r="Z60" s="58">
        <f>C60</f>
        <v>41906</v>
      </c>
      <c r="AA60" s="59">
        <f>E69</f>
        <v>1</v>
      </c>
      <c r="AB60" s="110">
        <f>Z60*AA60</f>
        <v>41906</v>
      </c>
      <c r="AC60" s="253"/>
    </row>
    <row r="61" spans="1:29" s="255" customFormat="1">
      <c r="A61" s="253"/>
      <c r="B61" s="48" t="s">
        <v>130</v>
      </c>
      <c r="C61" s="46">
        <f>C16</f>
        <v>28974.49</v>
      </c>
      <c r="D61" s="46"/>
      <c r="E61" s="46"/>
      <c r="F61" s="46"/>
      <c r="G61" s="304" t="str">
        <f>G16</f>
        <v>Benchmark 101 CMR 420</v>
      </c>
      <c r="H61" s="253"/>
      <c r="I61" s="253"/>
      <c r="J61" s="260"/>
      <c r="K61" s="253"/>
      <c r="L61" s="109" t="s">
        <v>131</v>
      </c>
      <c r="M61" s="57"/>
      <c r="N61" s="58">
        <f>C61</f>
        <v>28974.49</v>
      </c>
      <c r="O61" s="59">
        <f>C70</f>
        <v>4.2</v>
      </c>
      <c r="P61" s="110">
        <f>N61*O61</f>
        <v>121692.85800000001</v>
      </c>
      <c r="Q61" s="256"/>
      <c r="R61" s="109" t="s">
        <v>131</v>
      </c>
      <c r="S61" s="57"/>
      <c r="T61" s="58">
        <f>C61</f>
        <v>28974.49</v>
      </c>
      <c r="U61" s="59">
        <f>D70</f>
        <v>4.2</v>
      </c>
      <c r="V61" s="110">
        <f>T61*U61</f>
        <v>121692.85800000001</v>
      </c>
      <c r="W61" s="253"/>
      <c r="X61" s="109" t="s">
        <v>131</v>
      </c>
      <c r="Y61" s="57"/>
      <c r="Z61" s="58">
        <f>C61</f>
        <v>28974.49</v>
      </c>
      <c r="AA61" s="59">
        <f>E70</f>
        <v>4.2</v>
      </c>
      <c r="AB61" s="110">
        <f>Z61*AA61</f>
        <v>121692.85800000001</v>
      </c>
      <c r="AC61" s="253"/>
    </row>
    <row r="62" spans="1:29" s="255" customFormat="1">
      <c r="A62" s="253"/>
      <c r="B62" s="48" t="s">
        <v>49</v>
      </c>
      <c r="C62" s="46">
        <f>C61</f>
        <v>28974.49</v>
      </c>
      <c r="D62" s="253"/>
      <c r="E62" s="46"/>
      <c r="F62" s="46"/>
      <c r="G62" s="304" t="str">
        <f>G17</f>
        <v>Benchmark 101 CMR 420</v>
      </c>
      <c r="H62" s="253"/>
      <c r="I62" s="253"/>
      <c r="J62" s="260"/>
      <c r="K62" s="253"/>
      <c r="L62" s="182" t="s">
        <v>12</v>
      </c>
      <c r="M62" s="60"/>
      <c r="N62" s="168">
        <f>C62</f>
        <v>28974.49</v>
      </c>
      <c r="O62" s="62">
        <f>C71</f>
        <v>0.64615384615384619</v>
      </c>
      <c r="P62" s="113">
        <f>N62*O62</f>
        <v>18721.978153846158</v>
      </c>
      <c r="Q62" s="256"/>
      <c r="R62" s="182" t="s">
        <v>12</v>
      </c>
      <c r="S62" s="60"/>
      <c r="T62" s="168">
        <f>C62</f>
        <v>28974.49</v>
      </c>
      <c r="U62" s="62">
        <f>D71</f>
        <v>0.64615384615384619</v>
      </c>
      <c r="V62" s="113">
        <f>T62*U62</f>
        <v>18721.978153846158</v>
      </c>
      <c r="W62" s="253"/>
      <c r="X62" s="182" t="s">
        <v>12</v>
      </c>
      <c r="Y62" s="60"/>
      <c r="Z62" s="168">
        <f>C62</f>
        <v>28974.49</v>
      </c>
      <c r="AA62" s="62">
        <f>E71</f>
        <v>0.64615384615384619</v>
      </c>
      <c r="AB62" s="113">
        <f>Z62*AA62</f>
        <v>18721.978153846158</v>
      </c>
      <c r="AC62" s="253"/>
    </row>
    <row r="63" spans="1:29" s="255" customFormat="1">
      <c r="A63" s="253"/>
      <c r="B63" s="48"/>
      <c r="C63" s="46"/>
      <c r="D63" s="46"/>
      <c r="E63" s="46"/>
      <c r="F63" s="46"/>
      <c r="G63" s="46"/>
      <c r="H63" s="253"/>
      <c r="I63" s="253"/>
      <c r="J63" s="260"/>
      <c r="K63" s="253"/>
      <c r="L63" s="106" t="s">
        <v>13</v>
      </c>
      <c r="M63" s="5"/>
      <c r="N63" s="5"/>
      <c r="O63" s="169">
        <f>SUM(O59:O62)</f>
        <v>5.8961538461538465</v>
      </c>
      <c r="P63" s="183">
        <f>SUM(P59:P62)</f>
        <v>186615.78615384619</v>
      </c>
      <c r="Q63" s="256"/>
      <c r="R63" s="106" t="s">
        <v>13</v>
      </c>
      <c r="S63" s="5"/>
      <c r="T63" s="5"/>
      <c r="U63" s="169">
        <f>SUM(U59:U62)</f>
        <v>5.8961538461538465</v>
      </c>
      <c r="V63" s="183">
        <f>SUM(V59:V62)</f>
        <v>186615.78615384619</v>
      </c>
      <c r="W63" s="253"/>
      <c r="X63" s="106" t="s">
        <v>13</v>
      </c>
      <c r="Y63" s="5"/>
      <c r="Z63" s="5"/>
      <c r="AA63" s="169">
        <f>SUM(AA59:AA62)</f>
        <v>5.8961538461538465</v>
      </c>
      <c r="AB63" s="183">
        <f>SUM(AB59:AB62)</f>
        <v>186615.78615384619</v>
      </c>
      <c r="AC63" s="253"/>
    </row>
    <row r="64" spans="1:29" s="255" customFormat="1">
      <c r="A64" s="253"/>
      <c r="B64" s="48"/>
      <c r="C64" s="82" t="s">
        <v>35</v>
      </c>
      <c r="D64" s="82"/>
      <c r="E64" s="82"/>
      <c r="F64" s="82"/>
      <c r="G64" s="82"/>
      <c r="H64" s="82"/>
      <c r="I64" s="82"/>
      <c r="J64" s="260"/>
      <c r="K64" s="253"/>
      <c r="L64" s="104"/>
      <c r="M64" s="72"/>
      <c r="N64" s="72"/>
      <c r="O64" s="72"/>
      <c r="P64" s="116"/>
      <c r="Q64" s="256"/>
      <c r="R64" s="104"/>
      <c r="S64" s="72"/>
      <c r="T64" s="72"/>
      <c r="U64" s="72"/>
      <c r="V64" s="116"/>
      <c r="W64" s="253"/>
      <c r="X64" s="104"/>
      <c r="Y64" s="72"/>
      <c r="Z64" s="72"/>
      <c r="AA64" s="72"/>
      <c r="AB64" s="116"/>
      <c r="AC64" s="253"/>
    </row>
    <row r="65" spans="1:29" s="255" customFormat="1">
      <c r="A65" s="253"/>
      <c r="B65" s="81"/>
      <c r="C65" s="326" t="s">
        <v>282</v>
      </c>
      <c r="D65" s="326" t="s">
        <v>283</v>
      </c>
      <c r="E65" s="326" t="s">
        <v>284</v>
      </c>
      <c r="F65" s="326"/>
      <c r="G65" s="253"/>
      <c r="H65" s="253"/>
      <c r="I65" s="253"/>
      <c r="J65" s="177"/>
      <c r="K65" s="253"/>
      <c r="L65" s="100" t="s">
        <v>15</v>
      </c>
      <c r="M65" s="72"/>
      <c r="N65" s="72"/>
      <c r="O65" s="4" t="s">
        <v>16</v>
      </c>
      <c r="P65" s="105"/>
      <c r="Q65" s="256"/>
      <c r="R65" s="100" t="s">
        <v>15</v>
      </c>
      <c r="S65" s="72"/>
      <c r="T65" s="72"/>
      <c r="U65" s="4" t="s">
        <v>16</v>
      </c>
      <c r="V65" s="105"/>
      <c r="W65" s="253"/>
      <c r="X65" s="100" t="s">
        <v>15</v>
      </c>
      <c r="Y65" s="72"/>
      <c r="Z65" s="72"/>
      <c r="AA65" s="4" t="s">
        <v>16</v>
      </c>
      <c r="AB65" s="105"/>
      <c r="AC65" s="253"/>
    </row>
    <row r="66" spans="1:29" s="255" customFormat="1">
      <c r="A66" s="253"/>
      <c r="B66" s="81" t="s">
        <v>140</v>
      </c>
      <c r="C66" s="172" t="s">
        <v>279</v>
      </c>
      <c r="D66" s="178" t="s">
        <v>280</v>
      </c>
      <c r="E66" s="172" t="s">
        <v>281</v>
      </c>
      <c r="F66" s="51"/>
      <c r="G66" s="253"/>
      <c r="H66" s="253"/>
      <c r="I66" s="253"/>
      <c r="J66" s="179"/>
      <c r="K66" s="253"/>
      <c r="L66" s="104" t="s">
        <v>17</v>
      </c>
      <c r="M66" s="72"/>
      <c r="N66" s="65">
        <f>C75</f>
        <v>0.21493933013040212</v>
      </c>
      <c r="O66" s="72"/>
      <c r="P66" s="117">
        <f>N66*P63</f>
        <v>40111.072067666071</v>
      </c>
      <c r="Q66" s="256"/>
      <c r="R66" s="104" t="s">
        <v>17</v>
      </c>
      <c r="S66" s="72"/>
      <c r="T66" s="65">
        <f>C75</f>
        <v>0.21493933013040212</v>
      </c>
      <c r="U66" s="72"/>
      <c r="V66" s="117">
        <f>T66*V63</f>
        <v>40111.072067666071</v>
      </c>
      <c r="W66" s="253"/>
      <c r="X66" s="104" t="s">
        <v>17</v>
      </c>
      <c r="Y66" s="72"/>
      <c r="Z66" s="65">
        <f>C75</f>
        <v>0.21493933013040212</v>
      </c>
      <c r="AA66" s="72"/>
      <c r="AB66" s="117">
        <f>Z66*AB63</f>
        <v>40111.072067666071</v>
      </c>
      <c r="AC66" s="253"/>
    </row>
    <row r="67" spans="1:29" s="255" customFormat="1">
      <c r="A67" s="253"/>
      <c r="B67" s="171" t="s">
        <v>31</v>
      </c>
      <c r="C67" s="51"/>
      <c r="D67" s="253"/>
      <c r="E67" s="253"/>
      <c r="F67" s="51"/>
      <c r="G67" s="253"/>
      <c r="H67" s="253"/>
      <c r="I67" s="253"/>
      <c r="J67" s="260"/>
      <c r="K67" s="253"/>
      <c r="L67" s="114" t="s">
        <v>18</v>
      </c>
      <c r="M67" s="3"/>
      <c r="N67" s="3"/>
      <c r="O67" s="63"/>
      <c r="P67" s="118">
        <f>P63+P66</f>
        <v>226726.85822151226</v>
      </c>
      <c r="Q67" s="256"/>
      <c r="R67" s="114" t="s">
        <v>18</v>
      </c>
      <c r="S67" s="3"/>
      <c r="T67" s="3"/>
      <c r="U67" s="63"/>
      <c r="V67" s="118">
        <f>V63+V66</f>
        <v>226726.85822151226</v>
      </c>
      <c r="W67" s="253"/>
      <c r="X67" s="114" t="s">
        <v>18</v>
      </c>
      <c r="Y67" s="3"/>
      <c r="Z67" s="3"/>
      <c r="AA67" s="63"/>
      <c r="AB67" s="118">
        <f>AB63+AB66</f>
        <v>226726.85822151226</v>
      </c>
      <c r="AC67" s="253"/>
    </row>
    <row r="68" spans="1:29" s="255" customFormat="1">
      <c r="A68" s="253"/>
      <c r="B68" s="48" t="str">
        <f>B59</f>
        <v xml:space="preserve">  Management Supervision</v>
      </c>
      <c r="C68" s="85">
        <v>0.05</v>
      </c>
      <c r="D68" s="85">
        <v>0.05</v>
      </c>
      <c r="E68" s="85">
        <v>0.05</v>
      </c>
      <c r="F68" s="85"/>
      <c r="G68" s="253"/>
      <c r="H68" s="253"/>
      <c r="I68" s="253"/>
      <c r="J68" s="180"/>
      <c r="K68" s="253"/>
      <c r="L68" s="100"/>
      <c r="M68" s="4"/>
      <c r="N68" s="4"/>
      <c r="O68" s="66"/>
      <c r="P68" s="119"/>
      <c r="Q68" s="256"/>
      <c r="R68" s="100"/>
      <c r="S68" s="4"/>
      <c r="T68" s="4"/>
      <c r="U68" s="66"/>
      <c r="V68" s="119"/>
      <c r="W68" s="253"/>
      <c r="X68" s="100"/>
      <c r="Y68" s="4"/>
      <c r="Z68" s="4"/>
      <c r="AA68" s="66"/>
      <c r="AB68" s="119"/>
      <c r="AC68" s="253"/>
    </row>
    <row r="69" spans="1:29" s="255" customFormat="1">
      <c r="A69" s="253"/>
      <c r="B69" s="48" t="str">
        <f>B60</f>
        <v xml:space="preserve">  Site Manager</v>
      </c>
      <c r="C69" s="85">
        <v>1</v>
      </c>
      <c r="D69" s="85">
        <v>1</v>
      </c>
      <c r="E69" s="85">
        <v>1</v>
      </c>
      <c r="F69" s="85"/>
      <c r="G69" s="253"/>
      <c r="H69" s="253"/>
      <c r="I69" s="253"/>
      <c r="J69" s="180"/>
      <c r="K69" s="253"/>
      <c r="L69" s="81" t="s">
        <v>22</v>
      </c>
      <c r="M69" s="72"/>
      <c r="N69" s="72"/>
      <c r="O69" s="72"/>
      <c r="P69" s="866">
        <f>D79</f>
        <v>5750</v>
      </c>
      <c r="Q69" s="256"/>
      <c r="R69" s="81" t="s">
        <v>22</v>
      </c>
      <c r="S69" s="72"/>
      <c r="T69" s="72"/>
      <c r="U69" s="72"/>
      <c r="V69" s="866">
        <f>D79</f>
        <v>5750</v>
      </c>
      <c r="W69" s="253"/>
      <c r="X69" s="81" t="s">
        <v>22</v>
      </c>
      <c r="Y69" s="72"/>
      <c r="Z69" s="72"/>
      <c r="AA69" s="72"/>
      <c r="AB69" s="866">
        <f>D79</f>
        <v>5750</v>
      </c>
      <c r="AC69" s="253"/>
    </row>
    <row r="70" spans="1:29" s="255" customFormat="1" ht="13.5" thickBot="1">
      <c r="A70" s="253"/>
      <c r="B70" s="48" t="str">
        <f>B61</f>
        <v xml:space="preserve">  DC Blended (DC I + II)</v>
      </c>
      <c r="C70" s="85">
        <v>4.2</v>
      </c>
      <c r="D70" s="85">
        <v>4.2</v>
      </c>
      <c r="E70" s="85">
        <v>4.2</v>
      </c>
      <c r="F70" s="85"/>
      <c r="G70" s="253"/>
      <c r="H70" s="253"/>
      <c r="I70" s="253"/>
      <c r="J70" s="180"/>
      <c r="K70" s="253"/>
      <c r="L70" s="81" t="s">
        <v>601</v>
      </c>
      <c r="M70" s="72"/>
      <c r="N70" s="597">
        <v>8.16</v>
      </c>
      <c r="O70" s="72"/>
      <c r="P70" s="186">
        <v>44676</v>
      </c>
      <c r="Q70" s="256"/>
      <c r="R70" s="570" t="str">
        <f>B77</f>
        <v>Meals / Food***</v>
      </c>
      <c r="S70" s="571"/>
      <c r="T70" s="597">
        <f>F77</f>
        <v>8.16</v>
      </c>
      <c r="U70" s="571"/>
      <c r="V70" s="575">
        <f>T70*V55</f>
        <v>59568</v>
      </c>
      <c r="W70" s="253"/>
      <c r="X70" s="570" t="str">
        <f>B77</f>
        <v>Meals / Food***</v>
      </c>
      <c r="Y70" s="571"/>
      <c r="Z70" s="597">
        <f>F77</f>
        <v>8.16</v>
      </c>
      <c r="AA70" s="571"/>
      <c r="AB70" s="575">
        <f>Z70*AB55</f>
        <v>89352</v>
      </c>
      <c r="AC70" s="253"/>
    </row>
    <row r="71" spans="1:29" s="255" customFormat="1" ht="13.5" thickTop="1">
      <c r="A71" s="253"/>
      <c r="B71" s="80" t="str">
        <f>B62</f>
        <v xml:space="preserve">  Relief</v>
      </c>
      <c r="C71" s="85">
        <f>C70*$D$9</f>
        <v>0.64615384615384619</v>
      </c>
      <c r="D71" s="85">
        <f>D70*$D$9</f>
        <v>0.64615384615384619</v>
      </c>
      <c r="E71" s="85">
        <f>E70*$D$9</f>
        <v>0.64615384615384619</v>
      </c>
      <c r="F71" s="85"/>
      <c r="G71" s="253"/>
      <c r="H71" s="253"/>
      <c r="I71" s="253"/>
      <c r="J71" s="180"/>
      <c r="K71" s="253"/>
      <c r="L71" s="104"/>
      <c r="M71" s="72"/>
      <c r="N71" s="72"/>
      <c r="O71" s="66"/>
      <c r="P71" s="125"/>
      <c r="Q71" s="256"/>
      <c r="R71" s="104"/>
      <c r="S71" s="72"/>
      <c r="T71" s="72"/>
      <c r="U71" s="66"/>
      <c r="V71" s="125"/>
      <c r="W71" s="253"/>
      <c r="X71" s="104"/>
      <c r="Y71" s="72"/>
      <c r="Z71" s="72"/>
      <c r="AA71" s="66"/>
      <c r="AB71" s="125"/>
      <c r="AC71" s="253"/>
    </row>
    <row r="72" spans="1:29" s="255" customFormat="1">
      <c r="A72" s="253"/>
      <c r="B72" s="173"/>
      <c r="C72" s="174"/>
      <c r="D72" s="174"/>
      <c r="E72" s="174"/>
      <c r="F72" s="85"/>
      <c r="G72" s="85"/>
      <c r="H72" s="253"/>
      <c r="I72" s="253"/>
      <c r="J72" s="260"/>
      <c r="K72" s="253"/>
      <c r="L72" s="114" t="s">
        <v>23</v>
      </c>
      <c r="M72" s="3"/>
      <c r="N72" s="3"/>
      <c r="O72" s="3"/>
      <c r="P72" s="126">
        <f>SUM(P67:P70)</f>
        <v>277152.85822151229</v>
      </c>
      <c r="Q72" s="256"/>
      <c r="R72" s="114" t="s">
        <v>23</v>
      </c>
      <c r="S72" s="3"/>
      <c r="T72" s="3"/>
      <c r="U72" s="3"/>
      <c r="V72" s="126">
        <f>SUM(V67:V70)</f>
        <v>292044.85822151229</v>
      </c>
      <c r="W72" s="253"/>
      <c r="X72" s="114" t="s">
        <v>23</v>
      </c>
      <c r="Y72" s="3"/>
      <c r="Z72" s="3"/>
      <c r="AA72" s="3"/>
      <c r="AB72" s="126">
        <f>SUM(AB67:AB70)</f>
        <v>321828.85822151229</v>
      </c>
      <c r="AC72" s="253"/>
    </row>
    <row r="73" spans="1:29" s="255" customFormat="1">
      <c r="A73" s="253"/>
      <c r="B73" s="48"/>
      <c r="C73" s="45"/>
      <c r="D73" s="45"/>
      <c r="E73" s="45"/>
      <c r="F73" s="45"/>
      <c r="G73" s="45"/>
      <c r="H73" s="253"/>
      <c r="I73" s="253"/>
      <c r="J73" s="260"/>
      <c r="K73" s="253"/>
      <c r="L73" s="104"/>
      <c r="M73" s="72"/>
      <c r="N73" s="72"/>
      <c r="O73" s="73"/>
      <c r="P73" s="127"/>
      <c r="Q73" s="256"/>
      <c r="R73" s="104"/>
      <c r="S73" s="72"/>
      <c r="T73" s="72"/>
      <c r="U73" s="73"/>
      <c r="V73" s="127"/>
      <c r="W73" s="253"/>
      <c r="X73" s="104"/>
      <c r="Y73" s="72"/>
      <c r="Z73" s="72"/>
      <c r="AA73" s="73"/>
      <c r="AB73" s="127"/>
      <c r="AC73" s="253"/>
    </row>
    <row r="74" spans="1:29" s="255" customFormat="1">
      <c r="A74" s="253"/>
      <c r="B74" s="81"/>
      <c r="C74" s="82" t="s">
        <v>42</v>
      </c>
      <c r="D74" s="82"/>
      <c r="E74" s="82"/>
      <c r="F74" s="82"/>
      <c r="G74" s="82"/>
      <c r="H74" s="253"/>
      <c r="I74" s="253"/>
      <c r="J74" s="260"/>
      <c r="K74" s="253"/>
      <c r="L74" s="104"/>
      <c r="M74" s="72"/>
      <c r="N74" s="72"/>
      <c r="O74" s="72"/>
      <c r="P74" s="105"/>
      <c r="Q74" s="256"/>
      <c r="R74" s="104"/>
      <c r="S74" s="72"/>
      <c r="T74" s="72"/>
      <c r="U74" s="72"/>
      <c r="V74" s="105"/>
      <c r="W74" s="253"/>
      <c r="X74" s="104"/>
      <c r="Y74" s="72"/>
      <c r="Z74" s="72"/>
      <c r="AA74" s="72"/>
      <c r="AB74" s="105"/>
      <c r="AC74" s="253"/>
    </row>
    <row r="75" spans="1:29" s="255" customFormat="1">
      <c r="A75" s="253"/>
      <c r="B75" s="81" t="s">
        <v>17</v>
      </c>
      <c r="C75" s="88">
        <f>C30</f>
        <v>0.21493933013040212</v>
      </c>
      <c r="D75" s="88"/>
      <c r="E75" s="88"/>
      <c r="F75" s="88"/>
      <c r="G75" s="286" t="s">
        <v>553</v>
      </c>
      <c r="H75" s="253"/>
      <c r="I75" s="253"/>
      <c r="J75" s="260"/>
      <c r="K75" s="253"/>
      <c r="L75" s="104" t="s">
        <v>24</v>
      </c>
      <c r="M75" s="72"/>
      <c r="N75" s="187">
        <f>C84</f>
        <v>0.12</v>
      </c>
      <c r="O75" s="72"/>
      <c r="P75" s="117">
        <f>N75*P72</f>
        <v>33258.342986581476</v>
      </c>
      <c r="Q75" s="256"/>
      <c r="R75" s="104" t="s">
        <v>24</v>
      </c>
      <c r="S75" s="72"/>
      <c r="T75" s="187">
        <f>C84</f>
        <v>0.12</v>
      </c>
      <c r="U75" s="72"/>
      <c r="V75" s="117">
        <f>T75*V72</f>
        <v>35045.382986581477</v>
      </c>
      <c r="W75" s="253"/>
      <c r="X75" s="104" t="s">
        <v>24</v>
      </c>
      <c r="Y75" s="72"/>
      <c r="Z75" s="187">
        <f>C84</f>
        <v>0.12</v>
      </c>
      <c r="AA75" s="72"/>
      <c r="AB75" s="117">
        <f>Z75*AB72</f>
        <v>38619.462986581471</v>
      </c>
      <c r="AC75" s="253"/>
    </row>
    <row r="76" spans="1:29" s="255" customFormat="1">
      <c r="A76" s="253"/>
      <c r="B76" s="81"/>
      <c r="C76" s="175"/>
      <c r="D76" s="175"/>
      <c r="E76" s="175"/>
      <c r="F76" s="175"/>
      <c r="G76" s="274"/>
      <c r="H76" s="253"/>
      <c r="I76" s="253"/>
      <c r="J76" s="260"/>
      <c r="K76" s="253"/>
      <c r="L76" s="104"/>
      <c r="M76" s="72"/>
      <c r="N76" s="72"/>
      <c r="O76" s="72"/>
      <c r="P76" s="128"/>
      <c r="Q76" s="256"/>
      <c r="R76" s="104"/>
      <c r="S76" s="72"/>
      <c r="T76" s="72"/>
      <c r="U76" s="72"/>
      <c r="V76" s="128"/>
      <c r="W76" s="253"/>
      <c r="X76" s="104"/>
      <c r="Y76" s="72"/>
      <c r="Z76" s="72"/>
      <c r="AA76" s="72"/>
      <c r="AB76" s="128"/>
      <c r="AC76" s="253"/>
    </row>
    <row r="77" spans="1:29" s="255" customFormat="1" ht="13.5" thickBot="1">
      <c r="A77" s="253"/>
      <c r="B77" s="81" t="s">
        <v>601</v>
      </c>
      <c r="C77" s="565"/>
      <c r="D77" s="175"/>
      <c r="E77" s="175"/>
      <c r="F77" s="602">
        <v>8.16</v>
      </c>
      <c r="G77" s="599" t="s">
        <v>599</v>
      </c>
      <c r="H77" s="274"/>
      <c r="I77" s="274"/>
      <c r="J77" s="275"/>
      <c r="K77" s="253"/>
      <c r="L77" s="129" t="s">
        <v>25</v>
      </c>
      <c r="M77" s="74"/>
      <c r="N77" s="74"/>
      <c r="O77" s="74"/>
      <c r="P77" s="130">
        <f>SUM(P72:P75)</f>
        <v>310411.20120809379</v>
      </c>
      <c r="Q77" s="256"/>
      <c r="R77" s="129" t="s">
        <v>25</v>
      </c>
      <c r="S77" s="74"/>
      <c r="T77" s="74"/>
      <c r="U77" s="74"/>
      <c r="V77" s="130">
        <f>SUM(V72:V75)</f>
        <v>327090.24120809376</v>
      </c>
      <c r="W77" s="253"/>
      <c r="X77" s="129" t="s">
        <v>25</v>
      </c>
      <c r="Y77" s="74"/>
      <c r="Z77" s="74"/>
      <c r="AA77" s="74"/>
      <c r="AB77" s="130">
        <f>SUM(AB72:AB75)</f>
        <v>360448.32120809378</v>
      </c>
      <c r="AC77" s="253"/>
    </row>
    <row r="78" spans="1:29" s="255" customFormat="1" ht="13.5" thickTop="1">
      <c r="A78" s="253"/>
      <c r="B78" s="368"/>
      <c r="C78" s="369"/>
      <c r="D78" s="369"/>
      <c r="E78" s="369"/>
      <c r="F78" s="369"/>
      <c r="G78" s="370"/>
      <c r="H78" s="253"/>
      <c r="I78" s="253"/>
      <c r="J78" s="367"/>
      <c r="K78" s="253"/>
      <c r="L78" s="104"/>
      <c r="M78" s="72"/>
      <c r="N78" s="72"/>
      <c r="O78" s="72"/>
      <c r="P78" s="105"/>
      <c r="Q78" s="253"/>
      <c r="R78" s="104"/>
      <c r="S78" s="72"/>
      <c r="T78" s="72"/>
      <c r="U78" s="72"/>
      <c r="V78" s="105"/>
      <c r="W78" s="253"/>
      <c r="X78" s="104"/>
      <c r="Y78" s="72"/>
      <c r="Z78" s="72"/>
      <c r="AA78" s="72"/>
      <c r="AB78" s="105"/>
      <c r="AC78" s="253"/>
    </row>
    <row r="79" spans="1:29" s="255" customFormat="1">
      <c r="A79" s="253"/>
      <c r="B79" s="81" t="s">
        <v>22</v>
      </c>
      <c r="C79" s="89"/>
      <c r="D79" s="364">
        <v>5750</v>
      </c>
      <c r="E79" s="89"/>
      <c r="F79" s="325"/>
      <c r="G79" s="252" t="s">
        <v>473</v>
      </c>
      <c r="H79" s="253"/>
      <c r="I79" s="253"/>
      <c r="J79" s="327"/>
      <c r="K79" s="253"/>
      <c r="L79" s="104" t="s">
        <v>26</v>
      </c>
      <c r="M79" s="72"/>
      <c r="N79" s="131">
        <f>C86</f>
        <v>7.6809383045675458E-2</v>
      </c>
      <c r="O79" s="72"/>
      <c r="P79" s="132">
        <f>P77*(1+N79)</f>
        <v>334253.69406335452</v>
      </c>
      <c r="Q79" s="253"/>
      <c r="R79" s="104" t="s">
        <v>26</v>
      </c>
      <c r="S79" s="72"/>
      <c r="T79" s="131">
        <f>C86</f>
        <v>7.6809383045675458E-2</v>
      </c>
      <c r="U79" s="72"/>
      <c r="V79" s="132">
        <f>V77*(1+T79)</f>
        <v>352213.84083554865</v>
      </c>
      <c r="W79" s="253"/>
      <c r="X79" s="104" t="s">
        <v>26</v>
      </c>
      <c r="Y79" s="72"/>
      <c r="Z79" s="131">
        <f>C86</f>
        <v>7.6809383045675458E-2</v>
      </c>
      <c r="AA79" s="72"/>
      <c r="AB79" s="132">
        <f>AB77*(1+Z79)</f>
        <v>388134.13437993696</v>
      </c>
      <c r="AC79" s="253"/>
    </row>
    <row r="80" spans="1:29" s="255" customFormat="1" ht="13.5" thickBot="1">
      <c r="A80" s="253"/>
      <c r="B80" s="81"/>
      <c r="C80" s="89"/>
      <c r="D80" s="364"/>
      <c r="E80" s="89"/>
      <c r="F80" s="325"/>
      <c r="G80" s="252"/>
      <c r="H80" s="253"/>
      <c r="I80" s="253"/>
      <c r="J80" s="327"/>
      <c r="K80" s="253"/>
      <c r="L80" s="570"/>
      <c r="M80" s="571"/>
      <c r="N80" s="877"/>
      <c r="O80" s="571"/>
      <c r="P80" s="575"/>
      <c r="Q80" s="571"/>
      <c r="R80" s="570"/>
      <c r="S80" s="571"/>
      <c r="T80" s="877"/>
      <c r="U80" s="571"/>
      <c r="V80" s="575"/>
      <c r="W80" s="571"/>
      <c r="X80" s="570"/>
      <c r="Y80" s="571"/>
      <c r="Z80" s="877"/>
      <c r="AA80" s="571"/>
      <c r="AB80" s="575"/>
      <c r="AC80" s="253"/>
    </row>
    <row r="81" spans="1:33" s="255" customFormat="1" ht="13.5" thickTop="1">
      <c r="A81" s="253"/>
      <c r="B81" s="81"/>
      <c r="C81" s="89"/>
      <c r="D81" s="364"/>
      <c r="E81" s="89"/>
      <c r="F81" s="325"/>
      <c r="G81" s="252"/>
      <c r="H81" s="253"/>
      <c r="I81" s="253"/>
      <c r="J81" s="327"/>
      <c r="K81" s="253"/>
      <c r="L81" s="104"/>
      <c r="M81" s="72"/>
      <c r="N81" s="131"/>
      <c r="O81" s="72"/>
      <c r="P81" s="132">
        <f>P79+P80</f>
        <v>334253.69406335452</v>
      </c>
      <c r="Q81" s="253"/>
      <c r="R81" s="104"/>
      <c r="S81" s="72"/>
      <c r="T81" s="131"/>
      <c r="U81" s="72"/>
      <c r="V81" s="132">
        <f>V79+V80</f>
        <v>352213.84083554865</v>
      </c>
      <c r="W81" s="253"/>
      <c r="X81" s="104"/>
      <c r="Y81" s="72"/>
      <c r="Z81" s="131"/>
      <c r="AA81" s="72"/>
      <c r="AB81" s="132">
        <f>AB79+AB80</f>
        <v>388134.13437993696</v>
      </c>
      <c r="AC81" s="253"/>
    </row>
    <row r="82" spans="1:33" s="255" customFormat="1">
      <c r="A82" s="253"/>
      <c r="B82" s="92"/>
      <c r="C82" s="93"/>
      <c r="D82" s="93"/>
      <c r="E82" s="93"/>
      <c r="F82" s="295"/>
      <c r="G82" s="279"/>
      <c r="H82" s="253"/>
      <c r="I82" s="253"/>
      <c r="J82" s="260"/>
      <c r="K82" s="253"/>
      <c r="L82" s="104"/>
      <c r="M82" s="72"/>
      <c r="N82" s="72"/>
      <c r="O82" s="72"/>
      <c r="P82" s="105"/>
      <c r="Q82" s="253"/>
      <c r="R82" s="104"/>
      <c r="S82" s="72"/>
      <c r="T82" s="72"/>
      <c r="U82" s="72"/>
      <c r="V82" s="105"/>
      <c r="W82" s="253"/>
      <c r="X82" s="104"/>
      <c r="Y82" s="72"/>
      <c r="Z82" s="72"/>
      <c r="AA82" s="72"/>
      <c r="AB82" s="105"/>
      <c r="AC82" s="253"/>
    </row>
    <row r="83" spans="1:33" s="255" customFormat="1">
      <c r="A83" s="253"/>
      <c r="B83" s="81"/>
      <c r="C83" s="45"/>
      <c r="D83" s="45"/>
      <c r="E83" s="45"/>
      <c r="F83" s="45"/>
      <c r="G83" s="274"/>
      <c r="H83" s="253"/>
      <c r="I83" s="253"/>
      <c r="J83" s="260"/>
      <c r="K83" s="253"/>
      <c r="L83" s="104"/>
      <c r="M83" s="72"/>
      <c r="N83" s="72"/>
      <c r="O83" s="72"/>
      <c r="P83" s="136" t="s">
        <v>27</v>
      </c>
      <c r="Q83" s="253"/>
      <c r="R83" s="104"/>
      <c r="S83" s="72"/>
      <c r="T83" s="72"/>
      <c r="U83" s="72"/>
      <c r="V83" s="136" t="s">
        <v>27</v>
      </c>
      <c r="W83" s="253"/>
      <c r="X83" s="104"/>
      <c r="Y83" s="72"/>
      <c r="Z83" s="72"/>
      <c r="AA83" s="72"/>
      <c r="AB83" s="136" t="s">
        <v>27</v>
      </c>
      <c r="AC83" s="253"/>
    </row>
    <row r="84" spans="1:33" s="255" customFormat="1" ht="20.100000000000001" customHeight="1">
      <c r="A84" s="253"/>
      <c r="B84" s="81" t="s">
        <v>24</v>
      </c>
      <c r="C84" s="88">
        <f>C39</f>
        <v>0.12</v>
      </c>
      <c r="D84" s="88"/>
      <c r="E84" s="88"/>
      <c r="F84" s="88"/>
      <c r="G84" s="2558" t="s">
        <v>472</v>
      </c>
      <c r="H84" s="2558"/>
      <c r="I84" s="2558"/>
      <c r="J84" s="2559"/>
      <c r="K84" s="253"/>
      <c r="L84" s="104" t="s">
        <v>28</v>
      </c>
      <c r="M84" s="72"/>
      <c r="N84" s="72"/>
      <c r="O84" s="73"/>
      <c r="P84" s="568">
        <f>O84*(1+N79)</f>
        <v>0</v>
      </c>
      <c r="Q84" s="253"/>
      <c r="R84" s="104" t="s">
        <v>28</v>
      </c>
      <c r="S84" s="72"/>
      <c r="T84" s="72"/>
      <c r="U84" s="73"/>
      <c r="V84" s="568">
        <f>U84*(1+T79)</f>
        <v>0</v>
      </c>
      <c r="W84" s="253"/>
      <c r="X84" s="104" t="s">
        <v>28</v>
      </c>
      <c r="Y84" s="72"/>
      <c r="Z84" s="72"/>
      <c r="AA84" s="73"/>
      <c r="AB84" s="568">
        <f>AA84*(1+Z79)</f>
        <v>0</v>
      </c>
      <c r="AC84" s="253"/>
    </row>
    <row r="85" spans="1:33" s="255" customFormat="1" ht="13.5" thickBot="1">
      <c r="A85" s="253"/>
      <c r="B85" s="81"/>
      <c r="C85" s="45"/>
      <c r="D85" s="45"/>
      <c r="E85" s="45"/>
      <c r="F85" s="45"/>
      <c r="G85" s="45"/>
      <c r="H85" s="253"/>
      <c r="I85" s="253"/>
      <c r="J85" s="260"/>
      <c r="K85" s="253"/>
      <c r="L85" s="576" t="s">
        <v>600</v>
      </c>
      <c r="M85" s="358"/>
      <c r="N85" s="359"/>
      <c r="O85" s="360"/>
      <c r="P85" s="577">
        <f>P81/P55</f>
        <v>61.05090302527023</v>
      </c>
      <c r="Q85" s="253"/>
      <c r="R85" s="576" t="s">
        <v>600</v>
      </c>
      <c r="S85" s="358"/>
      <c r="T85" s="359"/>
      <c r="U85" s="360"/>
      <c r="V85" s="577">
        <f>V81/V55</f>
        <v>48.248471347335432</v>
      </c>
      <c r="W85" s="253"/>
      <c r="X85" s="576" t="s">
        <v>600</v>
      </c>
      <c r="Y85" s="358"/>
      <c r="Z85" s="359"/>
      <c r="AA85" s="360"/>
      <c r="AB85" s="577">
        <f>AB81/AB55</f>
        <v>35.446039669400633</v>
      </c>
      <c r="AC85" s="253"/>
    </row>
    <row r="86" spans="1:33" s="255" customFormat="1" ht="13.5" thickBot="1">
      <c r="A86" s="253"/>
      <c r="B86" s="94" t="s">
        <v>37</v>
      </c>
      <c r="C86" s="96">
        <f>C41</f>
        <v>7.6809383045675458E-2</v>
      </c>
      <c r="D86" s="96"/>
      <c r="E86" s="96"/>
      <c r="F86" s="96"/>
      <c r="G86" s="96"/>
      <c r="H86" s="261"/>
      <c r="I86" s="261"/>
      <c r="J86" s="262"/>
      <c r="K86" s="253"/>
      <c r="L86" s="253"/>
      <c r="M86" s="253"/>
      <c r="N86" s="253"/>
      <c r="O86" s="253"/>
      <c r="P86" s="253"/>
      <c r="Q86" s="253"/>
      <c r="R86" s="253"/>
      <c r="S86" s="253"/>
      <c r="T86" s="253"/>
      <c r="U86" s="253"/>
      <c r="V86" s="253"/>
      <c r="W86" s="253"/>
      <c r="X86" s="253"/>
      <c r="Y86" s="253"/>
      <c r="Z86" s="253"/>
      <c r="AA86" s="253"/>
      <c r="AB86" s="253"/>
      <c r="AC86" s="253"/>
    </row>
    <row r="87" spans="1:33" s="255" customFormat="1">
      <c r="A87" s="253"/>
      <c r="B87" s="253"/>
      <c r="C87" s="253"/>
      <c r="D87" s="253"/>
      <c r="E87" s="253"/>
      <c r="F87" s="253"/>
      <c r="G87" s="253"/>
      <c r="H87" s="253"/>
      <c r="I87" s="253"/>
      <c r="J87" s="253"/>
      <c r="K87" s="253"/>
      <c r="L87" s="253"/>
      <c r="M87" s="253"/>
      <c r="N87" s="253"/>
      <c r="O87" s="253" t="s">
        <v>783</v>
      </c>
      <c r="P87" s="876">
        <v>59.369726711739183</v>
      </c>
      <c r="Q87" s="876"/>
      <c r="R87" s="876"/>
      <c r="S87" s="876"/>
      <c r="T87" s="876"/>
      <c r="U87" s="876" t="s">
        <v>783</v>
      </c>
      <c r="V87" s="876">
        <v>46.567295033804385</v>
      </c>
      <c r="W87" s="876"/>
      <c r="X87" s="876"/>
      <c r="Y87" s="876"/>
      <c r="Z87" s="876"/>
      <c r="AA87" s="253" t="s">
        <v>783</v>
      </c>
      <c r="AB87" s="876">
        <v>33.764863355869593</v>
      </c>
      <c r="AC87" s="253"/>
    </row>
    <row r="88" spans="1:33" s="255" customFormat="1">
      <c r="A88" s="253"/>
      <c r="B88" s="336" t="s">
        <v>568</v>
      </c>
      <c r="C88" s="253"/>
      <c r="D88" s="253"/>
      <c r="E88" s="253"/>
      <c r="F88" s="253"/>
      <c r="G88" s="253"/>
      <c r="H88" s="253"/>
      <c r="I88" s="253"/>
      <c r="J88" s="253"/>
      <c r="K88" s="253"/>
      <c r="L88" s="253"/>
      <c r="M88" s="253"/>
      <c r="N88" s="253"/>
      <c r="O88" s="253"/>
      <c r="P88" s="253"/>
      <c r="Q88" s="253"/>
      <c r="R88" s="253"/>
      <c r="S88" s="253"/>
      <c r="T88" s="253"/>
      <c r="U88" s="253"/>
      <c r="V88" s="253"/>
      <c r="W88" s="253"/>
      <c r="X88" s="253"/>
      <c r="Y88" s="253"/>
      <c r="Z88" s="253"/>
      <c r="AA88" s="253"/>
      <c r="AB88" s="253"/>
      <c r="AC88" s="253"/>
    </row>
    <row r="89" spans="1:33" s="255" customFormat="1">
      <c r="A89" s="253"/>
      <c r="B89" s="334" t="s">
        <v>401</v>
      </c>
      <c r="C89" s="331" t="s">
        <v>400</v>
      </c>
      <c r="D89" s="331" t="s">
        <v>394</v>
      </c>
      <c r="E89" s="331" t="s">
        <v>395</v>
      </c>
      <c r="F89" s="331" t="s">
        <v>396</v>
      </c>
      <c r="G89" s="331" t="s">
        <v>397</v>
      </c>
      <c r="H89" s="331" t="s">
        <v>398</v>
      </c>
      <c r="I89" s="331" t="s">
        <v>399</v>
      </c>
      <c r="J89" s="253"/>
      <c r="K89" s="253"/>
      <c r="L89" s="253"/>
      <c r="M89" s="253"/>
      <c r="N89" s="253"/>
      <c r="O89" s="253"/>
      <c r="P89" s="482">
        <f>P85-P87</f>
        <v>1.6811763135310471</v>
      </c>
      <c r="Q89" s="253"/>
      <c r="R89" s="253"/>
      <c r="S89" s="253"/>
      <c r="T89" s="253"/>
      <c r="U89" s="253"/>
      <c r="V89" s="482">
        <f>V85-V87</f>
        <v>1.6811763135310471</v>
      </c>
      <c r="W89" s="253"/>
      <c r="X89" s="253"/>
      <c r="Y89" s="253"/>
      <c r="Z89" s="253"/>
      <c r="AA89" s="253"/>
      <c r="AB89" s="482">
        <f>AB85-AB87</f>
        <v>1.68117631353104</v>
      </c>
      <c r="AC89" s="253"/>
    </row>
    <row r="90" spans="1:33" s="255" customFormat="1">
      <c r="A90" s="253"/>
      <c r="B90" s="335" t="s">
        <v>391</v>
      </c>
      <c r="C90" s="332">
        <v>8</v>
      </c>
      <c r="D90" s="332">
        <v>8</v>
      </c>
      <c r="E90" s="332">
        <v>8</v>
      </c>
      <c r="F90" s="332">
        <v>8</v>
      </c>
      <c r="G90" s="332">
        <v>8</v>
      </c>
      <c r="H90" s="332">
        <v>8</v>
      </c>
      <c r="I90" s="332">
        <v>8</v>
      </c>
      <c r="J90" s="253"/>
      <c r="K90" s="253"/>
      <c r="L90" s="253"/>
      <c r="M90" s="253"/>
      <c r="N90" s="253"/>
      <c r="O90" s="253"/>
      <c r="P90" s="253"/>
      <c r="Q90" s="253"/>
      <c r="R90" s="253"/>
      <c r="S90" s="253"/>
      <c r="T90" s="253"/>
      <c r="U90" s="253"/>
      <c r="V90" s="253"/>
      <c r="W90" s="253"/>
      <c r="X90" s="253"/>
      <c r="Y90" s="253"/>
      <c r="Z90" s="253"/>
      <c r="AA90" s="253"/>
      <c r="AB90" s="253"/>
      <c r="AC90" s="253"/>
    </row>
    <row r="91" spans="1:33" s="255" customFormat="1">
      <c r="A91" s="253"/>
      <c r="B91" s="335" t="s">
        <v>392</v>
      </c>
      <c r="C91" s="332">
        <v>8</v>
      </c>
      <c r="D91" s="332">
        <v>8</v>
      </c>
      <c r="E91" s="332">
        <v>8</v>
      </c>
      <c r="F91" s="332">
        <v>8</v>
      </c>
      <c r="G91" s="332">
        <v>8</v>
      </c>
      <c r="H91" s="332">
        <v>8</v>
      </c>
      <c r="I91" s="332">
        <v>8</v>
      </c>
      <c r="J91" s="253"/>
      <c r="K91" s="253"/>
      <c r="L91" s="253"/>
      <c r="M91" s="253"/>
      <c r="N91" s="253"/>
      <c r="O91" s="253"/>
      <c r="P91" s="253"/>
      <c r="Q91" s="253"/>
      <c r="R91" s="253"/>
      <c r="S91" s="253"/>
      <c r="T91" s="253"/>
      <c r="U91" s="253"/>
      <c r="V91" s="253"/>
      <c r="W91" s="253"/>
      <c r="X91" s="253"/>
      <c r="Y91" s="253"/>
      <c r="Z91" s="253"/>
      <c r="AA91" s="253"/>
      <c r="AB91" s="253"/>
      <c r="AC91" s="253"/>
    </row>
    <row r="92" spans="1:33" s="255" customFormat="1">
      <c r="A92" s="253"/>
      <c r="B92" s="335" t="s">
        <v>393</v>
      </c>
      <c r="C92" s="332">
        <v>8</v>
      </c>
      <c r="D92" s="332">
        <v>8</v>
      </c>
      <c r="E92" s="332">
        <v>8</v>
      </c>
      <c r="F92" s="332">
        <v>8</v>
      </c>
      <c r="G92" s="332">
        <v>8</v>
      </c>
      <c r="H92" s="332">
        <v>8</v>
      </c>
      <c r="I92" s="332">
        <v>8</v>
      </c>
      <c r="J92" s="253"/>
      <c r="K92" s="253"/>
      <c r="L92" s="253"/>
      <c r="M92" s="253"/>
      <c r="N92" s="253"/>
      <c r="O92" s="253"/>
      <c r="P92" s="253"/>
      <c r="Q92" s="253"/>
      <c r="R92" s="253"/>
      <c r="S92" s="253"/>
      <c r="T92" s="253"/>
      <c r="U92" s="253"/>
      <c r="V92" s="253"/>
      <c r="W92" s="253"/>
      <c r="X92" s="253"/>
      <c r="Y92" s="253"/>
      <c r="Z92" s="253"/>
      <c r="AA92" s="253"/>
      <c r="AB92" s="253"/>
      <c r="AC92" s="253"/>
    </row>
    <row r="93" spans="1:33" s="255" customFormat="1">
      <c r="A93" s="253"/>
      <c r="B93" s="335" t="str">
        <f>"Total"&amp;" = "&amp;(SUM(C93:I93))</f>
        <v>Total = 168</v>
      </c>
      <c r="C93" s="333">
        <f t="shared" ref="C93:I93" si="1">SUM(C90:C92)</f>
        <v>24</v>
      </c>
      <c r="D93" s="333">
        <f t="shared" si="1"/>
        <v>24</v>
      </c>
      <c r="E93" s="333">
        <f t="shared" si="1"/>
        <v>24</v>
      </c>
      <c r="F93" s="333">
        <f t="shared" si="1"/>
        <v>24</v>
      </c>
      <c r="G93" s="333">
        <f t="shared" si="1"/>
        <v>24</v>
      </c>
      <c r="H93" s="333">
        <f t="shared" si="1"/>
        <v>24</v>
      </c>
      <c r="I93" s="333">
        <f t="shared" si="1"/>
        <v>24</v>
      </c>
      <c r="J93" s="253"/>
      <c r="K93" s="253"/>
      <c r="L93" s="253"/>
      <c r="M93" s="253"/>
      <c r="N93" s="253"/>
      <c r="O93" s="253"/>
      <c r="P93" s="253"/>
      <c r="Q93" s="253"/>
      <c r="R93" s="253"/>
      <c r="S93" s="253"/>
      <c r="T93" s="253"/>
      <c r="U93" s="253"/>
      <c r="V93" s="253"/>
      <c r="W93" s="253"/>
      <c r="X93" s="253"/>
      <c r="Y93" s="253"/>
      <c r="Z93" s="253"/>
      <c r="AA93" s="253"/>
      <c r="AB93" s="253"/>
      <c r="AC93" s="253"/>
    </row>
    <row r="94" spans="1:33" s="255" customFormat="1">
      <c r="A94" s="253"/>
      <c r="B94" s="253"/>
      <c r="C94" s="253"/>
      <c r="D94" s="326"/>
      <c r="E94" s="326"/>
      <c r="F94" s="326"/>
      <c r="G94" s="326"/>
      <c r="H94" s="326"/>
      <c r="I94" s="326"/>
      <c r="J94" s="253"/>
      <c r="K94" s="253"/>
      <c r="L94" s="253"/>
      <c r="M94" s="253"/>
      <c r="N94" s="253"/>
      <c r="O94" s="253"/>
      <c r="P94" s="253"/>
      <c r="Q94" s="253"/>
      <c r="R94" s="253"/>
      <c r="S94" s="253"/>
      <c r="T94" s="253"/>
      <c r="U94" s="253"/>
      <c r="V94" s="253"/>
      <c r="W94" s="253"/>
      <c r="X94" s="253"/>
      <c r="Y94" s="253"/>
      <c r="Z94" s="253"/>
      <c r="AA94" s="253"/>
      <c r="AB94" s="253"/>
      <c r="AC94" s="253"/>
    </row>
    <row r="95" spans="1:33" s="255" customFormat="1"/>
    <row r="96" spans="1:33" s="255" customFormat="1">
      <c r="P96" s="407"/>
      <c r="Q96" s="407"/>
      <c r="R96" s="407"/>
      <c r="S96" s="407"/>
      <c r="T96" s="407"/>
      <c r="U96" s="407"/>
      <c r="V96" s="407"/>
      <c r="W96" s="407"/>
      <c r="X96" s="407"/>
      <c r="Y96" s="407"/>
      <c r="Z96" s="407"/>
      <c r="AA96" s="407"/>
      <c r="AB96" s="407"/>
      <c r="AC96" s="407"/>
      <c r="AD96" s="407"/>
      <c r="AE96" s="407"/>
      <c r="AF96" s="407"/>
      <c r="AG96" s="407"/>
    </row>
    <row r="97" spans="16:33" s="255" customFormat="1"/>
    <row r="98" spans="16:33" s="255" customFormat="1"/>
    <row r="99" spans="16:33" s="255" customFormat="1"/>
    <row r="100" spans="16:33" s="255" customFormat="1"/>
    <row r="101" spans="16:33" s="255" customFormat="1"/>
    <row r="102" spans="16:33" s="255" customFormat="1"/>
    <row r="103" spans="16:33" s="255" customFormat="1">
      <c r="P103" s="407"/>
      <c r="Q103" s="407"/>
      <c r="R103" s="407"/>
      <c r="S103" s="407"/>
      <c r="T103" s="407"/>
      <c r="U103" s="407"/>
      <c r="V103" s="407"/>
      <c r="W103" s="407"/>
      <c r="X103" s="407"/>
      <c r="Y103" s="407"/>
      <c r="Z103" s="407"/>
      <c r="AA103" s="407"/>
      <c r="AB103" s="407"/>
      <c r="AC103" s="407"/>
      <c r="AD103" s="407"/>
      <c r="AE103" s="407"/>
      <c r="AF103" s="407"/>
      <c r="AG103" s="407"/>
    </row>
    <row r="104" spans="16:33" s="255" customFormat="1"/>
    <row r="105" spans="16:33" s="255" customFormat="1"/>
    <row r="106" spans="16:33" s="255" customFormat="1"/>
    <row r="107" spans="16:33" s="255" customFormat="1"/>
    <row r="108" spans="16:33" s="255" customFormat="1"/>
    <row r="109" spans="16:33" s="255" customFormat="1"/>
    <row r="110" spans="16:33" s="255" customFormat="1"/>
    <row r="111" spans="16:33" s="255" customFormat="1"/>
    <row r="112" spans="16:33" s="255" customFormat="1"/>
    <row r="113" s="255" customFormat="1"/>
    <row r="114" s="255" customFormat="1"/>
    <row r="115" s="255" customFormat="1"/>
    <row r="116" s="255" customFormat="1"/>
    <row r="117" s="255" customFormat="1"/>
    <row r="118" s="255" customFormat="1"/>
    <row r="119" s="255" customFormat="1"/>
    <row r="120" s="255" customFormat="1"/>
    <row r="121" s="255" customFormat="1"/>
    <row r="122" s="255" customFormat="1"/>
    <row r="123" s="255" customFormat="1"/>
    <row r="124" s="255" customFormat="1"/>
    <row r="125" s="255" customFormat="1"/>
    <row r="126" s="255" customFormat="1"/>
    <row r="127" s="255" customFormat="1"/>
    <row r="128" s="255" customFormat="1"/>
    <row r="129" s="255" customFormat="1"/>
    <row r="130" s="255" customFormat="1"/>
    <row r="131" s="255" customFormat="1"/>
    <row r="132" s="255" customFormat="1"/>
    <row r="133" s="255" customFormat="1"/>
    <row r="134" s="255" customFormat="1"/>
    <row r="135" s="255" customFormat="1"/>
    <row r="136" s="255" customFormat="1"/>
    <row r="137" s="255" customFormat="1"/>
    <row r="138" s="255" customFormat="1"/>
    <row r="139" s="255" customFormat="1"/>
    <row r="140" s="255" customFormat="1"/>
    <row r="141" s="255" customFormat="1"/>
    <row r="142" s="255" customFormat="1"/>
    <row r="143" s="255" customFormat="1"/>
    <row r="144" s="255" customFormat="1"/>
    <row r="145" s="255" customFormat="1"/>
    <row r="146" s="255" customFormat="1"/>
    <row r="147" s="255" customFormat="1"/>
    <row r="148" s="255" customFormat="1"/>
    <row r="149" s="255" customFormat="1"/>
    <row r="150" s="255" customFormat="1"/>
    <row r="151" s="255" customFormat="1"/>
    <row r="152" s="255" customFormat="1"/>
    <row r="153" s="255" customFormat="1"/>
    <row r="154" s="255" customFormat="1"/>
    <row r="155" s="255" customFormat="1"/>
    <row r="156" s="255" customFormat="1"/>
    <row r="157" s="255" customFormat="1"/>
    <row r="158" s="255" customFormat="1"/>
    <row r="159" s="255" customFormat="1"/>
    <row r="160" s="255" customFormat="1"/>
    <row r="161" s="255" customFormat="1"/>
    <row r="162" s="255" customFormat="1"/>
    <row r="163" s="255" customFormat="1"/>
    <row r="164" s="255" customFormat="1"/>
    <row r="165" s="255" customFormat="1"/>
    <row r="166" s="255" customFormat="1"/>
    <row r="167" s="255" customFormat="1"/>
    <row r="168" s="255" customFormat="1"/>
    <row r="169" s="255" customFormat="1"/>
    <row r="170" s="255" customFormat="1"/>
    <row r="171" s="255" customFormat="1"/>
    <row r="172" s="255" customFormat="1"/>
    <row r="173" s="255" customFormat="1"/>
    <row r="174" s="255" customFormat="1"/>
    <row r="175" s="255" customFormat="1"/>
    <row r="176" s="255" customFormat="1"/>
    <row r="177" s="255" customFormat="1"/>
    <row r="178" s="255" customFormat="1"/>
    <row r="179" s="255" customFormat="1"/>
    <row r="180" s="255" customFormat="1"/>
    <row r="181" s="255" customFormat="1"/>
    <row r="182" s="255" customFormat="1"/>
    <row r="183" s="255" customFormat="1"/>
    <row r="184" s="255" customFormat="1"/>
    <row r="185" s="255" customFormat="1"/>
    <row r="186" s="255" customFormat="1"/>
    <row r="187" s="255" customFormat="1"/>
    <row r="188" s="255" customFormat="1"/>
    <row r="189" s="255" customFormat="1"/>
    <row r="190" s="255" customFormat="1"/>
    <row r="191" s="255" customFormat="1"/>
    <row r="192" s="255" customFormat="1"/>
    <row r="193" s="255" customFormat="1"/>
    <row r="194" s="255" customFormat="1"/>
    <row r="195" s="255" customFormat="1"/>
    <row r="196" s="255" customFormat="1"/>
    <row r="197" s="255" customFormat="1"/>
    <row r="198" s="255" customFormat="1"/>
    <row r="199" s="255" customFormat="1"/>
    <row r="200" s="255" customFormat="1"/>
    <row r="201" s="255" customFormat="1"/>
    <row r="202" s="255" customFormat="1"/>
    <row r="203" s="255" customFormat="1"/>
    <row r="204" s="255" customFormat="1"/>
    <row r="205" s="255" customFormat="1"/>
    <row r="206" s="255" customFormat="1"/>
    <row r="207" s="255" customFormat="1"/>
    <row r="208" s="255" customFormat="1"/>
    <row r="209" s="255" customFormat="1"/>
    <row r="210" s="255" customFormat="1"/>
    <row r="211" s="255" customFormat="1"/>
    <row r="212" s="255" customFormat="1"/>
    <row r="213" s="255" customFormat="1"/>
    <row r="214" s="255" customFormat="1"/>
    <row r="215" s="255" customFormat="1"/>
    <row r="216" s="255" customFormat="1"/>
    <row r="217" s="255" customFormat="1"/>
    <row r="218" s="255" customFormat="1"/>
    <row r="219" s="255" customFormat="1"/>
    <row r="220" s="255" customFormat="1"/>
    <row r="221" s="255" customFormat="1"/>
    <row r="222" s="255" customFormat="1"/>
    <row r="223" s="255" customFormat="1"/>
    <row r="224" s="255" customFormat="1"/>
    <row r="225" s="255" customFormat="1"/>
    <row r="226" s="255" customFormat="1"/>
    <row r="227" s="255" customFormat="1"/>
    <row r="228" s="255" customFormat="1"/>
    <row r="229" s="255" customFormat="1"/>
    <row r="230" s="255" customFormat="1"/>
    <row r="231" s="255" customFormat="1"/>
    <row r="232" s="255" customFormat="1"/>
    <row r="233" s="255" customFormat="1"/>
    <row r="234" s="255" customFormat="1"/>
    <row r="235" s="255" customFormat="1"/>
    <row r="236" s="255" customFormat="1"/>
    <row r="237" s="255" customFormat="1"/>
    <row r="238" s="255" customFormat="1"/>
    <row r="239" s="255" customFormat="1"/>
    <row r="240" s="255" customFormat="1"/>
    <row r="241" s="255" customFormat="1"/>
    <row r="242" s="255" customFormat="1"/>
    <row r="243" s="255" customFormat="1"/>
    <row r="244" s="255" customFormat="1"/>
    <row r="245" s="255" customFormat="1"/>
    <row r="246" s="255" customFormat="1"/>
    <row r="247" s="255" customFormat="1"/>
    <row r="248" s="255" customFormat="1"/>
    <row r="249" s="255" customFormat="1"/>
    <row r="250" s="255" customFormat="1"/>
    <row r="251" s="255" customFormat="1"/>
    <row r="252" s="255" customFormat="1"/>
    <row r="253" s="255" customFormat="1"/>
    <row r="254" s="255" customFormat="1"/>
    <row r="255" s="255" customFormat="1"/>
    <row r="256" s="255" customFormat="1"/>
    <row r="257" s="255" customFormat="1"/>
    <row r="258" s="255" customFormat="1"/>
    <row r="259" s="255" customFormat="1"/>
    <row r="260" s="255" customFormat="1"/>
    <row r="261" s="255" customFormat="1"/>
    <row r="262" s="255" customFormat="1"/>
    <row r="263" s="255" customFormat="1"/>
    <row r="264" s="255" customFormat="1"/>
    <row r="265" s="255" customFormat="1"/>
    <row r="266" s="255" customFormat="1"/>
    <row r="267" s="255" customFormat="1"/>
    <row r="268" s="255" customFormat="1"/>
    <row r="269" s="255" customFormat="1"/>
    <row r="270" s="255" customFormat="1"/>
    <row r="271" s="255" customFormat="1"/>
    <row r="272" s="255" customFormat="1"/>
    <row r="273" s="255" customFormat="1"/>
    <row r="274" s="255" customFormat="1"/>
    <row r="275" s="255" customFormat="1"/>
    <row r="276" s="255" customFormat="1"/>
    <row r="277" s="255" customFormat="1"/>
    <row r="278" s="255" customFormat="1"/>
    <row r="279" s="255" customFormat="1"/>
    <row r="280" s="255" customFormat="1"/>
    <row r="281" s="255" customFormat="1"/>
    <row r="282" s="255" customFormat="1"/>
    <row r="283" s="255" customFormat="1"/>
    <row r="284" s="255" customFormat="1"/>
    <row r="285" s="255" customFormat="1"/>
    <row r="286" s="255" customFormat="1"/>
    <row r="287" s="255" customFormat="1"/>
    <row r="288" s="255" customFormat="1"/>
    <row r="289" s="255" customFormat="1"/>
    <row r="290" s="255" customFormat="1"/>
    <row r="291" s="255" customFormat="1"/>
    <row r="292" s="255" customFormat="1"/>
    <row r="293" s="255" customFormat="1"/>
    <row r="294" s="255" customFormat="1"/>
    <row r="295" s="255" customFormat="1"/>
    <row r="296" s="255" customFormat="1"/>
    <row r="297" s="255" customFormat="1"/>
    <row r="298" s="255" customFormat="1"/>
    <row r="299" s="255" customFormat="1"/>
    <row r="300" s="255" customFormat="1"/>
    <row r="301" s="255" customFormat="1"/>
    <row r="302" s="255" customFormat="1"/>
    <row r="303" s="255" customFormat="1"/>
    <row r="304" s="255" customFormat="1"/>
    <row r="305" s="255" customFormat="1"/>
    <row r="306" s="255" customFormat="1"/>
    <row r="307" s="255" customFormat="1"/>
    <row r="308" s="255" customFormat="1"/>
    <row r="309" s="255" customFormat="1"/>
    <row r="310" s="255" customFormat="1"/>
    <row r="311" s="255" customFormat="1"/>
    <row r="312" s="255" customFormat="1"/>
    <row r="313" s="255" customFormat="1"/>
    <row r="314" s="255" customFormat="1"/>
    <row r="315" s="255" customFormat="1"/>
    <row r="316" s="255" customFormat="1"/>
    <row r="317" s="255" customFormat="1"/>
    <row r="318" s="255" customFormat="1"/>
    <row r="319" s="255" customFormat="1"/>
    <row r="320" s="255" customFormat="1"/>
    <row r="321" s="255" customFormat="1"/>
    <row r="322" s="255" customFormat="1"/>
    <row r="323" s="255" customFormat="1"/>
    <row r="324" s="255" customFormat="1"/>
    <row r="325" s="255" customFormat="1"/>
    <row r="326" s="255" customFormat="1"/>
    <row r="327" s="255" customFormat="1"/>
    <row r="328" s="255" customFormat="1"/>
    <row r="329" s="255" customFormat="1"/>
    <row r="330" s="255" customFormat="1"/>
    <row r="331" s="255" customFormat="1"/>
    <row r="332" s="255" customFormat="1"/>
    <row r="333" s="255" customFormat="1"/>
    <row r="334" s="255" customFormat="1"/>
    <row r="335" s="255" customFormat="1"/>
    <row r="336" s="255" customFormat="1"/>
    <row r="337" s="255" customFormat="1"/>
    <row r="338" s="255" customFormat="1"/>
    <row r="339" s="255" customFormat="1"/>
    <row r="340" s="255" customFormat="1"/>
    <row r="341" s="255" customFormat="1"/>
    <row r="342" s="255" customFormat="1"/>
    <row r="343" s="255" customFormat="1"/>
    <row r="344" s="255" customFormat="1"/>
    <row r="345" s="255" customFormat="1"/>
    <row r="346" s="255" customFormat="1"/>
    <row r="347" s="255" customFormat="1"/>
    <row r="348" s="255" customFormat="1"/>
    <row r="349" s="255" customFormat="1"/>
    <row r="350" s="255" customFormat="1"/>
    <row r="351" s="255" customFormat="1"/>
    <row r="352" s="255" customFormat="1"/>
    <row r="353" s="255" customFormat="1"/>
    <row r="354" s="255" customFormat="1"/>
    <row r="355" s="255" customFormat="1"/>
    <row r="356" s="255" customFormat="1"/>
    <row r="357" s="255" customFormat="1"/>
    <row r="358" s="255" customFormat="1"/>
    <row r="359" s="255" customFormat="1"/>
    <row r="360" s="255" customFormat="1"/>
    <row r="361" s="255" customFormat="1"/>
    <row r="362" s="255" customFormat="1"/>
    <row r="363" s="255" customFormat="1"/>
    <row r="364" s="255" customFormat="1"/>
    <row r="365" s="255" customFormat="1"/>
    <row r="366" s="255" customFormat="1"/>
    <row r="367" s="255" customFormat="1"/>
    <row r="368" s="255" customFormat="1"/>
    <row r="369" s="255" customFormat="1"/>
    <row r="370" s="255" customFormat="1"/>
    <row r="371" s="255" customFormat="1"/>
    <row r="372" s="255" customFormat="1"/>
    <row r="373" s="255" customFormat="1"/>
    <row r="374" s="255" customFormat="1"/>
    <row r="375" s="255" customFormat="1"/>
    <row r="376" s="255" customFormat="1"/>
    <row r="377" s="255" customFormat="1"/>
    <row r="378" s="255" customFormat="1"/>
    <row r="379" s="255" customFormat="1"/>
    <row r="380" s="255" customFormat="1"/>
    <row r="381" s="255" customFormat="1"/>
    <row r="382" s="255" customFormat="1"/>
    <row r="383" s="255" customFormat="1"/>
    <row r="384" s="255" customFormat="1"/>
    <row r="385" s="255" customFormat="1"/>
    <row r="386" s="255" customFormat="1"/>
    <row r="387" s="255" customFormat="1"/>
    <row r="388" s="255" customFormat="1"/>
    <row r="389" s="255" customFormat="1"/>
    <row r="390" s="255" customFormat="1"/>
    <row r="391" s="255" customFormat="1"/>
    <row r="392" s="255" customFormat="1"/>
    <row r="393" s="255" customFormat="1"/>
    <row r="394" s="255" customFormat="1"/>
    <row r="395" s="255" customFormat="1"/>
    <row r="396" s="255" customFormat="1"/>
    <row r="397" s="255" customFormat="1"/>
    <row r="398" s="255" customFormat="1"/>
    <row r="399" s="255" customFormat="1"/>
    <row r="400" s="255" customFormat="1"/>
    <row r="401" s="255" customFormat="1"/>
    <row r="402" s="255" customFormat="1"/>
    <row r="403" s="255" customFormat="1"/>
    <row r="404" s="255" customFormat="1"/>
    <row r="405" s="255" customFormat="1"/>
    <row r="406" s="255" customFormat="1"/>
    <row r="407" s="255" customFormat="1"/>
    <row r="408" s="255" customFormat="1"/>
    <row r="409" s="255" customFormat="1"/>
    <row r="410" s="255" customFormat="1"/>
    <row r="411" s="255" customFormat="1"/>
    <row r="412" s="255" customFormat="1"/>
    <row r="413" s="255" customFormat="1"/>
    <row r="414" s="255" customFormat="1"/>
    <row r="415" s="255" customFormat="1"/>
    <row r="416" s="255" customFormat="1"/>
    <row r="417" s="255" customFormat="1"/>
    <row r="418" s="255" customFormat="1"/>
    <row r="419" s="255" customFormat="1"/>
    <row r="420" s="255" customFormat="1"/>
    <row r="421" s="255" customFormat="1"/>
    <row r="422" s="255" customFormat="1"/>
    <row r="423" s="255" customFormat="1"/>
    <row r="424" s="255" customFormat="1"/>
    <row r="425" s="255" customFormat="1"/>
    <row r="426" s="255" customFormat="1"/>
    <row r="427" s="255" customFormat="1"/>
    <row r="428" s="255" customFormat="1"/>
    <row r="429" s="255" customFormat="1"/>
    <row r="430" s="255" customFormat="1"/>
    <row r="431" s="255" customFormat="1"/>
    <row r="432" s="255" customFormat="1"/>
    <row r="433" s="255" customFormat="1"/>
    <row r="434" s="255" customFormat="1"/>
    <row r="435" s="255" customFormat="1"/>
    <row r="436" s="255" customFormat="1"/>
    <row r="437" s="255" customFormat="1"/>
    <row r="438" s="255" customFormat="1"/>
    <row r="439" s="255" customFormat="1"/>
    <row r="440" s="255" customFormat="1"/>
    <row r="441" s="255" customFormat="1"/>
    <row r="442" s="255" customFormat="1"/>
    <row r="443" s="255" customFormat="1"/>
    <row r="444" s="255" customFormat="1"/>
    <row r="445" s="255" customFormat="1"/>
    <row r="446" s="255" customFormat="1"/>
    <row r="447" s="255" customFormat="1"/>
    <row r="448" s="255" customFormat="1"/>
    <row r="449" s="255" customFormat="1"/>
    <row r="450" s="255" customFormat="1"/>
    <row r="451" s="255" customFormat="1"/>
    <row r="452" s="255" customFormat="1"/>
    <row r="453" s="255" customFormat="1"/>
    <row r="454" s="255" customFormat="1"/>
    <row r="455" s="255" customFormat="1"/>
    <row r="456" s="255" customFormat="1"/>
    <row r="457" s="255" customFormat="1"/>
    <row r="458" s="255" customFormat="1"/>
    <row r="459" s="255" customFormat="1"/>
    <row r="460" s="255" customFormat="1"/>
    <row r="461" s="255" customFormat="1"/>
    <row r="462" s="255" customFormat="1"/>
  </sheetData>
  <mergeCells count="11">
    <mergeCell ref="G84:J84"/>
    <mergeCell ref="B1:J1"/>
    <mergeCell ref="L1:AB1"/>
    <mergeCell ref="L9:P9"/>
    <mergeCell ref="R9:V9"/>
    <mergeCell ref="X9:AB9"/>
    <mergeCell ref="B42:J43"/>
    <mergeCell ref="B51:I51"/>
    <mergeCell ref="L54:P54"/>
    <mergeCell ref="R54:V54"/>
    <mergeCell ref="X54:AB54"/>
  </mergeCells>
  <printOptions horizontalCentered="1"/>
  <pageMargins left="0.2" right="0.2" top="1" bottom="1" header="0.3" footer="0.3"/>
  <pageSetup scale="87" fitToHeight="0" orientation="portrait" r:id="rId1"/>
  <headerFooter>
    <oddFooter>&amp;R&amp;P of &amp;N</oddFooter>
  </headerFooter>
  <rowBreaks count="1" manualBreakCount="1">
    <brk id="51" min="11" max="27" man="1"/>
  </rowBreaks>
  <colBreaks count="1" manualBreakCount="1">
    <brk id="10" max="86"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79998168889431442"/>
    <pageSetUpPr fitToPage="1"/>
  </sheetPr>
  <dimension ref="A1:LW464"/>
  <sheetViews>
    <sheetView zoomScale="80" zoomScaleNormal="80" workbookViewId="0">
      <selection activeCell="C14" sqref="C14:C17"/>
    </sheetView>
  </sheetViews>
  <sheetFormatPr defaultColWidth="9.42578125" defaultRowHeight="12.75"/>
  <cols>
    <col min="1" max="1" width="3" style="985" customWidth="1"/>
    <col min="2" max="2" width="23.5703125" style="985" customWidth="1"/>
    <col min="3" max="9" width="10.42578125" style="985" customWidth="1"/>
    <col min="10" max="10" width="21.5703125" style="985" customWidth="1"/>
    <col min="11" max="11" width="2.5703125" style="985" customWidth="1"/>
    <col min="12" max="12" width="21.42578125" style="985" customWidth="1"/>
    <col min="13" max="13" width="6.5703125" style="985" bestFit="1" customWidth="1"/>
    <col min="14" max="14" width="14.5703125" style="985" customWidth="1"/>
    <col min="15" max="15" width="11.5703125" style="985" customWidth="1"/>
    <col min="16" max="16" width="17.42578125" style="985" customWidth="1"/>
    <col min="17" max="17" width="6.42578125" style="985" customWidth="1"/>
    <col min="18" max="18" width="22.42578125" style="985" customWidth="1"/>
    <col min="19" max="19" width="4.5703125" style="985" bestFit="1" customWidth="1"/>
    <col min="20" max="20" width="15.5703125" style="985" customWidth="1"/>
    <col min="21" max="21" width="12.42578125" style="985" customWidth="1"/>
    <col min="22" max="22" width="12" style="985" customWidth="1"/>
    <col min="23" max="23" width="4.42578125" style="985" customWidth="1"/>
    <col min="24" max="24" width="23" style="985" bestFit="1" customWidth="1"/>
    <col min="25" max="25" width="4.5703125" style="985" bestFit="1" customWidth="1"/>
    <col min="26" max="26" width="15.5703125" style="985" customWidth="1"/>
    <col min="27" max="27" width="12.42578125" style="985" customWidth="1"/>
    <col min="28" max="28" width="12" style="985" customWidth="1"/>
    <col min="29" max="29" width="6" style="985" customWidth="1"/>
    <col min="30" max="335" width="9.42578125" style="984"/>
    <col min="336" max="16384" width="9.42578125" style="985"/>
  </cols>
  <sheetData>
    <row r="1" spans="1:29" ht="15.75" customHeight="1" thickBot="1">
      <c r="A1" s="156"/>
      <c r="B1" s="2554" t="s">
        <v>546</v>
      </c>
      <c r="C1" s="2554"/>
      <c r="D1" s="2554"/>
      <c r="E1" s="2554"/>
      <c r="F1" s="2554"/>
      <c r="G1" s="2554"/>
      <c r="H1" s="2554"/>
      <c r="I1" s="2554"/>
      <c r="J1" s="2554"/>
      <c r="K1" s="156"/>
      <c r="L1" s="2554" t="s">
        <v>554</v>
      </c>
      <c r="M1" s="2554"/>
      <c r="N1" s="2554"/>
      <c r="O1" s="2554"/>
      <c r="P1" s="2554"/>
      <c r="Q1" s="2554"/>
      <c r="R1" s="2554"/>
      <c r="S1" s="2554"/>
      <c r="T1" s="2554"/>
      <c r="U1" s="2554"/>
      <c r="V1" s="2554"/>
      <c r="W1" s="2554"/>
      <c r="X1" s="2554"/>
      <c r="Y1" s="2554"/>
      <c r="Z1" s="2554"/>
      <c r="AA1" s="2554"/>
      <c r="AB1" s="2554"/>
      <c r="AC1" s="156"/>
    </row>
    <row r="2" spans="1:29" ht="9.75" customHeight="1" thickBot="1">
      <c r="A2" s="156"/>
      <c r="B2" s="35"/>
      <c r="C2" s="35"/>
      <c r="D2" s="35"/>
      <c r="E2" s="35"/>
      <c r="F2" s="35"/>
      <c r="G2" s="35"/>
      <c r="H2" s="35"/>
      <c r="I2" s="35"/>
      <c r="J2" s="35"/>
      <c r="K2" s="156"/>
      <c r="L2" s="35"/>
      <c r="M2" s="35"/>
      <c r="N2" s="35"/>
      <c r="O2" s="35"/>
      <c r="P2" s="35"/>
      <c r="Q2" s="35"/>
      <c r="R2" s="35"/>
      <c r="S2" s="35"/>
      <c r="T2" s="35"/>
      <c r="U2" s="35"/>
      <c r="V2" s="35"/>
      <c r="W2" s="35"/>
      <c r="X2" s="35"/>
      <c r="Y2" s="35"/>
      <c r="Z2" s="35"/>
      <c r="AA2" s="35"/>
      <c r="AB2" s="35"/>
      <c r="AC2" s="156"/>
    </row>
    <row r="3" spans="1:29">
      <c r="A3" s="156"/>
      <c r="B3" s="138" t="s">
        <v>0</v>
      </c>
      <c r="C3" s="139" t="s">
        <v>1</v>
      </c>
      <c r="D3" s="163" t="s">
        <v>2</v>
      </c>
      <c r="E3" s="156"/>
      <c r="F3" s="156"/>
      <c r="G3" s="156"/>
      <c r="H3" s="156"/>
      <c r="I3" s="156"/>
      <c r="J3" s="156"/>
      <c r="K3" s="156"/>
      <c r="L3" s="986"/>
      <c r="M3" s="156"/>
      <c r="N3" s="156"/>
      <c r="O3" s="156"/>
      <c r="P3" s="156"/>
      <c r="Q3" s="156"/>
      <c r="R3" s="156"/>
      <c r="S3" s="156"/>
      <c r="T3" s="156"/>
      <c r="U3" s="156"/>
      <c r="V3" s="156"/>
      <c r="W3" s="156"/>
      <c r="X3" s="156"/>
      <c r="Y3" s="156"/>
      <c r="Z3" s="156"/>
      <c r="AA3" s="156"/>
      <c r="AB3" s="156"/>
      <c r="AC3" s="156"/>
    </row>
    <row r="4" spans="1:29">
      <c r="A4" s="156"/>
      <c r="B4" s="140" t="s">
        <v>370</v>
      </c>
      <c r="C4" s="854">
        <v>15</v>
      </c>
      <c r="D4" s="164">
        <f>C4*8</f>
        <v>120</v>
      </c>
      <c r="E4" s="38"/>
      <c r="F4" s="38"/>
      <c r="G4" s="156"/>
      <c r="H4" s="156"/>
      <c r="I4" s="156"/>
      <c r="J4" s="156"/>
      <c r="K4" s="156"/>
      <c r="L4" s="156"/>
      <c r="M4" s="156"/>
      <c r="N4" s="156"/>
      <c r="O4" s="156"/>
      <c r="P4" s="156"/>
      <c r="Q4" s="156"/>
      <c r="R4" s="156"/>
      <c r="S4" s="156"/>
      <c r="T4" s="156"/>
      <c r="U4" s="156"/>
      <c r="V4" s="156"/>
      <c r="W4" s="156"/>
      <c r="X4" s="156"/>
      <c r="Y4" s="156"/>
      <c r="Z4" s="156"/>
      <c r="AA4" s="156"/>
      <c r="AB4" s="156"/>
      <c r="AC4" s="156"/>
    </row>
    <row r="5" spans="1:29">
      <c r="A5" s="156"/>
      <c r="B5" s="140" t="s">
        <v>378</v>
      </c>
      <c r="C5" s="854">
        <v>8</v>
      </c>
      <c r="D5" s="164">
        <f>C5*8</f>
        <v>64</v>
      </c>
      <c r="E5" s="39"/>
      <c r="F5" s="39"/>
      <c r="G5" s="156"/>
      <c r="H5" s="156"/>
      <c r="I5" s="156"/>
      <c r="J5" s="156"/>
      <c r="K5" s="156"/>
      <c r="L5" s="156"/>
      <c r="M5" s="156"/>
      <c r="N5" s="156"/>
      <c r="O5" s="156"/>
      <c r="P5" s="156"/>
      <c r="Q5" s="156"/>
      <c r="R5" s="156"/>
      <c r="S5" s="156"/>
      <c r="T5" s="156"/>
      <c r="U5" s="156"/>
      <c r="V5" s="156"/>
      <c r="W5" s="156"/>
      <c r="X5" s="156"/>
      <c r="Y5" s="156"/>
      <c r="Z5" s="156"/>
      <c r="AA5" s="156"/>
      <c r="AB5" s="156"/>
      <c r="AC5" s="156"/>
    </row>
    <row r="6" spans="1:29">
      <c r="A6" s="156"/>
      <c r="B6" s="140" t="s">
        <v>372</v>
      </c>
      <c r="C6" s="854">
        <v>10</v>
      </c>
      <c r="D6" s="164">
        <f>C6*8</f>
        <v>80</v>
      </c>
      <c r="E6" s="39"/>
      <c r="F6" s="39"/>
      <c r="G6" s="156"/>
      <c r="H6" s="156"/>
      <c r="I6" s="156"/>
      <c r="J6" s="156"/>
      <c r="K6" s="156"/>
      <c r="L6" s="156"/>
      <c r="M6" s="156"/>
      <c r="N6" s="156"/>
      <c r="O6" s="156"/>
      <c r="P6" s="156"/>
      <c r="Q6" s="156"/>
      <c r="R6" s="156"/>
      <c r="S6" s="156"/>
      <c r="T6" s="156"/>
      <c r="U6" s="156"/>
      <c r="V6" s="156"/>
      <c r="W6" s="156"/>
      <c r="X6" s="156"/>
      <c r="Y6" s="156"/>
      <c r="Z6" s="156"/>
      <c r="AA6" s="156"/>
      <c r="AB6" s="156"/>
      <c r="AC6" s="156"/>
    </row>
    <row r="7" spans="1:29">
      <c r="A7" s="156"/>
      <c r="B7" s="142" t="s">
        <v>902</v>
      </c>
      <c r="C7" s="854">
        <v>5</v>
      </c>
      <c r="D7" s="165">
        <f>C7*8</f>
        <v>40</v>
      </c>
      <c r="E7" s="39"/>
      <c r="F7" s="39"/>
      <c r="G7" s="156"/>
      <c r="H7" s="156"/>
      <c r="I7" s="156"/>
      <c r="J7" s="156"/>
      <c r="K7" s="156"/>
      <c r="L7" s="269" t="s">
        <v>557</v>
      </c>
      <c r="M7" s="156"/>
      <c r="N7" s="156"/>
      <c r="O7" s="156"/>
      <c r="P7" s="156"/>
      <c r="Q7" s="156"/>
      <c r="R7" s="156"/>
      <c r="S7" s="156"/>
      <c r="T7" s="156"/>
      <c r="U7" s="156"/>
      <c r="V7" s="156"/>
      <c r="W7" s="156"/>
      <c r="X7" s="156"/>
      <c r="Y7" s="156"/>
      <c r="Z7" s="156"/>
      <c r="AA7" s="156"/>
      <c r="AB7" s="156"/>
      <c r="AC7" s="156"/>
    </row>
    <row r="8" spans="1:29" ht="13.5" thickBot="1">
      <c r="A8" s="156"/>
      <c r="B8" s="140"/>
      <c r="C8" s="143" t="s">
        <v>3</v>
      </c>
      <c r="D8" s="164">
        <f>SUM(D4:D7)</f>
        <v>304</v>
      </c>
      <c r="E8" s="39"/>
      <c r="F8" s="39"/>
      <c r="G8" s="156"/>
      <c r="H8" s="156"/>
      <c r="I8" s="156"/>
      <c r="J8" s="156"/>
      <c r="K8" s="156"/>
      <c r="L8" s="156"/>
      <c r="M8" s="156"/>
      <c r="N8" s="156"/>
      <c r="O8" s="156"/>
      <c r="P8" s="156"/>
      <c r="Q8" s="156"/>
      <c r="R8" s="156"/>
      <c r="S8" s="156"/>
      <c r="T8" s="156"/>
      <c r="U8" s="156"/>
      <c r="V8" s="156"/>
      <c r="W8" s="156"/>
      <c r="X8" s="156"/>
      <c r="Y8" s="156"/>
      <c r="Z8" s="156"/>
      <c r="AA8" s="156"/>
      <c r="AB8" s="156"/>
      <c r="AC8" s="156"/>
    </row>
    <row r="9" spans="1:29" ht="13.5" customHeight="1" thickBot="1">
      <c r="A9" s="156"/>
      <c r="B9" s="144"/>
      <c r="C9" s="145" t="s">
        <v>4</v>
      </c>
      <c r="D9" s="166">
        <f>D8/(52*40)</f>
        <v>0.14615384615384616</v>
      </c>
      <c r="E9" s="39"/>
      <c r="F9" s="39"/>
      <c r="G9" s="156"/>
      <c r="H9" s="156"/>
      <c r="I9" s="156"/>
      <c r="J9" s="156"/>
      <c r="K9" s="156"/>
      <c r="L9" s="2575" t="s">
        <v>558</v>
      </c>
      <c r="M9" s="2576"/>
      <c r="N9" s="2576"/>
      <c r="O9" s="2576"/>
      <c r="P9" s="2577"/>
      <c r="R9" s="2575" t="s">
        <v>559</v>
      </c>
      <c r="S9" s="2576"/>
      <c r="T9" s="2576"/>
      <c r="U9" s="2576"/>
      <c r="V9" s="2577"/>
      <c r="X9" s="2575" t="s">
        <v>560</v>
      </c>
      <c r="Y9" s="2576"/>
      <c r="Z9" s="2576"/>
      <c r="AA9" s="2576"/>
      <c r="AB9" s="2577"/>
      <c r="AC9" s="156"/>
    </row>
    <row r="10" spans="1:29">
      <c r="A10" s="156"/>
      <c r="B10" s="156"/>
      <c r="C10" s="156"/>
      <c r="D10" s="156"/>
      <c r="E10" s="40"/>
      <c r="F10" s="40"/>
      <c r="G10" s="156"/>
      <c r="H10" s="156"/>
      <c r="I10" s="156"/>
      <c r="J10" s="156"/>
      <c r="K10" s="156"/>
      <c r="L10" s="987" t="s">
        <v>277</v>
      </c>
      <c r="M10" s="147">
        <v>5</v>
      </c>
      <c r="N10" s="988"/>
      <c r="O10" s="989" t="s">
        <v>133</v>
      </c>
      <c r="P10" s="990">
        <f>M10*365</f>
        <v>1825</v>
      </c>
      <c r="Q10" s="156"/>
      <c r="R10" s="987" t="s">
        <v>277</v>
      </c>
      <c r="S10" s="147">
        <v>8</v>
      </c>
      <c r="T10" s="988"/>
      <c r="U10" s="989" t="s">
        <v>133</v>
      </c>
      <c r="V10" s="990">
        <f>S10*365</f>
        <v>2920</v>
      </c>
      <c r="W10" s="156"/>
      <c r="X10" s="987" t="s">
        <v>36</v>
      </c>
      <c r="Y10" s="147">
        <v>11</v>
      </c>
      <c r="Z10" s="988"/>
      <c r="AA10" s="989" t="s">
        <v>133</v>
      </c>
      <c r="AB10" s="990">
        <f>Y10*365</f>
        <v>4015</v>
      </c>
      <c r="AC10" s="156"/>
    </row>
    <row r="11" spans="1:29" ht="13.5" thickBot="1">
      <c r="A11" s="156"/>
      <c r="B11" s="269" t="s">
        <v>566</v>
      </c>
      <c r="C11" s="156"/>
      <c r="D11" s="156"/>
      <c r="E11" s="156"/>
      <c r="F11" s="156"/>
      <c r="G11" s="156"/>
      <c r="H11" s="156"/>
      <c r="I11" s="156"/>
      <c r="J11" s="156"/>
      <c r="K11" s="156"/>
      <c r="L11" s="109"/>
      <c r="M11" s="156"/>
      <c r="N11" s="156"/>
      <c r="O11" s="156"/>
      <c r="P11" s="991"/>
      <c r="Q11" s="156"/>
      <c r="R11" s="109"/>
      <c r="S11" s="156"/>
      <c r="T11" s="156"/>
      <c r="U11" s="156"/>
      <c r="V11" s="991"/>
      <c r="W11" s="156"/>
      <c r="X11" s="109"/>
      <c r="Y11" s="156"/>
      <c r="Z11" s="156"/>
      <c r="AA11" s="156"/>
      <c r="AB11" s="991"/>
      <c r="AC11" s="156"/>
    </row>
    <row r="12" spans="1:29">
      <c r="A12" s="156"/>
      <c r="B12" s="992"/>
      <c r="C12" s="993" t="s">
        <v>41</v>
      </c>
      <c r="D12" s="993"/>
      <c r="E12" s="993"/>
      <c r="F12" s="994"/>
      <c r="G12" s="287" t="s">
        <v>278</v>
      </c>
      <c r="H12" s="272"/>
      <c r="I12" s="272"/>
      <c r="J12" s="273"/>
      <c r="K12" s="156"/>
      <c r="L12" s="995"/>
      <c r="M12" s="996"/>
      <c r="N12" s="997" t="s">
        <v>5</v>
      </c>
      <c r="O12" s="997" t="s">
        <v>6</v>
      </c>
      <c r="P12" s="998" t="s">
        <v>7</v>
      </c>
      <c r="Q12" s="156"/>
      <c r="R12" s="995"/>
      <c r="S12" s="996"/>
      <c r="T12" s="997" t="s">
        <v>5</v>
      </c>
      <c r="U12" s="997" t="s">
        <v>6</v>
      </c>
      <c r="V12" s="998" t="s">
        <v>7</v>
      </c>
      <c r="W12" s="156"/>
      <c r="X12" s="995"/>
      <c r="Y12" s="996"/>
      <c r="Z12" s="997" t="s">
        <v>5</v>
      </c>
      <c r="AA12" s="997" t="s">
        <v>6</v>
      </c>
      <c r="AB12" s="998" t="s">
        <v>7</v>
      </c>
      <c r="AC12" s="156"/>
    </row>
    <row r="13" spans="1:29">
      <c r="A13" s="156"/>
      <c r="B13" s="44" t="s">
        <v>31</v>
      </c>
      <c r="C13" s="297"/>
      <c r="D13" s="297"/>
      <c r="E13" s="297"/>
      <c r="F13" s="999"/>
      <c r="G13" s="283"/>
      <c r="H13" s="274"/>
      <c r="I13" s="274"/>
      <c r="J13" s="275"/>
      <c r="K13" s="156"/>
      <c r="L13" s="44" t="s">
        <v>31</v>
      </c>
      <c r="M13" s="1000"/>
      <c r="N13" s="101"/>
      <c r="O13" s="101"/>
      <c r="P13" s="1001"/>
      <c r="Q13" s="156"/>
      <c r="R13" s="44" t="s">
        <v>31</v>
      </c>
      <c r="S13" s="1000"/>
      <c r="T13" s="101"/>
      <c r="U13" s="101"/>
      <c r="V13" s="1001"/>
      <c r="W13" s="156"/>
      <c r="X13" s="44" t="s">
        <v>31</v>
      </c>
      <c r="Y13" s="1000"/>
      <c r="Z13" s="101"/>
      <c r="AA13" s="101"/>
      <c r="AB13" s="1001"/>
      <c r="AC13" s="156"/>
    </row>
    <row r="14" spans="1:29">
      <c r="A14" s="156"/>
      <c r="B14" s="48" t="s">
        <v>421</v>
      </c>
      <c r="C14" s="999">
        <f>85899*(1+C40)</f>
        <v>92496.84919424048</v>
      </c>
      <c r="D14" s="999"/>
      <c r="E14" s="999"/>
      <c r="F14" s="999"/>
      <c r="G14" s="304" t="s">
        <v>786</v>
      </c>
      <c r="H14" s="274"/>
      <c r="I14" s="274"/>
      <c r="J14" s="275"/>
      <c r="K14" s="156"/>
      <c r="L14" s="109" t="str">
        <f>B14</f>
        <v xml:space="preserve">  Management Supervision</v>
      </c>
      <c r="M14" s="1002"/>
      <c r="N14" s="1003">
        <f>C14</f>
        <v>92496.84919424048</v>
      </c>
      <c r="O14" s="1004">
        <f>C23</f>
        <v>0.05</v>
      </c>
      <c r="P14" s="1005">
        <f>N14*O14</f>
        <v>4624.8424597120238</v>
      </c>
      <c r="Q14" s="1006"/>
      <c r="R14" s="109" t="str">
        <f>L14</f>
        <v xml:space="preserve">  Management Supervision</v>
      </c>
      <c r="S14" s="1002"/>
      <c r="T14" s="1003">
        <f>C14</f>
        <v>92496.84919424048</v>
      </c>
      <c r="U14" s="1004">
        <f>D23</f>
        <v>0.05</v>
      </c>
      <c r="V14" s="1005">
        <f>T14*U14</f>
        <v>4624.8424597120238</v>
      </c>
      <c r="W14" s="156"/>
      <c r="X14" s="109" t="str">
        <f>R14</f>
        <v xml:space="preserve">  Management Supervision</v>
      </c>
      <c r="Y14" s="1002"/>
      <c r="Z14" s="1003">
        <f>C14</f>
        <v>92496.84919424048</v>
      </c>
      <c r="AA14" s="1004">
        <f>E23</f>
        <v>0.05</v>
      </c>
      <c r="AB14" s="1005">
        <f>Z14*AA14</f>
        <v>4624.8424597120238</v>
      </c>
      <c r="AC14" s="156"/>
    </row>
    <row r="15" spans="1:29">
      <c r="A15" s="156"/>
      <c r="B15" s="48" t="s">
        <v>121</v>
      </c>
      <c r="C15" s="999">
        <f>41906*(1+C40)</f>
        <v>45124.774005912077</v>
      </c>
      <c r="D15" s="999"/>
      <c r="E15" s="297"/>
      <c r="F15" s="1007"/>
      <c r="G15" s="304" t="s">
        <v>474</v>
      </c>
      <c r="H15" s="274"/>
      <c r="I15" s="274"/>
      <c r="J15" s="275"/>
      <c r="K15" s="156"/>
      <c r="L15" s="109" t="str">
        <f>B15</f>
        <v xml:space="preserve">  Site Manager</v>
      </c>
      <c r="M15" s="1002"/>
      <c r="N15" s="1003">
        <f>C15</f>
        <v>45124.774005912077</v>
      </c>
      <c r="O15" s="1004">
        <v>1</v>
      </c>
      <c r="P15" s="1005">
        <f>N15*O15</f>
        <v>45124.774005912077</v>
      </c>
      <c r="Q15" s="1006"/>
      <c r="R15" s="109" t="str">
        <f>L15</f>
        <v xml:space="preserve">  Site Manager</v>
      </c>
      <c r="S15" s="1002"/>
      <c r="T15" s="1003">
        <f>C15</f>
        <v>45124.774005912077</v>
      </c>
      <c r="U15" s="1004">
        <v>1</v>
      </c>
      <c r="V15" s="1005">
        <f>T15*U15</f>
        <v>45124.774005912077</v>
      </c>
      <c r="W15" s="156"/>
      <c r="X15" s="109" t="str">
        <f>R15</f>
        <v xml:space="preserve">  Site Manager</v>
      </c>
      <c r="Y15" s="1002"/>
      <c r="Z15" s="1003">
        <f>C15</f>
        <v>45124.774005912077</v>
      </c>
      <c r="AA15" s="1004">
        <v>1</v>
      </c>
      <c r="AB15" s="1005">
        <f>Z15*AA15</f>
        <v>45124.774005912077</v>
      </c>
      <c r="AC15" s="156"/>
    </row>
    <row r="16" spans="1:29">
      <c r="A16" s="156"/>
      <c r="B16" s="48" t="s">
        <v>973</v>
      </c>
      <c r="C16" s="1008">
        <f>'Integrated Team (FY21)'!E23</f>
        <v>32198.400000000001</v>
      </c>
      <c r="D16" s="999"/>
      <c r="E16" s="297"/>
      <c r="F16" s="999"/>
      <c r="G16" s="304" t="s">
        <v>886</v>
      </c>
      <c r="H16" s="274"/>
      <c r="I16" s="274"/>
      <c r="J16" s="275"/>
      <c r="K16" s="156"/>
      <c r="L16" s="109" t="str">
        <f>B16</f>
        <v xml:space="preserve">  Direct Care</v>
      </c>
      <c r="M16" s="1002"/>
      <c r="N16" s="1086">
        <f>C16</f>
        <v>32198.400000000001</v>
      </c>
      <c r="O16" s="1096">
        <f>C25</f>
        <v>7</v>
      </c>
      <c r="P16" s="1005">
        <f>N16*O16</f>
        <v>225388.80000000002</v>
      </c>
      <c r="Q16" s="1006"/>
      <c r="R16" s="109" t="str">
        <f>L16</f>
        <v xml:space="preserve">  Direct Care</v>
      </c>
      <c r="S16" s="1002"/>
      <c r="T16" s="1086">
        <f>C16</f>
        <v>32198.400000000001</v>
      </c>
      <c r="U16" s="1096">
        <f>D25</f>
        <v>8</v>
      </c>
      <c r="V16" s="1005">
        <f>T16*U16</f>
        <v>257587.20000000001</v>
      </c>
      <c r="W16" s="156"/>
      <c r="X16" s="109" t="str">
        <f>R16</f>
        <v xml:space="preserve">  Direct Care</v>
      </c>
      <c r="Y16" s="1002"/>
      <c r="Z16" s="1086">
        <f>C16</f>
        <v>32198.400000000001</v>
      </c>
      <c r="AA16" s="1096">
        <f>E25</f>
        <v>9</v>
      </c>
      <c r="AB16" s="1005">
        <f>Z16*AA16</f>
        <v>289785.60000000003</v>
      </c>
      <c r="AC16" s="156"/>
    </row>
    <row r="17" spans="1:29">
      <c r="A17" s="156"/>
      <c r="B17" s="48" t="s">
        <v>349</v>
      </c>
      <c r="C17" s="1008">
        <f>'Integrated Team (FY21)'!E27</f>
        <v>32198.400000000001</v>
      </c>
      <c r="D17" s="999"/>
      <c r="E17" s="297"/>
      <c r="F17" s="999"/>
      <c r="G17" s="304" t="s">
        <v>886</v>
      </c>
      <c r="H17" s="274"/>
      <c r="I17" s="274"/>
      <c r="J17" s="275"/>
      <c r="K17" s="156"/>
      <c r="L17" s="109" t="str">
        <f>B17</f>
        <v xml:space="preserve">  Relief</v>
      </c>
      <c r="M17" s="1009"/>
      <c r="N17" s="1087">
        <f>C17</f>
        <v>32198.400000000001</v>
      </c>
      <c r="O17" s="1010">
        <f>C26</f>
        <v>1</v>
      </c>
      <c r="P17" s="1011">
        <f>N17*O17</f>
        <v>32198.400000000001</v>
      </c>
      <c r="Q17" s="1006"/>
      <c r="R17" s="109" t="s">
        <v>349</v>
      </c>
      <c r="S17" s="1009"/>
      <c r="T17" s="1087">
        <f>C17</f>
        <v>32198.400000000001</v>
      </c>
      <c r="U17" s="1010">
        <f>D26</f>
        <v>1.1000000000000001</v>
      </c>
      <c r="V17" s="1011">
        <f>T17*U17</f>
        <v>35418.240000000005</v>
      </c>
      <c r="W17" s="156"/>
      <c r="X17" s="182" t="s">
        <v>349</v>
      </c>
      <c r="Y17" s="1009"/>
      <c r="Z17" s="1087">
        <f>C17</f>
        <v>32198.400000000001</v>
      </c>
      <c r="AA17" s="1010">
        <f>E26</f>
        <v>1.2</v>
      </c>
      <c r="AB17" s="1011">
        <f>Z17*AA17</f>
        <v>38638.080000000002</v>
      </c>
      <c r="AC17" s="156"/>
    </row>
    <row r="18" spans="1:29">
      <c r="A18" s="156"/>
      <c r="B18" s="48"/>
      <c r="C18" s="999"/>
      <c r="D18" s="999"/>
      <c r="E18" s="297"/>
      <c r="F18" s="999"/>
      <c r="G18" s="284"/>
      <c r="H18" s="274"/>
      <c r="I18" s="274"/>
      <c r="J18" s="275"/>
      <c r="K18" s="156"/>
      <c r="L18" s="995" t="s">
        <v>13</v>
      </c>
      <c r="M18" s="1012"/>
      <c r="N18" s="1013">
        <f>P18/O18</f>
        <v>33959.869222720896</v>
      </c>
      <c r="O18" s="1014">
        <f>SUM(O14:O17)</f>
        <v>9.0500000000000007</v>
      </c>
      <c r="P18" s="1015">
        <f>SUM(P14:P17)</f>
        <v>307336.81646562414</v>
      </c>
      <c r="Q18" s="1006"/>
      <c r="R18" s="995" t="s">
        <v>13</v>
      </c>
      <c r="S18" s="1012"/>
      <c r="T18" s="1013">
        <f>V18/U18</f>
        <v>33768.971080357056</v>
      </c>
      <c r="U18" s="1014">
        <f>SUM(U14:U17)</f>
        <v>10.15</v>
      </c>
      <c r="V18" s="1015">
        <f>SUM(V14:V17)</f>
        <v>342755.05646562413</v>
      </c>
      <c r="W18" s="156"/>
      <c r="X18" s="995" t="s">
        <v>13</v>
      </c>
      <c r="Y18" s="1012"/>
      <c r="Z18" s="1013">
        <f>AB18/AA18</f>
        <v>33615.404130277704</v>
      </c>
      <c r="AA18" s="1014">
        <f>SUM(AA14:AA17)</f>
        <v>11.25</v>
      </c>
      <c r="AB18" s="1015">
        <f>SUM(AB14:AB17)</f>
        <v>378173.29646562418</v>
      </c>
      <c r="AC18" s="156"/>
    </row>
    <row r="19" spans="1:29">
      <c r="A19" s="156"/>
      <c r="B19" s="48"/>
      <c r="C19" s="999"/>
      <c r="D19" s="999"/>
      <c r="E19" s="999"/>
      <c r="F19" s="999"/>
      <c r="G19" s="284"/>
      <c r="H19" s="274"/>
      <c r="I19" s="274"/>
      <c r="J19" s="275"/>
      <c r="K19" s="156"/>
      <c r="L19" s="109"/>
      <c r="M19" s="156"/>
      <c r="N19" s="156"/>
      <c r="O19" s="156"/>
      <c r="P19" s="991"/>
      <c r="Q19" s="1006"/>
      <c r="R19" s="109"/>
      <c r="S19" s="156"/>
      <c r="T19" s="156"/>
      <c r="U19" s="156"/>
      <c r="V19" s="991"/>
      <c r="W19" s="156"/>
      <c r="X19" s="109"/>
      <c r="Y19" s="156"/>
      <c r="Z19" s="156"/>
      <c r="AA19" s="156"/>
      <c r="AB19" s="991"/>
      <c r="AC19" s="156"/>
    </row>
    <row r="20" spans="1:29">
      <c r="A20" s="156"/>
      <c r="B20" s="48"/>
      <c r="C20" s="297" t="s">
        <v>35</v>
      </c>
      <c r="D20" s="297"/>
      <c r="E20" s="297"/>
      <c r="F20" s="328"/>
      <c r="G20" s="283"/>
      <c r="H20" s="274"/>
      <c r="I20" s="274"/>
      <c r="J20" s="275"/>
      <c r="K20" s="156"/>
      <c r="L20" s="111" t="s">
        <v>15</v>
      </c>
      <c r="M20" s="156"/>
      <c r="N20" s="156"/>
      <c r="O20" s="269" t="s">
        <v>16</v>
      </c>
      <c r="P20" s="991"/>
      <c r="Q20" s="1006"/>
      <c r="R20" s="111" t="s">
        <v>15</v>
      </c>
      <c r="S20" s="156"/>
      <c r="T20" s="156"/>
      <c r="U20" s="269" t="s">
        <v>16</v>
      </c>
      <c r="V20" s="991"/>
      <c r="W20" s="156"/>
      <c r="X20" s="111" t="s">
        <v>15</v>
      </c>
      <c r="Y20" s="156"/>
      <c r="Z20" s="156"/>
      <c r="AA20" s="269" t="s">
        <v>16</v>
      </c>
      <c r="AB20" s="991"/>
      <c r="AC20" s="156"/>
    </row>
    <row r="21" spans="1:29">
      <c r="A21" s="156"/>
      <c r="B21" s="48" t="s">
        <v>36</v>
      </c>
      <c r="C21" s="1016" t="s">
        <v>118</v>
      </c>
      <c r="D21" s="1016" t="s">
        <v>119</v>
      </c>
      <c r="E21" s="1016" t="s">
        <v>120</v>
      </c>
      <c r="F21" s="398"/>
      <c r="G21" s="284"/>
      <c r="H21" s="274"/>
      <c r="I21" s="274"/>
      <c r="J21" s="275"/>
      <c r="K21" s="156"/>
      <c r="L21" s="109" t="s">
        <v>17</v>
      </c>
      <c r="M21" s="156"/>
      <c r="N21" s="1088">
        <f>C30</f>
        <v>0.224</v>
      </c>
      <c r="O21" s="156"/>
      <c r="P21" s="1017">
        <f>N21*P18</f>
        <v>68843.446888299804</v>
      </c>
      <c r="Q21" s="1006"/>
      <c r="R21" s="109" t="s">
        <v>17</v>
      </c>
      <c r="S21" s="156"/>
      <c r="T21" s="1088">
        <f>C30</f>
        <v>0.224</v>
      </c>
      <c r="U21" s="156"/>
      <c r="V21" s="1017">
        <f>T21*V18</f>
        <v>76777.132648299812</v>
      </c>
      <c r="W21" s="156"/>
      <c r="X21" s="109" t="s">
        <v>17</v>
      </c>
      <c r="Y21" s="156"/>
      <c r="Z21" s="1088">
        <f>C30</f>
        <v>0.224</v>
      </c>
      <c r="AA21" s="156"/>
      <c r="AB21" s="1017">
        <f>Z21*AB18</f>
        <v>84710.81840829982</v>
      </c>
      <c r="AC21" s="156"/>
    </row>
    <row r="22" spans="1:29">
      <c r="A22" s="156"/>
      <c r="B22" s="44" t="s">
        <v>31</v>
      </c>
      <c r="C22" s="398"/>
      <c r="D22" s="398"/>
      <c r="E22" s="398"/>
      <c r="F22" s="398"/>
      <c r="G22" s="274"/>
      <c r="H22" s="274"/>
      <c r="I22" s="274"/>
      <c r="J22" s="275"/>
      <c r="K22" s="156"/>
      <c r="L22" s="1018" t="s">
        <v>18</v>
      </c>
      <c r="M22" s="1019"/>
      <c r="N22" s="1019"/>
      <c r="O22" s="1020"/>
      <c r="P22" s="1021">
        <f>P18+P21</f>
        <v>376180.26335392392</v>
      </c>
      <c r="Q22" s="1006"/>
      <c r="R22" s="1018" t="s">
        <v>18</v>
      </c>
      <c r="S22" s="1019"/>
      <c r="T22" s="1019"/>
      <c r="U22" s="1020"/>
      <c r="V22" s="1021">
        <f>V18+V21</f>
        <v>419532.18911392393</v>
      </c>
      <c r="W22" s="156"/>
      <c r="X22" s="1018" t="s">
        <v>18</v>
      </c>
      <c r="Y22" s="1019"/>
      <c r="Z22" s="1019"/>
      <c r="AA22" s="1020"/>
      <c r="AB22" s="1021">
        <f>AB18+AB21</f>
        <v>462884.114873924</v>
      </c>
      <c r="AC22" s="156"/>
    </row>
    <row r="23" spans="1:29">
      <c r="A23" s="156"/>
      <c r="B23" s="48" t="str">
        <f>B14</f>
        <v xml:space="preserve">  Management Supervision</v>
      </c>
      <c r="C23" s="1022">
        <v>0.05</v>
      </c>
      <c r="D23" s="1022">
        <v>0.05</v>
      </c>
      <c r="E23" s="1022">
        <v>0.05</v>
      </c>
      <c r="F23" s="1022"/>
      <c r="G23" s="276"/>
      <c r="H23" s="857"/>
      <c r="I23" s="857"/>
      <c r="J23" s="858"/>
      <c r="K23" s="156"/>
      <c r="L23" s="111"/>
      <c r="M23" s="269"/>
      <c r="N23" s="269"/>
      <c r="O23" s="1023"/>
      <c r="P23" s="1024"/>
      <c r="Q23" s="1006"/>
      <c r="R23" s="111"/>
      <c r="S23" s="269"/>
      <c r="T23" s="269"/>
      <c r="U23" s="1023"/>
      <c r="V23" s="1024"/>
      <c r="W23" s="156"/>
      <c r="X23" s="111"/>
      <c r="Y23" s="269"/>
      <c r="Z23" s="269"/>
      <c r="AA23" s="1023"/>
      <c r="AB23" s="1024"/>
      <c r="AC23" s="156"/>
    </row>
    <row r="24" spans="1:29">
      <c r="A24" s="156"/>
      <c r="B24" s="48" t="str">
        <f>B15</f>
        <v xml:space="preserve">  Site Manager</v>
      </c>
      <c r="C24" s="1022">
        <v>1</v>
      </c>
      <c r="D24" s="1022">
        <v>1</v>
      </c>
      <c r="E24" s="1022">
        <v>1</v>
      </c>
      <c r="F24" s="1022"/>
      <c r="G24" s="276"/>
      <c r="H24" s="857"/>
      <c r="I24" s="857"/>
      <c r="J24" s="858"/>
      <c r="K24" s="156"/>
      <c r="L24" s="48" t="s">
        <v>22</v>
      </c>
      <c r="M24" s="156"/>
      <c r="N24" s="156"/>
      <c r="O24" s="156"/>
      <c r="P24" s="1025">
        <f>C34</f>
        <v>6191.6539525126345</v>
      </c>
      <c r="Q24" s="1006"/>
      <c r="R24" s="48" t="s">
        <v>22</v>
      </c>
      <c r="S24" s="156"/>
      <c r="T24" s="156"/>
      <c r="U24" s="156"/>
      <c r="V24" s="1025">
        <f>C34</f>
        <v>6191.6539525126345</v>
      </c>
      <c r="W24" s="156"/>
      <c r="X24" s="48" t="s">
        <v>22</v>
      </c>
      <c r="Y24" s="156"/>
      <c r="Z24" s="156"/>
      <c r="AA24" s="156"/>
      <c r="AB24" s="1025">
        <f>C34</f>
        <v>6191.6539525126345</v>
      </c>
      <c r="AC24" s="156"/>
    </row>
    <row r="25" spans="1:29">
      <c r="A25" s="156"/>
      <c r="B25" s="48" t="str">
        <f>B16</f>
        <v xml:space="preserve">  Direct Care</v>
      </c>
      <c r="C25" s="1022">
        <v>7</v>
      </c>
      <c r="D25" s="1022">
        <v>8</v>
      </c>
      <c r="E25" s="1022">
        <v>9</v>
      </c>
      <c r="F25" s="1022"/>
      <c r="G25" s="276"/>
      <c r="H25" s="857"/>
      <c r="I25" s="857"/>
      <c r="J25" s="858"/>
      <c r="K25" s="156"/>
      <c r="L25" s="109" t="s">
        <v>601</v>
      </c>
      <c r="M25" s="156"/>
      <c r="N25" s="1215">
        <f>C31</f>
        <v>8.16</v>
      </c>
      <c r="O25" s="156"/>
      <c r="P25" s="1025">
        <f>N25*P10</f>
        <v>14892</v>
      </c>
      <c r="Q25" s="1006"/>
      <c r="R25" s="48" t="s">
        <v>601</v>
      </c>
      <c r="S25" s="156"/>
      <c r="T25" s="1215">
        <f>C31</f>
        <v>8.16</v>
      </c>
      <c r="U25" s="156"/>
      <c r="V25" s="1025">
        <f>T25*V10</f>
        <v>23827.200000000001</v>
      </c>
      <c r="W25" s="156"/>
      <c r="X25" s="48" t="s">
        <v>601</v>
      </c>
      <c r="Y25" s="156"/>
      <c r="Z25" s="1215">
        <f>C31</f>
        <v>8.16</v>
      </c>
      <c r="AA25" s="156"/>
      <c r="AB25" s="1025">
        <f>Z25*AB10</f>
        <v>32762.400000000001</v>
      </c>
      <c r="AC25" s="156"/>
    </row>
    <row r="26" spans="1:29" ht="12.75" customHeight="1">
      <c r="A26" s="156"/>
      <c r="B26" s="80" t="str">
        <f>B17</f>
        <v xml:space="preserve">  Relief</v>
      </c>
      <c r="C26" s="1022">
        <v>1</v>
      </c>
      <c r="D26" s="1022">
        <v>1.1000000000000001</v>
      </c>
      <c r="E26" s="1022">
        <v>1.2</v>
      </c>
      <c r="F26" s="1022"/>
      <c r="G26" s="1217" t="s">
        <v>873</v>
      </c>
      <c r="H26" s="1218"/>
      <c r="I26" s="1218"/>
      <c r="J26" s="1219"/>
      <c r="K26" s="156"/>
      <c r="L26" s="109"/>
      <c r="M26" s="156"/>
      <c r="N26" s="156"/>
      <c r="O26" s="1023"/>
      <c r="P26" s="1028"/>
      <c r="Q26" s="1006"/>
      <c r="R26" s="109"/>
      <c r="S26" s="156"/>
      <c r="T26" s="156"/>
      <c r="U26" s="1023"/>
      <c r="V26" s="1028"/>
      <c r="W26" s="156"/>
      <c r="X26" s="109"/>
      <c r="Y26" s="156"/>
      <c r="Z26" s="156"/>
      <c r="AA26" s="1023"/>
      <c r="AB26" s="1028"/>
      <c r="AC26" s="156"/>
    </row>
    <row r="27" spans="1:29">
      <c r="A27" s="156"/>
      <c r="B27" s="173"/>
      <c r="C27" s="1029"/>
      <c r="D27" s="1029"/>
      <c r="E27" s="1029"/>
      <c r="F27" s="1022"/>
      <c r="G27" s="276"/>
      <c r="H27" s="857"/>
      <c r="I27" s="857"/>
      <c r="J27" s="858"/>
      <c r="K27" s="156"/>
      <c r="L27" s="1018" t="s">
        <v>23</v>
      </c>
      <c r="M27" s="1019"/>
      <c r="N27" s="1019"/>
      <c r="O27" s="1019"/>
      <c r="P27" s="1030">
        <f>SUM(P22:P26)</f>
        <v>397263.91730643658</v>
      </c>
      <c r="Q27" s="1006"/>
      <c r="R27" s="1018" t="s">
        <v>23</v>
      </c>
      <c r="S27" s="1019"/>
      <c r="T27" s="1019"/>
      <c r="U27" s="1019"/>
      <c r="V27" s="1030">
        <f>SUM(V22:V26)</f>
        <v>449551.0430664366</v>
      </c>
      <c r="W27" s="156"/>
      <c r="X27" s="1018" t="s">
        <v>23</v>
      </c>
      <c r="Y27" s="1019"/>
      <c r="Z27" s="1019"/>
      <c r="AA27" s="1019"/>
      <c r="AB27" s="1030">
        <f>SUM(AB22:AB25)</f>
        <v>501838.16882643668</v>
      </c>
      <c r="AC27" s="156"/>
    </row>
    <row r="28" spans="1:29">
      <c r="A28" s="156"/>
      <c r="B28" s="48"/>
      <c r="C28" s="339"/>
      <c r="D28" s="339"/>
      <c r="E28" s="339"/>
      <c r="F28" s="339"/>
      <c r="G28" s="274"/>
      <c r="H28" s="274"/>
      <c r="I28" s="274"/>
      <c r="J28" s="275"/>
      <c r="K28" s="156"/>
      <c r="L28" s="109"/>
      <c r="M28" s="156"/>
      <c r="N28" s="156"/>
      <c r="O28" s="1031"/>
      <c r="P28" s="1032"/>
      <c r="Q28" s="1006"/>
      <c r="R28" s="109"/>
      <c r="S28" s="156"/>
      <c r="T28" s="156"/>
      <c r="U28" s="1031"/>
      <c r="V28" s="1032"/>
      <c r="W28" s="156"/>
      <c r="X28" s="109"/>
      <c r="Y28" s="156"/>
      <c r="Z28" s="156"/>
      <c r="AA28" s="1031"/>
      <c r="AB28" s="1032"/>
      <c r="AC28" s="156"/>
    </row>
    <row r="29" spans="1:29">
      <c r="A29" s="156"/>
      <c r="B29" s="48"/>
      <c r="C29" s="297" t="s">
        <v>42</v>
      </c>
      <c r="D29" s="297"/>
      <c r="E29" s="297"/>
      <c r="F29" s="297"/>
      <c r="G29" s="283"/>
      <c r="H29" s="274"/>
      <c r="I29" s="274"/>
      <c r="J29" s="275"/>
      <c r="K29" s="156"/>
      <c r="L29" s="109" t="s">
        <v>24</v>
      </c>
      <c r="M29" s="156"/>
      <c r="N29" s="1033">
        <f>C37</f>
        <v>0.12</v>
      </c>
      <c r="O29" s="156"/>
      <c r="P29" s="1017">
        <f>N29*P27</f>
        <v>47671.670076772389</v>
      </c>
      <c r="Q29" s="1006"/>
      <c r="R29" s="109" t="s">
        <v>24</v>
      </c>
      <c r="S29" s="156"/>
      <c r="T29" s="1033">
        <f>C37</f>
        <v>0.12</v>
      </c>
      <c r="U29" s="156"/>
      <c r="V29" s="1017">
        <f>T29*V27</f>
        <v>53946.125167972386</v>
      </c>
      <c r="W29" s="156"/>
      <c r="X29" s="109" t="s">
        <v>24</v>
      </c>
      <c r="Y29" s="156"/>
      <c r="Z29" s="1033">
        <f>C37</f>
        <v>0.12</v>
      </c>
      <c r="AA29" s="156"/>
      <c r="AB29" s="1017">
        <f>Z29*AB27</f>
        <v>60220.580259172399</v>
      </c>
      <c r="AC29" s="156"/>
    </row>
    <row r="30" spans="1:29">
      <c r="A30" s="156"/>
      <c r="B30" s="1034" t="s">
        <v>17</v>
      </c>
      <c r="C30" s="1035">
        <f>'Integrated Team (FY21)'!E32</f>
        <v>0.224</v>
      </c>
      <c r="D30" s="983"/>
      <c r="E30" s="1428"/>
      <c r="F30" s="983"/>
      <c r="G30" s="286" t="s">
        <v>553</v>
      </c>
      <c r="H30" s="857"/>
      <c r="I30" s="857"/>
      <c r="J30" s="858"/>
      <c r="K30" s="156"/>
      <c r="L30" s="1091" t="str">
        <f>B38</f>
        <v>PFLMA Trust Contribution</v>
      </c>
      <c r="M30" s="156"/>
      <c r="N30" s="1089">
        <f>C38</f>
        <v>3.7000000000000002E-3</v>
      </c>
      <c r="O30" s="156"/>
      <c r="P30" s="1017">
        <f>N30*P18</f>
        <v>1137.1462209228093</v>
      </c>
      <c r="Q30" s="1006"/>
      <c r="R30" s="1091" t="str">
        <f>B38</f>
        <v>PFLMA Trust Contribution</v>
      </c>
      <c r="S30" s="156"/>
      <c r="T30" s="1089">
        <f>C38</f>
        <v>3.7000000000000002E-3</v>
      </c>
      <c r="U30" s="156"/>
      <c r="V30" s="1017">
        <f>T30*V18</f>
        <v>1268.1937089228093</v>
      </c>
      <c r="W30" s="156"/>
      <c r="X30" s="1091" t="str">
        <f>B38</f>
        <v>PFLMA Trust Contribution</v>
      </c>
      <c r="Y30" s="156"/>
      <c r="Z30" s="1089">
        <f>C38</f>
        <v>3.7000000000000002E-3</v>
      </c>
      <c r="AA30" s="156"/>
      <c r="AB30" s="1017">
        <f>Z30*AB18</f>
        <v>1399.2411969228094</v>
      </c>
      <c r="AC30" s="156"/>
    </row>
    <row r="31" spans="1:29">
      <c r="A31" s="156"/>
      <c r="B31" s="48" t="s">
        <v>601</v>
      </c>
      <c r="C31" s="1036">
        <f>8.16</f>
        <v>8.16</v>
      </c>
      <c r="D31" s="339"/>
      <c r="E31" s="339"/>
      <c r="G31" s="1037" t="s">
        <v>787</v>
      </c>
      <c r="H31" s="274"/>
      <c r="I31" s="274"/>
      <c r="J31" s="275"/>
      <c r="K31" s="156"/>
      <c r="L31" s="109"/>
      <c r="M31" s="156"/>
      <c r="N31" s="156"/>
      <c r="O31" s="156"/>
      <c r="P31" s="1038"/>
      <c r="Q31" s="1006"/>
      <c r="R31" s="109"/>
      <c r="S31" s="156"/>
      <c r="T31" s="156"/>
      <c r="U31" s="156"/>
      <c r="V31" s="1038"/>
      <c r="W31" s="156"/>
      <c r="X31" s="109"/>
      <c r="Y31" s="156"/>
      <c r="Z31" s="156"/>
      <c r="AA31" s="156"/>
      <c r="AB31" s="1038"/>
      <c r="AC31" s="156"/>
    </row>
    <row r="32" spans="1:29" ht="13.5" thickBot="1">
      <c r="A32" s="156"/>
      <c r="B32" s="80"/>
      <c r="C32" s="1039"/>
      <c r="D32" s="1039"/>
      <c r="E32" s="1039"/>
      <c r="F32" s="1039"/>
      <c r="G32" s="1040"/>
      <c r="H32" s="1040"/>
      <c r="I32" s="1040"/>
      <c r="J32" s="1041"/>
      <c r="K32" s="156"/>
      <c r="L32" s="1042" t="s">
        <v>25</v>
      </c>
      <c r="M32" s="1043"/>
      <c r="N32" s="1043"/>
      <c r="O32" s="1043"/>
      <c r="P32" s="1044">
        <f>SUM(P27:P31)</f>
        <v>446072.73360413179</v>
      </c>
      <c r="Q32" s="1006"/>
      <c r="R32" s="1042" t="s">
        <v>25</v>
      </c>
      <c r="S32" s="1043"/>
      <c r="T32" s="1043"/>
      <c r="U32" s="1043"/>
      <c r="V32" s="1044">
        <f>SUM(V27:V30)</f>
        <v>504765.36194333184</v>
      </c>
      <c r="W32" s="156"/>
      <c r="X32" s="1042" t="s">
        <v>25</v>
      </c>
      <c r="Y32" s="1043"/>
      <c r="Z32" s="1043"/>
      <c r="AA32" s="1043"/>
      <c r="AB32" s="1044">
        <f>SUM(AB27:AB30)</f>
        <v>563457.99028253194</v>
      </c>
      <c r="AC32" s="156"/>
    </row>
    <row r="33" spans="1:29" ht="13.5" thickTop="1">
      <c r="A33" s="156"/>
      <c r="B33" s="80"/>
      <c r="C33" s="1039"/>
      <c r="D33" s="1039"/>
      <c r="E33" s="1039"/>
      <c r="F33" s="1039"/>
      <c r="G33" s="1040"/>
      <c r="H33" s="1040"/>
      <c r="I33" s="1040"/>
      <c r="J33" s="1041"/>
      <c r="K33" s="156"/>
      <c r="L33" s="109"/>
      <c r="M33" s="156"/>
      <c r="N33" s="156"/>
      <c r="O33" s="156"/>
      <c r="P33" s="991"/>
      <c r="Q33" s="156"/>
      <c r="R33" s="109"/>
      <c r="S33" s="156"/>
      <c r="T33" s="156"/>
      <c r="U33" s="156"/>
      <c r="V33" s="991"/>
      <c r="W33" s="156"/>
      <c r="X33" s="109"/>
      <c r="Y33" s="156"/>
      <c r="Z33" s="156"/>
      <c r="AA33" s="156"/>
      <c r="AB33" s="991"/>
      <c r="AC33" s="156"/>
    </row>
    <row r="34" spans="1:29">
      <c r="A34" s="156"/>
      <c r="B34" s="48" t="s">
        <v>22</v>
      </c>
      <c r="C34" s="364">
        <f>5750*(1+C40)</f>
        <v>6191.6539525126345</v>
      </c>
      <c r="E34" s="89"/>
      <c r="F34" s="1007"/>
      <c r="G34" s="252" t="s">
        <v>476</v>
      </c>
      <c r="H34" s="1045"/>
      <c r="I34" s="1045"/>
      <c r="J34" s="327"/>
      <c r="K34" s="156"/>
      <c r="L34" s="109" t="s">
        <v>26</v>
      </c>
      <c r="M34" s="156"/>
      <c r="N34" s="1090">
        <f>C41</f>
        <v>1.78E-2</v>
      </c>
      <c r="O34" s="156"/>
      <c r="P34" s="885">
        <f>P32+(P32*N34)-(P18*N34)</f>
        <v>448542.2329291972</v>
      </c>
      <c r="Q34" s="156"/>
      <c r="R34" s="109" t="s">
        <v>26</v>
      </c>
      <c r="S34" s="156"/>
      <c r="T34" s="1090">
        <f>C41</f>
        <v>1.78E-2</v>
      </c>
      <c r="U34" s="156"/>
      <c r="V34" s="1046">
        <f>V32+(V32*T34)-(V18*T34)</f>
        <v>507649.14538083505</v>
      </c>
      <c r="W34" s="156"/>
      <c r="X34" s="109" t="s">
        <v>26</v>
      </c>
      <c r="Y34" s="156"/>
      <c r="Z34" s="1090">
        <f>C41</f>
        <v>1.78E-2</v>
      </c>
      <c r="AA34" s="156"/>
      <c r="AB34" s="1046">
        <f>AB32+(AB32*Z34)-(AB18*Z34)</f>
        <v>566756.05783247296</v>
      </c>
      <c r="AC34" s="156"/>
    </row>
    <row r="35" spans="1:29">
      <c r="A35" s="156"/>
      <c r="B35" s="1047"/>
      <c r="C35" s="1048"/>
      <c r="D35" s="1048"/>
      <c r="E35" s="1048"/>
      <c r="F35" s="1049"/>
      <c r="G35" s="279"/>
      <c r="H35" s="274"/>
      <c r="I35" s="274"/>
      <c r="J35" s="275"/>
      <c r="K35" s="156"/>
      <c r="L35" s="109"/>
      <c r="M35" s="156"/>
      <c r="N35" s="1026"/>
      <c r="O35" s="156"/>
      <c r="P35" s="1027"/>
      <c r="Q35" s="156"/>
      <c r="R35" s="109"/>
      <c r="S35" s="156"/>
      <c r="T35" s="156"/>
      <c r="U35" s="156"/>
      <c r="V35" s="1046"/>
      <c r="W35" s="156"/>
      <c r="X35" s="109"/>
      <c r="Y35" s="156"/>
      <c r="Z35" s="1026"/>
      <c r="AA35" s="156"/>
      <c r="AB35" s="1046"/>
      <c r="AC35" s="156"/>
    </row>
    <row r="36" spans="1:29">
      <c r="A36" s="156"/>
      <c r="B36" s="44"/>
      <c r="C36" s="1049"/>
      <c r="D36" s="1049"/>
      <c r="E36" s="1049"/>
      <c r="F36" s="1049"/>
      <c r="G36" s="279"/>
      <c r="H36" s="274"/>
      <c r="I36" s="274"/>
      <c r="J36" s="275"/>
      <c r="K36" s="156"/>
      <c r="L36" s="109"/>
      <c r="M36" s="156"/>
      <c r="N36" s="888"/>
      <c r="O36" s="1031"/>
      <c r="P36" s="1050"/>
      <c r="Q36" s="156"/>
      <c r="R36" s="109"/>
      <c r="S36" s="156"/>
      <c r="T36" s="1026"/>
      <c r="U36" s="156"/>
      <c r="V36" s="1046"/>
      <c r="W36" s="156"/>
      <c r="X36" s="109"/>
      <c r="Y36" s="156"/>
      <c r="Z36" s="156"/>
      <c r="AA36" s="156"/>
      <c r="AB36" s="887"/>
      <c r="AC36" s="156"/>
    </row>
    <row r="37" spans="1:29" ht="13.5" thickBot="1">
      <c r="A37" s="156"/>
      <c r="B37" s="48" t="s">
        <v>24</v>
      </c>
      <c r="C37" s="983">
        <f>'Integrated Team (FY21)'!E46</f>
        <v>0.12</v>
      </c>
      <c r="D37" s="983"/>
      <c r="E37" s="983"/>
      <c r="F37" s="983"/>
      <c r="G37" s="1040" t="s">
        <v>477</v>
      </c>
      <c r="H37" s="274"/>
      <c r="I37" s="274"/>
      <c r="J37" s="275"/>
      <c r="K37" s="156"/>
      <c r="L37" s="1051" t="s">
        <v>28</v>
      </c>
      <c r="M37" s="1052"/>
      <c r="N37" s="1053"/>
      <c r="O37" s="1054"/>
      <c r="P37" s="1166">
        <f>P34/P10</f>
        <v>245.77656598860119</v>
      </c>
      <c r="Q37" s="156"/>
      <c r="R37" s="109" t="s">
        <v>28</v>
      </c>
      <c r="S37" s="156"/>
      <c r="T37" s="156"/>
      <c r="U37" s="1031"/>
      <c r="V37" s="1216">
        <f>V34/V10</f>
        <v>173.85244704823117</v>
      </c>
      <c r="W37" s="156"/>
      <c r="X37" s="109" t="s">
        <v>28</v>
      </c>
      <c r="Y37" s="156"/>
      <c r="Z37" s="156"/>
      <c r="AA37" s="1031"/>
      <c r="AB37" s="1216">
        <f>AB34/AB10</f>
        <v>141.15966571169938</v>
      </c>
      <c r="AC37" s="156"/>
    </row>
    <row r="38" spans="1:29" ht="13.5" thickBot="1">
      <c r="A38" s="156"/>
      <c r="B38" s="1034" t="s">
        <v>788</v>
      </c>
      <c r="C38" s="1035">
        <v>3.7000000000000002E-3</v>
      </c>
      <c r="D38" s="339"/>
      <c r="E38" s="339"/>
      <c r="F38" s="339"/>
      <c r="G38" s="1040" t="s">
        <v>782</v>
      </c>
      <c r="H38" s="274"/>
      <c r="I38" s="274"/>
      <c r="J38" s="275"/>
      <c r="K38" s="156"/>
      <c r="L38" s="872"/>
      <c r="M38" s="1055"/>
      <c r="N38" s="1052"/>
      <c r="O38" s="1054"/>
      <c r="P38" s="1056"/>
      <c r="Q38" s="156"/>
      <c r="R38" s="357"/>
      <c r="S38" s="1057"/>
      <c r="T38" s="1058"/>
      <c r="U38" s="1059"/>
      <c r="V38" s="1060"/>
      <c r="W38" s="156"/>
      <c r="X38" s="357"/>
      <c r="Y38" s="1057"/>
      <c r="Z38" s="1058"/>
      <c r="AA38" s="1059"/>
      <c r="AB38" s="1060"/>
      <c r="AC38" s="156"/>
    </row>
    <row r="39" spans="1:29">
      <c r="A39" s="156"/>
      <c r="B39" s="48"/>
      <c r="C39" s="983"/>
      <c r="D39" s="983"/>
      <c r="E39" s="983"/>
      <c r="F39" s="983"/>
      <c r="G39" s="1040"/>
      <c r="H39" s="274"/>
      <c r="I39" s="274"/>
      <c r="J39" s="275"/>
      <c r="K39" s="156"/>
      <c r="L39" s="363"/>
      <c r="M39" s="75"/>
      <c r="N39" s="156"/>
      <c r="O39" s="1031" t="s">
        <v>783</v>
      </c>
      <c r="P39" s="1061">
        <v>241.99</v>
      </c>
      <c r="Q39" s="156"/>
      <c r="R39" s="363"/>
      <c r="S39" s="75"/>
      <c r="T39" s="156"/>
      <c r="U39" s="1031" t="s">
        <v>783</v>
      </c>
      <c r="V39" s="1061">
        <v>171.08</v>
      </c>
      <c r="W39" s="156"/>
      <c r="X39" s="363"/>
      <c r="Y39" s="75"/>
      <c r="Z39" s="156"/>
      <c r="AA39" s="1031" t="s">
        <v>783</v>
      </c>
      <c r="AB39" s="1061">
        <v>138.85</v>
      </c>
      <c r="AC39" s="156"/>
    </row>
    <row r="40" spans="1:29">
      <c r="A40" s="156"/>
      <c r="B40" s="48" t="s">
        <v>37</v>
      </c>
      <c r="C40" s="983">
        <f>'Integrated Team (FY21)'!E47</f>
        <v>7.6809383045675458E-2</v>
      </c>
      <c r="D40" s="339"/>
      <c r="E40" s="339"/>
      <c r="F40" s="339"/>
      <c r="G40" s="304" t="s">
        <v>781</v>
      </c>
      <c r="H40" s="274"/>
      <c r="I40" s="274"/>
      <c r="J40" s="275"/>
      <c r="K40" s="156"/>
      <c r="L40" s="363"/>
      <c r="M40" s="75"/>
      <c r="N40" s="156"/>
      <c r="O40" s="1031"/>
      <c r="P40" s="884">
        <f>P37-P39</f>
        <v>3.7865659886011827</v>
      </c>
      <c r="Q40" s="156"/>
      <c r="R40" s="156"/>
      <c r="S40" s="156"/>
      <c r="T40" s="156"/>
      <c r="U40" s="156"/>
      <c r="V40" s="884">
        <f>V37-V39</f>
        <v>2.7724470482311574</v>
      </c>
      <c r="W40" s="156"/>
      <c r="X40" s="156"/>
      <c r="Y40" s="156"/>
      <c r="Z40" s="156"/>
      <c r="AA40" s="156"/>
      <c r="AB40" s="884">
        <f>AB37-AB39</f>
        <v>2.3096657116993811</v>
      </c>
      <c r="AC40" s="156"/>
    </row>
    <row r="41" spans="1:29" ht="13.5" thickBot="1">
      <c r="A41" s="156"/>
      <c r="B41" s="1062" t="s">
        <v>37</v>
      </c>
      <c r="C41" s="1063">
        <v>1.78E-2</v>
      </c>
      <c r="D41" s="1064"/>
      <c r="E41" s="1064"/>
      <c r="F41" s="1064"/>
      <c r="G41" s="1065" t="s">
        <v>780</v>
      </c>
      <c r="H41" s="281"/>
      <c r="I41" s="281"/>
      <c r="J41" s="282"/>
      <c r="K41" s="156"/>
      <c r="L41" s="156"/>
      <c r="M41" s="156"/>
      <c r="N41" s="156"/>
      <c r="O41" s="156"/>
      <c r="P41" s="1066">
        <f>(P37-P39)/P37</f>
        <v>1.5406537939735064E-2</v>
      </c>
      <c r="Q41" s="156"/>
      <c r="R41" s="363"/>
      <c r="S41" s="75"/>
      <c r="T41" s="156"/>
      <c r="U41" s="1031"/>
      <c r="V41" s="1066">
        <f>(V37-V39)/V39</f>
        <v>1.6205559084820888E-2</v>
      </c>
      <c r="W41" s="156"/>
      <c r="X41" s="363"/>
      <c r="Y41" s="75"/>
      <c r="Z41" s="156"/>
      <c r="AA41" s="1031"/>
      <c r="AB41" s="1066">
        <f>(AB37-AB39)/AB39</f>
        <v>1.6634250714435587E-2</v>
      </c>
      <c r="AC41" s="156"/>
    </row>
    <row r="42" spans="1:29">
      <c r="A42" s="156"/>
      <c r="B42" s="2573" t="s">
        <v>598</v>
      </c>
      <c r="C42" s="2573"/>
      <c r="D42" s="2573"/>
      <c r="E42" s="2573"/>
      <c r="F42" s="2573"/>
      <c r="G42" s="2573"/>
      <c r="H42" s="2573"/>
      <c r="I42" s="2573"/>
      <c r="J42" s="2573"/>
      <c r="K42" s="156"/>
      <c r="L42" s="156"/>
      <c r="M42" s="156"/>
      <c r="N42" s="156"/>
      <c r="O42" s="156"/>
      <c r="P42" s="156"/>
      <c r="Q42" s="156"/>
      <c r="R42" s="156"/>
      <c r="S42" s="156"/>
      <c r="T42" s="156"/>
      <c r="U42" s="156"/>
      <c r="V42" s="156"/>
      <c r="W42" s="156"/>
      <c r="X42" s="156"/>
      <c r="Y42" s="156"/>
      <c r="Z42" s="156"/>
      <c r="AA42" s="156"/>
      <c r="AB42" s="156"/>
      <c r="AC42" s="156"/>
    </row>
    <row r="43" spans="1:29">
      <c r="A43" s="156"/>
      <c r="B43" s="2574"/>
      <c r="C43" s="2574"/>
      <c r="D43" s="2574"/>
      <c r="E43" s="2574"/>
      <c r="F43" s="2574"/>
      <c r="G43" s="2574"/>
      <c r="H43" s="2574"/>
      <c r="I43" s="2574"/>
      <c r="J43" s="2574"/>
      <c r="K43" s="156"/>
      <c r="L43" s="156"/>
      <c r="M43" s="156"/>
      <c r="N43" s="156"/>
      <c r="O43" s="156"/>
      <c r="P43" s="156"/>
      <c r="Q43" s="156"/>
      <c r="R43" s="156"/>
      <c r="S43" s="156"/>
      <c r="T43" s="156"/>
      <c r="U43" s="156"/>
      <c r="V43" s="156"/>
      <c r="W43" s="156"/>
      <c r="X43" s="156"/>
      <c r="Y43" s="156"/>
      <c r="Z43" s="156"/>
      <c r="AA43" s="156"/>
      <c r="AB43" s="156"/>
      <c r="AC43" s="156"/>
    </row>
    <row r="44" spans="1:29">
      <c r="A44" s="156"/>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row>
    <row r="45" spans="1:29">
      <c r="A45" s="156"/>
      <c r="B45" s="1067" t="s">
        <v>567</v>
      </c>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row>
    <row r="46" spans="1:29">
      <c r="A46" s="156"/>
      <c r="B46" s="334" t="s">
        <v>401</v>
      </c>
      <c r="C46" s="1068" t="s">
        <v>400</v>
      </c>
      <c r="D46" s="1068" t="s">
        <v>394</v>
      </c>
      <c r="E46" s="1068" t="s">
        <v>395</v>
      </c>
      <c r="F46" s="1068" t="s">
        <v>396</v>
      </c>
      <c r="G46" s="1068" t="s">
        <v>397</v>
      </c>
      <c r="H46" s="1068" t="s">
        <v>398</v>
      </c>
      <c r="I46" s="1068" t="s">
        <v>399</v>
      </c>
      <c r="J46" s="156"/>
      <c r="K46" s="156"/>
      <c r="L46" s="156"/>
      <c r="M46" s="156"/>
      <c r="N46" s="156"/>
      <c r="O46" s="156"/>
      <c r="P46" s="156"/>
      <c r="Q46" s="156"/>
      <c r="R46" s="156"/>
      <c r="S46" s="156"/>
      <c r="T46" s="156"/>
      <c r="U46" s="156"/>
      <c r="V46" s="156"/>
      <c r="W46" s="156"/>
      <c r="X46" s="156"/>
      <c r="Y46" s="156"/>
      <c r="Z46" s="156"/>
      <c r="AA46" s="156"/>
      <c r="AB46" s="156"/>
      <c r="AC46" s="156"/>
    </row>
    <row r="47" spans="1:29">
      <c r="A47" s="156"/>
      <c r="B47" s="1069" t="s">
        <v>391</v>
      </c>
      <c r="C47" s="1070">
        <v>16</v>
      </c>
      <c r="D47" s="1070">
        <v>16</v>
      </c>
      <c r="E47" s="1070">
        <v>16</v>
      </c>
      <c r="F47" s="1070">
        <v>16</v>
      </c>
      <c r="G47" s="1070">
        <v>16</v>
      </c>
      <c r="H47" s="1070">
        <v>16</v>
      </c>
      <c r="I47" s="1070">
        <v>16</v>
      </c>
      <c r="J47" s="156"/>
      <c r="K47" s="156"/>
      <c r="L47" s="363"/>
      <c r="M47" s="75"/>
      <c r="N47" s="76"/>
      <c r="O47" s="77"/>
      <c r="P47" s="156"/>
      <c r="Q47" s="156"/>
      <c r="R47" s="363"/>
      <c r="S47" s="75"/>
      <c r="T47" s="76"/>
      <c r="U47" s="77"/>
      <c r="V47" s="1031"/>
      <c r="W47" s="156"/>
      <c r="X47" s="363"/>
      <c r="Y47" s="75"/>
      <c r="Z47" s="76"/>
      <c r="AA47" s="77"/>
      <c r="AB47" s="1031"/>
      <c r="AC47" s="156"/>
    </row>
    <row r="48" spans="1:29">
      <c r="A48" s="156"/>
      <c r="B48" s="1069" t="s">
        <v>392</v>
      </c>
      <c r="C48" s="1070">
        <v>16</v>
      </c>
      <c r="D48" s="1070">
        <v>16</v>
      </c>
      <c r="E48" s="1070">
        <v>16</v>
      </c>
      <c r="F48" s="1070">
        <v>16</v>
      </c>
      <c r="G48" s="1070">
        <v>16</v>
      </c>
      <c r="H48" s="1070">
        <v>16</v>
      </c>
      <c r="I48" s="1070">
        <v>16</v>
      </c>
      <c r="J48" s="156"/>
      <c r="K48" s="156"/>
      <c r="L48" s="363"/>
      <c r="M48" s="75"/>
      <c r="N48" s="76"/>
      <c r="O48" s="77"/>
      <c r="P48" s="156"/>
      <c r="Q48" s="156"/>
      <c r="R48" s="363"/>
      <c r="S48" s="75"/>
      <c r="T48" s="76"/>
      <c r="U48" s="77"/>
      <c r="V48" s="1031"/>
      <c r="W48" s="156"/>
      <c r="X48" s="363"/>
      <c r="Y48" s="75"/>
      <c r="Z48" s="76"/>
      <c r="AA48" s="77"/>
      <c r="AB48" s="1031"/>
      <c r="AC48" s="156"/>
    </row>
    <row r="49" spans="1:29">
      <c r="A49" s="156"/>
      <c r="B49" s="1069" t="s">
        <v>393</v>
      </c>
      <c r="C49" s="1070">
        <v>8</v>
      </c>
      <c r="D49" s="1070">
        <v>8</v>
      </c>
      <c r="E49" s="1070">
        <v>8</v>
      </c>
      <c r="F49" s="1070">
        <v>8</v>
      </c>
      <c r="G49" s="1070">
        <v>8</v>
      </c>
      <c r="H49" s="1070">
        <v>8</v>
      </c>
      <c r="I49" s="1070">
        <v>8</v>
      </c>
      <c r="J49" s="156"/>
      <c r="K49" s="156"/>
      <c r="L49" s="269"/>
      <c r="M49" s="156"/>
      <c r="N49" s="156"/>
      <c r="O49" s="156"/>
      <c r="Q49" s="156"/>
      <c r="R49" s="156"/>
      <c r="S49" s="156"/>
      <c r="T49" s="156"/>
      <c r="U49" s="156"/>
      <c r="V49" s="156"/>
      <c r="W49" s="156"/>
      <c r="X49" s="156"/>
      <c r="Y49" s="156"/>
      <c r="Z49" s="156"/>
      <c r="AA49" s="156"/>
      <c r="AB49" s="156"/>
      <c r="AC49" s="156"/>
    </row>
    <row r="50" spans="1:29" ht="26.25" customHeight="1">
      <c r="A50" s="156"/>
      <c r="B50" s="1069" t="str">
        <f>"Total"&amp;" = "&amp;(SUM(C50:I50))</f>
        <v>Total = 280</v>
      </c>
      <c r="C50" s="1071">
        <f>SUM(C47:C49)</f>
        <v>40</v>
      </c>
      <c r="D50" s="1071">
        <f t="shared" ref="D50:I50" si="0">SUM(D47:D49)</f>
        <v>40</v>
      </c>
      <c r="E50" s="1071">
        <f t="shared" si="0"/>
        <v>40</v>
      </c>
      <c r="F50" s="1071">
        <f t="shared" si="0"/>
        <v>40</v>
      </c>
      <c r="G50" s="1071">
        <f t="shared" si="0"/>
        <v>40</v>
      </c>
      <c r="H50" s="1071">
        <f t="shared" si="0"/>
        <v>40</v>
      </c>
      <c r="I50" s="1071">
        <f t="shared" si="0"/>
        <v>40</v>
      </c>
      <c r="J50" s="156"/>
      <c r="K50" s="156"/>
      <c r="L50" s="269"/>
      <c r="M50" s="156"/>
      <c r="N50" s="156"/>
      <c r="O50" s="156"/>
      <c r="P50" s="156"/>
      <c r="Q50" s="156"/>
      <c r="R50" s="156"/>
      <c r="S50" s="156"/>
      <c r="T50" s="156"/>
      <c r="U50" s="156"/>
      <c r="V50" s="156"/>
      <c r="W50" s="156"/>
      <c r="X50" s="156"/>
      <c r="Y50" s="156"/>
      <c r="Z50" s="156"/>
      <c r="AA50" s="156"/>
      <c r="AB50" s="156"/>
      <c r="AC50" s="156"/>
    </row>
    <row r="51" spans="1:29" ht="26.25" customHeight="1">
      <c r="A51" s="156"/>
      <c r="B51" s="2569" t="s">
        <v>822</v>
      </c>
      <c r="C51" s="2569"/>
      <c r="D51" s="2569"/>
      <c r="E51" s="2569"/>
      <c r="F51" s="2569"/>
      <c r="G51" s="2569"/>
      <c r="H51" s="2569"/>
      <c r="I51" s="2569"/>
      <c r="J51" s="156"/>
      <c r="K51" s="156"/>
      <c r="L51" s="269" t="s">
        <v>561</v>
      </c>
      <c r="M51" s="156"/>
      <c r="N51" s="156"/>
      <c r="O51" s="156"/>
      <c r="P51" s="156"/>
      <c r="Q51" s="156"/>
      <c r="R51" s="156"/>
      <c r="S51" s="156"/>
      <c r="T51" s="156"/>
      <c r="U51" s="156"/>
      <c r="V51" s="156"/>
      <c r="W51" s="156"/>
      <c r="X51" s="156"/>
      <c r="Y51" s="156"/>
      <c r="Z51" s="156"/>
      <c r="AA51" s="156"/>
      <c r="AB51" s="156"/>
      <c r="AC51" s="156"/>
    </row>
    <row r="52" spans="1:29" ht="13.5" thickBot="1">
      <c r="A52" s="156"/>
      <c r="B52" s="1072"/>
      <c r="C52" s="1072"/>
      <c r="D52" s="1072"/>
      <c r="E52" s="1072"/>
      <c r="F52" s="1072"/>
      <c r="G52" s="1072"/>
      <c r="H52" s="1072"/>
      <c r="I52" s="1072"/>
      <c r="J52" s="156"/>
      <c r="K52" s="156"/>
      <c r="L52" s="269"/>
      <c r="M52" s="156"/>
      <c r="N52" s="156"/>
      <c r="O52" s="156"/>
      <c r="P52" s="156"/>
      <c r="Q52" s="156"/>
      <c r="R52" s="156"/>
      <c r="S52" s="156"/>
      <c r="T52" s="156"/>
      <c r="U52" s="156"/>
      <c r="V52" s="156"/>
      <c r="W52" s="156"/>
      <c r="X52" s="156"/>
      <c r="Y52" s="156"/>
      <c r="Z52" s="156"/>
      <c r="AA52" s="156"/>
      <c r="AB52" s="156"/>
      <c r="AC52" s="156"/>
    </row>
    <row r="53" spans="1:29" ht="13.5" thickBot="1">
      <c r="A53" s="156"/>
      <c r="B53" s="156"/>
      <c r="C53" s="156"/>
      <c r="D53" s="39"/>
      <c r="E53" s="39"/>
      <c r="F53" s="39"/>
      <c r="G53" s="39"/>
      <c r="H53" s="39"/>
      <c r="I53" s="39"/>
      <c r="J53" s="156"/>
      <c r="K53" s="156"/>
      <c r="L53" s="2570" t="s">
        <v>562</v>
      </c>
      <c r="M53" s="2571"/>
      <c r="N53" s="2571"/>
      <c r="O53" s="2571"/>
      <c r="P53" s="2572"/>
      <c r="Q53" s="156"/>
      <c r="R53" s="2570" t="s">
        <v>563</v>
      </c>
      <c r="S53" s="2571"/>
      <c r="T53" s="2571"/>
      <c r="U53" s="2571"/>
      <c r="V53" s="2572"/>
      <c r="W53" s="156"/>
      <c r="X53" s="2570" t="s">
        <v>564</v>
      </c>
      <c r="Y53" s="2571"/>
      <c r="Z53" s="2571"/>
      <c r="AA53" s="2571"/>
      <c r="AB53" s="2572"/>
      <c r="AC53" s="156"/>
    </row>
    <row r="54" spans="1:29">
      <c r="A54" s="156"/>
      <c r="B54" s="1067"/>
      <c r="C54" s="156"/>
      <c r="D54" s="156"/>
      <c r="E54" s="156"/>
      <c r="F54" s="156"/>
      <c r="G54" s="156"/>
      <c r="H54" s="156"/>
      <c r="I54" s="156"/>
      <c r="J54" s="156"/>
      <c r="K54" s="156"/>
      <c r="L54" s="987" t="s">
        <v>277</v>
      </c>
      <c r="M54" s="147">
        <v>15</v>
      </c>
      <c r="N54" s="988"/>
      <c r="O54" s="989" t="s">
        <v>133</v>
      </c>
      <c r="P54" s="990">
        <f>M54*365</f>
        <v>5475</v>
      </c>
      <c r="Q54" s="156"/>
      <c r="R54" s="987" t="s">
        <v>277</v>
      </c>
      <c r="S54" s="147">
        <v>20</v>
      </c>
      <c r="T54" s="988"/>
      <c r="U54" s="989" t="s">
        <v>133</v>
      </c>
      <c r="V54" s="990">
        <f>S54*365</f>
        <v>7300</v>
      </c>
      <c r="W54" s="156"/>
      <c r="X54" s="987" t="s">
        <v>277</v>
      </c>
      <c r="Y54" s="147">
        <v>30</v>
      </c>
      <c r="Z54" s="988"/>
      <c r="AA54" s="989" t="s">
        <v>133</v>
      </c>
      <c r="AB54" s="990">
        <f>Y54*365</f>
        <v>10950</v>
      </c>
      <c r="AC54" s="156"/>
    </row>
    <row r="55" spans="1:29">
      <c r="A55" s="156"/>
      <c r="B55" s="1073"/>
      <c r="C55" s="156"/>
      <c r="D55" s="156"/>
      <c r="E55" s="156"/>
      <c r="F55" s="156"/>
      <c r="G55" s="156"/>
      <c r="H55" s="156"/>
      <c r="I55" s="156"/>
      <c r="J55" s="156"/>
      <c r="K55" s="156"/>
      <c r="L55" s="109"/>
      <c r="M55" s="156"/>
      <c r="N55" s="156"/>
      <c r="O55" s="156"/>
      <c r="P55" s="991"/>
      <c r="Q55" s="156"/>
      <c r="R55" s="109"/>
      <c r="S55" s="156"/>
      <c r="T55" s="156"/>
      <c r="U55" s="156"/>
      <c r="V55" s="991"/>
      <c r="X55" s="109"/>
      <c r="Y55" s="156"/>
      <c r="Z55" s="156"/>
      <c r="AA55" s="156"/>
      <c r="AB55" s="991"/>
      <c r="AC55" s="156"/>
    </row>
    <row r="56" spans="1:29" ht="13.5" thickBot="1">
      <c r="A56" s="156"/>
      <c r="B56" s="269" t="s">
        <v>565</v>
      </c>
      <c r="C56" s="156"/>
      <c r="D56" s="156"/>
      <c r="E56" s="156"/>
      <c r="F56" s="156"/>
      <c r="G56" s="156"/>
      <c r="H56" s="156"/>
      <c r="I56" s="156"/>
      <c r="J56" s="1074"/>
      <c r="K56" s="156"/>
      <c r="L56" s="995"/>
      <c r="M56" s="996"/>
      <c r="N56" s="997" t="s">
        <v>5</v>
      </c>
      <c r="O56" s="997" t="s">
        <v>6</v>
      </c>
      <c r="P56" s="998" t="s">
        <v>7</v>
      </c>
      <c r="R56" s="995"/>
      <c r="S56" s="996"/>
      <c r="T56" s="997" t="s">
        <v>5</v>
      </c>
      <c r="U56" s="997" t="s">
        <v>6</v>
      </c>
      <c r="V56" s="998" t="s">
        <v>7</v>
      </c>
      <c r="W56" s="156"/>
      <c r="X56" s="995"/>
      <c r="Y56" s="996"/>
      <c r="Z56" s="997" t="s">
        <v>5</v>
      </c>
      <c r="AA56" s="997" t="s">
        <v>6</v>
      </c>
      <c r="AB56" s="998" t="s">
        <v>7</v>
      </c>
      <c r="AC56" s="156"/>
    </row>
    <row r="57" spans="1:29">
      <c r="A57" s="156"/>
      <c r="B57" s="992"/>
      <c r="C57" s="993" t="s">
        <v>41</v>
      </c>
      <c r="D57" s="993"/>
      <c r="E57" s="993" t="s">
        <v>821</v>
      </c>
      <c r="F57" s="994"/>
      <c r="G57" s="1075" t="s">
        <v>278</v>
      </c>
      <c r="H57" s="1076"/>
      <c r="I57" s="1076"/>
      <c r="J57" s="1077"/>
      <c r="K57" s="156"/>
      <c r="L57" s="44" t="s">
        <v>31</v>
      </c>
      <c r="M57" s="1000"/>
      <c r="N57" s="101"/>
      <c r="O57" s="101"/>
      <c r="P57" s="1001"/>
      <c r="Q57" s="156"/>
      <c r="R57" s="44" t="s">
        <v>31</v>
      </c>
      <c r="S57" s="1000"/>
      <c r="T57" s="101"/>
      <c r="U57" s="101"/>
      <c r="V57" s="1001"/>
      <c r="W57" s="156"/>
      <c r="X57" s="44" t="s">
        <v>31</v>
      </c>
      <c r="Y57" s="1000"/>
      <c r="Z57" s="101"/>
      <c r="AA57" s="101"/>
      <c r="AB57" s="1001"/>
      <c r="AC57" s="156"/>
    </row>
    <row r="58" spans="1:29">
      <c r="A58" s="156"/>
      <c r="B58" s="44" t="s">
        <v>31</v>
      </c>
      <c r="C58" s="297"/>
      <c r="D58" s="297"/>
      <c r="E58" s="297"/>
      <c r="F58" s="999"/>
      <c r="G58" s="156"/>
      <c r="H58" s="156"/>
      <c r="I58" s="156"/>
      <c r="J58" s="991"/>
      <c r="K58" s="156"/>
      <c r="L58" s="109" t="str">
        <f>B59</f>
        <v xml:space="preserve">  Management Supervision</v>
      </c>
      <c r="M58" s="1002"/>
      <c r="N58" s="1003">
        <f>C59</f>
        <v>92496.84919424048</v>
      </c>
      <c r="O58" s="1004">
        <f>C68</f>
        <v>0.05</v>
      </c>
      <c r="P58" s="1005">
        <f>N58*O58</f>
        <v>4624.8424597120238</v>
      </c>
      <c r="Q58" s="156"/>
      <c r="R58" s="109" t="str">
        <f>B59</f>
        <v xml:space="preserve">  Management Supervision</v>
      </c>
      <c r="S58" s="1002"/>
      <c r="T58" s="1003">
        <f>C59</f>
        <v>92496.84919424048</v>
      </c>
      <c r="U58" s="1004">
        <f>D68</f>
        <v>0.05</v>
      </c>
      <c r="V58" s="1005">
        <f>T58*U58</f>
        <v>4624.8424597120238</v>
      </c>
      <c r="W58" s="156"/>
      <c r="X58" s="109" t="str">
        <f>B59</f>
        <v xml:space="preserve">  Management Supervision</v>
      </c>
      <c r="Y58" s="1002"/>
      <c r="Z58" s="1003">
        <f>C59</f>
        <v>92496.84919424048</v>
      </c>
      <c r="AA58" s="1004">
        <f>E68</f>
        <v>0.05</v>
      </c>
      <c r="AB58" s="1005">
        <f>Z58*AA58</f>
        <v>4624.8424597120238</v>
      </c>
      <c r="AC58" s="156"/>
    </row>
    <row r="59" spans="1:29">
      <c r="A59" s="156"/>
      <c r="B59" s="48" t="s">
        <v>421</v>
      </c>
      <c r="C59" s="999">
        <f>C14</f>
        <v>92496.84919424048</v>
      </c>
      <c r="D59" s="999"/>
      <c r="E59" s="999"/>
      <c r="F59" s="999"/>
      <c r="G59" s="304" t="str">
        <f>G14</f>
        <v>FY16 UFR, Weighted Average, Program Function Manager</v>
      </c>
      <c r="H59" s="156"/>
      <c r="I59" s="156"/>
      <c r="J59" s="991"/>
      <c r="K59" s="156"/>
      <c r="L59" s="109" t="str">
        <f>B60</f>
        <v xml:space="preserve">  Site Manager</v>
      </c>
      <c r="M59" s="1002"/>
      <c r="N59" s="1003">
        <f>C60</f>
        <v>45124.774005912077</v>
      </c>
      <c r="O59" s="1004">
        <f>C69</f>
        <v>1</v>
      </c>
      <c r="P59" s="1005">
        <f>N59*O59</f>
        <v>45124.774005912077</v>
      </c>
      <c r="Q59" s="156"/>
      <c r="R59" s="109" t="str">
        <f>B60</f>
        <v xml:space="preserve">  Site Manager</v>
      </c>
      <c r="S59" s="1002"/>
      <c r="T59" s="1003">
        <f>C60</f>
        <v>45124.774005912077</v>
      </c>
      <c r="U59" s="1004">
        <f>D69</f>
        <v>1</v>
      </c>
      <c r="V59" s="1005">
        <f>T59*U59</f>
        <v>45124.774005912077</v>
      </c>
      <c r="W59" s="156"/>
      <c r="X59" s="109" t="str">
        <f>B60</f>
        <v xml:space="preserve">  Site Manager</v>
      </c>
      <c r="Y59" s="1002"/>
      <c r="Z59" s="1003">
        <f>C60</f>
        <v>45124.774005912077</v>
      </c>
      <c r="AA59" s="1004">
        <f>E69</f>
        <v>1</v>
      </c>
      <c r="AB59" s="1005">
        <f>Z59*AA59</f>
        <v>45124.774005912077</v>
      </c>
      <c r="AC59" s="156"/>
    </row>
    <row r="60" spans="1:29">
      <c r="A60" s="156"/>
      <c r="B60" s="48" t="s">
        <v>121</v>
      </c>
      <c r="C60" s="999">
        <f>C15</f>
        <v>45124.774005912077</v>
      </c>
      <c r="D60" s="999"/>
      <c r="E60" s="999"/>
      <c r="F60" s="999"/>
      <c r="G60" s="304" t="str">
        <f>G15</f>
        <v>Benchmark 101 CMR 420</v>
      </c>
      <c r="H60" s="156"/>
      <c r="I60" s="156"/>
      <c r="J60" s="991"/>
      <c r="K60" s="156"/>
      <c r="L60" s="109" t="str">
        <f>B61</f>
        <v xml:space="preserve">  Direct Care I &amp; II</v>
      </c>
      <c r="M60" s="1002"/>
      <c r="N60" s="1086">
        <f>E61</f>
        <v>32198</v>
      </c>
      <c r="O60" s="1004">
        <f>C70</f>
        <v>4.2</v>
      </c>
      <c r="P60" s="1005">
        <f>N60*O60</f>
        <v>135231.6</v>
      </c>
      <c r="Q60" s="156"/>
      <c r="R60" s="109" t="str">
        <f>L60</f>
        <v xml:space="preserve">  Direct Care I &amp; II</v>
      </c>
      <c r="S60" s="1002"/>
      <c r="T60" s="1086">
        <f>N60</f>
        <v>32198</v>
      </c>
      <c r="U60" s="1004">
        <f>D70</f>
        <v>4.2</v>
      </c>
      <c r="V60" s="1005">
        <f>T60*U60</f>
        <v>135231.6</v>
      </c>
      <c r="W60" s="156"/>
      <c r="X60" s="109" t="str">
        <f>B61</f>
        <v xml:space="preserve">  Direct Care I &amp; II</v>
      </c>
      <c r="Y60" s="1002"/>
      <c r="Z60" s="1086">
        <f>N60</f>
        <v>32198</v>
      </c>
      <c r="AA60" s="1004">
        <f>E70</f>
        <v>4.2</v>
      </c>
      <c r="AB60" s="1005">
        <f>Z60*AA60</f>
        <v>135231.6</v>
      </c>
      <c r="AC60" s="156"/>
    </row>
    <row r="61" spans="1:29">
      <c r="A61" s="156"/>
      <c r="B61" s="48" t="s">
        <v>874</v>
      </c>
      <c r="C61" s="999">
        <f>C16</f>
        <v>32198.400000000001</v>
      </c>
      <c r="D61" s="999"/>
      <c r="E61" s="1008">
        <v>32198</v>
      </c>
      <c r="F61" s="999"/>
      <c r="G61" s="304" t="s">
        <v>821</v>
      </c>
      <c r="H61" s="156"/>
      <c r="I61" s="156"/>
      <c r="J61" s="991"/>
      <c r="K61" s="156"/>
      <c r="L61" s="1097" t="str">
        <f>B62</f>
        <v xml:space="preserve">  Relief</v>
      </c>
      <c r="M61" s="1009"/>
      <c r="N61" s="1087">
        <f>E62</f>
        <v>32198</v>
      </c>
      <c r="O61" s="1010">
        <f>C71</f>
        <v>0.53307692307692311</v>
      </c>
      <c r="P61" s="1011">
        <f>N61*O61</f>
        <v>17164.010769230772</v>
      </c>
      <c r="Q61" s="1006"/>
      <c r="R61" s="182" t="str">
        <f>L61</f>
        <v xml:space="preserve">  Relief</v>
      </c>
      <c r="S61" s="1009"/>
      <c r="T61" s="1094">
        <f>N61</f>
        <v>32198</v>
      </c>
      <c r="U61" s="1010">
        <f>D71</f>
        <v>0.53307692307692311</v>
      </c>
      <c r="V61" s="1011">
        <f>T61*U61</f>
        <v>17164.010769230772</v>
      </c>
      <c r="W61" s="156"/>
      <c r="X61" s="1097" t="str">
        <f>B62</f>
        <v xml:space="preserve">  Relief</v>
      </c>
      <c r="Y61" s="1009"/>
      <c r="Z61" s="1087">
        <f>N61</f>
        <v>32198</v>
      </c>
      <c r="AA61" s="1010">
        <f>E71</f>
        <v>0.53307692307692311</v>
      </c>
      <c r="AB61" s="1011">
        <f>Z61*AA61</f>
        <v>17164.010769230772</v>
      </c>
      <c r="AC61" s="156"/>
    </row>
    <row r="62" spans="1:29">
      <c r="A62" s="156"/>
      <c r="B62" s="48" t="s">
        <v>49</v>
      </c>
      <c r="C62" s="999">
        <f>C17</f>
        <v>32198.400000000001</v>
      </c>
      <c r="D62" s="156"/>
      <c r="E62" s="1008">
        <v>32198</v>
      </c>
      <c r="F62" s="999"/>
      <c r="G62" s="304" t="s">
        <v>821</v>
      </c>
      <c r="H62" s="156"/>
      <c r="I62" s="156"/>
      <c r="J62" s="991"/>
      <c r="K62" s="156"/>
      <c r="L62" s="995" t="s">
        <v>13</v>
      </c>
      <c r="M62" s="1012"/>
      <c r="N62" s="1012"/>
      <c r="O62" s="1014">
        <f>SUM(O58:O61)</f>
        <v>5.7830769230769228</v>
      </c>
      <c r="P62" s="1015">
        <f>SUM(P58:P61)</f>
        <v>202145.22723485489</v>
      </c>
      <c r="Q62" s="1006"/>
      <c r="R62" s="995" t="s">
        <v>13</v>
      </c>
      <c r="S62" s="1012"/>
      <c r="T62" s="1012"/>
      <c r="U62" s="1014">
        <f>SUM(U58:U61)</f>
        <v>5.7830769230769228</v>
      </c>
      <c r="V62" s="1015">
        <f>SUM(V58:V61)</f>
        <v>202145.22723485489</v>
      </c>
      <c r="W62" s="156"/>
      <c r="X62" s="995" t="s">
        <v>13</v>
      </c>
      <c r="Y62" s="1012"/>
      <c r="Z62" s="1012"/>
      <c r="AA62" s="1014">
        <f>SUM(AA58:AA61)</f>
        <v>5.7830769230769228</v>
      </c>
      <c r="AB62" s="1015">
        <f>SUM(AB58:AB61)</f>
        <v>202145.22723485489</v>
      </c>
      <c r="AC62" s="156"/>
    </row>
    <row r="63" spans="1:29">
      <c r="A63" s="156"/>
      <c r="B63" s="48"/>
      <c r="C63" s="999"/>
      <c r="D63" s="999"/>
      <c r="E63" s="999"/>
      <c r="F63" s="999"/>
      <c r="G63" s="999"/>
      <c r="H63" s="156"/>
      <c r="I63" s="156"/>
      <c r="J63" s="991"/>
      <c r="K63" s="156"/>
      <c r="L63" s="111" t="s">
        <v>15</v>
      </c>
      <c r="M63" s="156"/>
      <c r="N63" s="156"/>
      <c r="O63" s="269" t="s">
        <v>16</v>
      </c>
      <c r="P63" s="991"/>
      <c r="Q63" s="1006"/>
      <c r="R63" s="111" t="s">
        <v>15</v>
      </c>
      <c r="S63" s="156"/>
      <c r="T63" s="156"/>
      <c r="U63" s="269" t="s">
        <v>16</v>
      </c>
      <c r="V63" s="991"/>
      <c r="W63" s="156"/>
      <c r="X63" s="111" t="s">
        <v>15</v>
      </c>
      <c r="Y63" s="156"/>
      <c r="Z63" s="156"/>
      <c r="AA63" s="269" t="s">
        <v>16</v>
      </c>
      <c r="AB63" s="991"/>
      <c r="AC63" s="156"/>
    </row>
    <row r="64" spans="1:29">
      <c r="A64" s="156"/>
      <c r="B64" s="48"/>
      <c r="C64" s="297" t="s">
        <v>35</v>
      </c>
      <c r="D64" s="297"/>
      <c r="E64" s="297"/>
      <c r="F64" s="297"/>
      <c r="G64" s="297"/>
      <c r="H64" s="297"/>
      <c r="I64" s="297"/>
      <c r="J64" s="991"/>
      <c r="K64" s="156"/>
      <c r="L64" s="109" t="s">
        <v>17</v>
      </c>
      <c r="M64" s="156"/>
      <c r="N64" s="1088">
        <f>C75</f>
        <v>0.224</v>
      </c>
      <c r="O64" s="156"/>
      <c r="P64" s="1017">
        <f>N64*P62</f>
        <v>45280.530900607497</v>
      </c>
      <c r="Q64" s="1006"/>
      <c r="R64" s="109" t="s">
        <v>17</v>
      </c>
      <c r="S64" s="156"/>
      <c r="T64" s="1088">
        <f>N64</f>
        <v>0.224</v>
      </c>
      <c r="U64" s="156"/>
      <c r="V64" s="1017">
        <f>T64*V62</f>
        <v>45280.530900607497</v>
      </c>
      <c r="W64" s="156"/>
      <c r="X64" s="109" t="s">
        <v>17</v>
      </c>
      <c r="Y64" s="156"/>
      <c r="Z64" s="1088">
        <f>N64</f>
        <v>0.224</v>
      </c>
      <c r="AA64" s="156"/>
      <c r="AB64" s="1017">
        <f>Z64*AB62</f>
        <v>45280.530900607497</v>
      </c>
      <c r="AC64" s="156"/>
    </row>
    <row r="65" spans="1:29">
      <c r="A65" s="156"/>
      <c r="B65" s="48"/>
      <c r="C65" s="39" t="s">
        <v>282</v>
      </c>
      <c r="D65" s="39" t="s">
        <v>283</v>
      </c>
      <c r="E65" s="39" t="s">
        <v>284</v>
      </c>
      <c r="F65" s="39"/>
      <c r="G65" s="156"/>
      <c r="H65" s="156"/>
      <c r="I65" s="156"/>
      <c r="J65" s="1078"/>
      <c r="K65" s="156"/>
      <c r="L65" s="1018" t="s">
        <v>18</v>
      </c>
      <c r="M65" s="1019"/>
      <c r="N65" s="1019"/>
      <c r="O65" s="1020"/>
      <c r="P65" s="1021">
        <f>P62+P64</f>
        <v>247425.75813546238</v>
      </c>
      <c r="Q65" s="1006"/>
      <c r="R65" s="1018" t="s">
        <v>18</v>
      </c>
      <c r="S65" s="1019"/>
      <c r="T65" s="1019"/>
      <c r="U65" s="1020"/>
      <c r="V65" s="1021">
        <f>V62+V64</f>
        <v>247425.75813546238</v>
      </c>
      <c r="W65" s="156"/>
      <c r="X65" s="1018" t="s">
        <v>18</v>
      </c>
      <c r="Y65" s="1019"/>
      <c r="Z65" s="1019"/>
      <c r="AA65" s="1020"/>
      <c r="AB65" s="1021">
        <f>AB62+AB64</f>
        <v>247425.75813546238</v>
      </c>
      <c r="AC65" s="156"/>
    </row>
    <row r="66" spans="1:29">
      <c r="A66" s="156"/>
      <c r="B66" s="48" t="s">
        <v>140</v>
      </c>
      <c r="C66" s="1016" t="s">
        <v>279</v>
      </c>
      <c r="D66" s="1079" t="s">
        <v>280</v>
      </c>
      <c r="E66" s="1016" t="s">
        <v>281</v>
      </c>
      <c r="F66" s="398"/>
      <c r="G66" s="156"/>
      <c r="H66" s="156"/>
      <c r="I66" s="156"/>
      <c r="J66" s="306"/>
      <c r="K66" s="156"/>
      <c r="L66" s="109" t="str">
        <f>B38</f>
        <v>PFLMA Trust Contribution</v>
      </c>
      <c r="M66" s="156"/>
      <c r="N66" s="1220">
        <f>C38</f>
        <v>3.7000000000000002E-3</v>
      </c>
      <c r="O66" s="884"/>
      <c r="P66" s="1005">
        <f>P62*N66</f>
        <v>747.93734076896317</v>
      </c>
      <c r="Q66" s="1006"/>
      <c r="R66" s="109" t="str">
        <f>L66</f>
        <v>PFLMA Trust Contribution</v>
      </c>
      <c r="S66" s="156"/>
      <c r="T66" s="1220">
        <f>N66</f>
        <v>3.7000000000000002E-3</v>
      </c>
      <c r="U66" s="884"/>
      <c r="V66" s="1005">
        <f>V62*T66</f>
        <v>747.93734076896317</v>
      </c>
      <c r="W66" s="156"/>
      <c r="X66" s="109" t="str">
        <f>R66</f>
        <v>PFLMA Trust Contribution</v>
      </c>
      <c r="Y66" s="156"/>
      <c r="Z66" s="1220">
        <f>T66</f>
        <v>3.7000000000000002E-3</v>
      </c>
      <c r="AA66" s="884"/>
      <c r="AB66" s="1005">
        <f>AB62*Z66</f>
        <v>747.93734076896317</v>
      </c>
      <c r="AC66" s="156"/>
    </row>
    <row r="67" spans="1:29">
      <c r="A67" s="156"/>
      <c r="B67" s="44" t="s">
        <v>31</v>
      </c>
      <c r="C67" s="398"/>
      <c r="D67" s="156"/>
      <c r="E67" s="156"/>
      <c r="F67" s="398"/>
      <c r="G67" s="156"/>
      <c r="H67" s="156"/>
      <c r="I67" s="156"/>
      <c r="J67" s="991"/>
      <c r="K67" s="156"/>
      <c r="L67" s="48" t="s">
        <v>22</v>
      </c>
      <c r="M67" s="156"/>
      <c r="N67" s="156"/>
      <c r="O67" s="156"/>
      <c r="P67" s="1025">
        <f>C79</f>
        <v>6191.6539525126345</v>
      </c>
      <c r="Q67" s="1006"/>
      <c r="R67" s="48" t="s">
        <v>22</v>
      </c>
      <c r="S67" s="156"/>
      <c r="T67" s="156"/>
      <c r="U67" s="156"/>
      <c r="V67" s="1025">
        <f>C79</f>
        <v>6191.6539525126345</v>
      </c>
      <c r="W67" s="156"/>
      <c r="X67" s="48" t="s">
        <v>22</v>
      </c>
      <c r="Y67" s="156"/>
      <c r="Z67" s="156"/>
      <c r="AA67" s="156"/>
      <c r="AB67" s="1025">
        <f>C79</f>
        <v>6191.6539525126345</v>
      </c>
      <c r="AC67" s="156"/>
    </row>
    <row r="68" spans="1:29">
      <c r="A68" s="156"/>
      <c r="B68" s="48" t="str">
        <f>B59</f>
        <v xml:space="preserve">  Management Supervision</v>
      </c>
      <c r="C68" s="1022">
        <v>0.05</v>
      </c>
      <c r="D68" s="1022">
        <v>0.05</v>
      </c>
      <c r="E68" s="1022">
        <v>0.05</v>
      </c>
      <c r="F68" s="1022"/>
      <c r="G68" s="156"/>
      <c r="H68" s="156"/>
      <c r="I68" s="156"/>
      <c r="J68" s="1080"/>
      <c r="K68" s="156"/>
      <c r="L68" s="109" t="str">
        <f>B77</f>
        <v>Meals / Food***</v>
      </c>
      <c r="M68" s="156"/>
      <c r="N68" s="884">
        <f>C77</f>
        <v>8.16</v>
      </c>
      <c r="O68" s="156"/>
      <c r="P68" s="885">
        <f>P54*N68</f>
        <v>44676</v>
      </c>
      <c r="Q68" s="1006"/>
      <c r="R68" s="48" t="str">
        <f>B77</f>
        <v>Meals / Food***</v>
      </c>
      <c r="S68" s="156"/>
      <c r="T68" s="884">
        <f>C77</f>
        <v>8.16</v>
      </c>
      <c r="U68" s="156"/>
      <c r="V68" s="1081">
        <f>V54*T68</f>
        <v>59568</v>
      </c>
      <c r="W68" s="156"/>
      <c r="X68" s="48" t="str">
        <f>B77</f>
        <v>Meals / Food***</v>
      </c>
      <c r="Y68" s="156"/>
      <c r="Z68" s="884">
        <f>C77</f>
        <v>8.16</v>
      </c>
      <c r="AA68" s="156"/>
      <c r="AB68" s="1081">
        <f>Z68*AB54</f>
        <v>89352</v>
      </c>
      <c r="AC68" s="156"/>
    </row>
    <row r="69" spans="1:29">
      <c r="A69" s="156"/>
      <c r="B69" s="48" t="str">
        <f>B60</f>
        <v xml:space="preserve">  Site Manager</v>
      </c>
      <c r="C69" s="1022">
        <v>1</v>
      </c>
      <c r="D69" s="1022">
        <v>1</v>
      </c>
      <c r="E69" s="1022">
        <v>1</v>
      </c>
      <c r="F69" s="1022"/>
      <c r="G69" s="156"/>
      <c r="H69" s="156"/>
      <c r="I69" s="156"/>
      <c r="J69" s="1080"/>
      <c r="K69" s="156"/>
      <c r="L69" s="1018" t="s">
        <v>23</v>
      </c>
      <c r="M69" s="1019"/>
      <c r="N69" s="1019"/>
      <c r="O69" s="1019"/>
      <c r="P69" s="1030">
        <f>SUM(P65:P68)</f>
        <v>299041.34942874394</v>
      </c>
      <c r="Q69" s="1006"/>
      <c r="R69" s="1018" t="s">
        <v>23</v>
      </c>
      <c r="S69" s="1019"/>
      <c r="T69" s="1019"/>
      <c r="U69" s="1019"/>
      <c r="V69" s="1030">
        <f>SUM(V65:V68)</f>
        <v>313933.34942874394</v>
      </c>
      <c r="W69" s="156"/>
      <c r="X69" s="1018" t="s">
        <v>23</v>
      </c>
      <c r="Y69" s="1019"/>
      <c r="Z69" s="1019"/>
      <c r="AA69" s="1019"/>
      <c r="AB69" s="1030">
        <f>SUM(AB65:AB68)</f>
        <v>343717.34942874394</v>
      </c>
      <c r="AC69" s="156"/>
    </row>
    <row r="70" spans="1:29">
      <c r="A70" s="156"/>
      <c r="B70" s="48" t="str">
        <f>B61</f>
        <v xml:space="preserve">  Direct Care I &amp; II</v>
      </c>
      <c r="C70" s="1022">
        <v>4.2</v>
      </c>
      <c r="D70" s="1022">
        <v>4.2</v>
      </c>
      <c r="E70" s="1022">
        <v>4.2</v>
      </c>
      <c r="F70" s="1022"/>
      <c r="G70" s="156"/>
      <c r="H70" s="156"/>
      <c r="I70" s="156"/>
      <c r="J70" s="1080"/>
      <c r="K70" s="156"/>
      <c r="L70" s="109" t="s">
        <v>24</v>
      </c>
      <c r="M70" s="156"/>
      <c r="N70" s="1033">
        <f>C84</f>
        <v>0.12</v>
      </c>
      <c r="O70" s="156"/>
      <c r="P70" s="1017">
        <f>N70*P69</f>
        <v>35884.961931449274</v>
      </c>
      <c r="Q70" s="1006"/>
      <c r="R70" s="109" t="s">
        <v>24</v>
      </c>
      <c r="S70" s="156"/>
      <c r="T70" s="1033">
        <f>C84</f>
        <v>0.12</v>
      </c>
      <c r="U70" s="156"/>
      <c r="V70" s="1017">
        <f>T70*V69</f>
        <v>37672.001931449275</v>
      </c>
      <c r="W70" s="156"/>
      <c r="X70" s="109" t="s">
        <v>24</v>
      </c>
      <c r="Y70" s="156"/>
      <c r="Z70" s="1033">
        <f>C84</f>
        <v>0.12</v>
      </c>
      <c r="AA70" s="156"/>
      <c r="AB70" s="1017">
        <f>Z70*AB69</f>
        <v>41246.081931449269</v>
      </c>
      <c r="AC70" s="156"/>
    </row>
    <row r="71" spans="1:29" ht="13.5" thickBot="1">
      <c r="A71" s="156"/>
      <c r="B71" s="80" t="str">
        <f>B62</f>
        <v xml:space="preserve">  Relief</v>
      </c>
      <c r="C71" s="1022">
        <v>0.53307692307692311</v>
      </c>
      <c r="D71" s="1022">
        <v>0.53307692307692311</v>
      </c>
      <c r="E71" s="1022">
        <v>0.53307692307692311</v>
      </c>
      <c r="F71" s="1022"/>
      <c r="G71" s="156"/>
      <c r="H71" s="156"/>
      <c r="I71" s="156"/>
      <c r="J71" s="1080"/>
      <c r="K71" s="156"/>
      <c r="L71" s="1042" t="s">
        <v>25</v>
      </c>
      <c r="M71" s="1043"/>
      <c r="N71" s="1043"/>
      <c r="O71" s="1043"/>
      <c r="P71" s="1044">
        <f>SUM(P69:P70)</f>
        <v>334926.31136019318</v>
      </c>
      <c r="Q71" s="1006"/>
      <c r="R71" s="1042" t="s">
        <v>25</v>
      </c>
      <c r="S71" s="1043"/>
      <c r="T71" s="1043"/>
      <c r="U71" s="1043"/>
      <c r="V71" s="1044">
        <f>SUM(V69:V70)</f>
        <v>351605.35136019322</v>
      </c>
      <c r="W71" s="156"/>
      <c r="X71" s="1042" t="s">
        <v>25</v>
      </c>
      <c r="Y71" s="1043"/>
      <c r="Z71" s="1043"/>
      <c r="AA71" s="1043"/>
      <c r="AB71" s="1044">
        <f>SUM(AB69:AB70)</f>
        <v>384963.43136019318</v>
      </c>
      <c r="AC71" s="156"/>
    </row>
    <row r="72" spans="1:29" ht="13.5" thickTop="1">
      <c r="A72" s="156"/>
      <c r="B72" s="173"/>
      <c r="C72" s="1029"/>
      <c r="D72" s="1029"/>
      <c r="E72" s="1029"/>
      <c r="F72" s="1022"/>
      <c r="G72" s="1022"/>
      <c r="H72" s="156"/>
      <c r="I72" s="156"/>
      <c r="J72" s="991"/>
      <c r="K72" s="156"/>
      <c r="L72" s="109" t="s">
        <v>26</v>
      </c>
      <c r="M72" s="156"/>
      <c r="N72" s="1095">
        <f>C88</f>
        <v>1.78E-2</v>
      </c>
      <c r="O72" s="156"/>
      <c r="P72" s="1046">
        <f>P71+(P71*N72)-(P62*N72)</f>
        <v>337289.81465762417</v>
      </c>
      <c r="Q72" s="1006"/>
      <c r="R72" s="109" t="s">
        <v>26</v>
      </c>
      <c r="S72" s="156"/>
      <c r="T72" s="1090">
        <f>C88</f>
        <v>1.78E-2</v>
      </c>
      <c r="U72" s="156"/>
      <c r="V72" s="1046">
        <f>V71+(V71*T72)-(V62*T72)</f>
        <v>354265.74156962422</v>
      </c>
      <c r="W72" s="156"/>
      <c r="X72" s="109" t="s">
        <v>26</v>
      </c>
      <c r="Y72" s="156"/>
      <c r="Z72" s="1090">
        <f>C88</f>
        <v>1.78E-2</v>
      </c>
      <c r="AA72" s="156"/>
      <c r="AB72" s="1046">
        <f>AB71+(AB71*Z72)-(AB62*Z72)</f>
        <v>388217.59539362421</v>
      </c>
      <c r="AC72" s="156"/>
    </row>
    <row r="73" spans="1:29" ht="13.5" thickBot="1">
      <c r="A73" s="156"/>
      <c r="B73" s="48"/>
      <c r="C73" s="339"/>
      <c r="D73" s="339"/>
      <c r="E73" s="339"/>
      <c r="F73" s="339"/>
      <c r="G73" s="339"/>
      <c r="H73" s="156"/>
      <c r="I73" s="156"/>
      <c r="J73" s="991"/>
      <c r="K73" s="156"/>
      <c r="L73" s="1051" t="s">
        <v>28</v>
      </c>
      <c r="M73" s="1052"/>
      <c r="N73" s="1052"/>
      <c r="O73" s="1054"/>
      <c r="P73" s="1166">
        <f>P72/P54</f>
        <v>61.60544559956606</v>
      </c>
      <c r="Q73" s="1006"/>
      <c r="R73" s="1051" t="s">
        <v>28</v>
      </c>
      <c r="S73" s="1052"/>
      <c r="T73" s="1052"/>
      <c r="U73" s="1054"/>
      <c r="V73" s="1166">
        <f>V72/V54</f>
        <v>48.529553639674553</v>
      </c>
      <c r="W73" s="156"/>
      <c r="X73" s="1051" t="s">
        <v>28</v>
      </c>
      <c r="Y73" s="1052"/>
      <c r="Z73" s="1052"/>
      <c r="AA73" s="1054"/>
      <c r="AB73" s="1166">
        <f>AB72/AB54</f>
        <v>35.453661679783032</v>
      </c>
      <c r="AC73" s="156"/>
    </row>
    <row r="74" spans="1:29">
      <c r="A74" s="156"/>
      <c r="B74" s="48"/>
      <c r="C74" s="297" t="s">
        <v>42</v>
      </c>
      <c r="D74" s="297"/>
      <c r="E74" s="297"/>
      <c r="F74" s="297"/>
      <c r="G74" s="297"/>
      <c r="H74" s="156"/>
      <c r="I74" s="156"/>
      <c r="J74" s="991"/>
      <c r="K74" s="156"/>
      <c r="L74" s="156"/>
      <c r="M74" s="156"/>
      <c r="N74" s="156"/>
      <c r="O74" s="156" t="s">
        <v>783</v>
      </c>
      <c r="P74" s="1083">
        <v>59.369726711739183</v>
      </c>
      <c r="Q74" s="156"/>
      <c r="R74" s="1083"/>
      <c r="S74" s="1083"/>
      <c r="T74" s="1083"/>
      <c r="U74" s="1083" t="s">
        <v>783</v>
      </c>
      <c r="V74" s="1083">
        <v>46.567295033804385</v>
      </c>
      <c r="W74" s="156"/>
      <c r="X74" s="1083"/>
      <c r="Y74" s="1083"/>
      <c r="Z74" s="1083"/>
      <c r="AA74" s="156" t="s">
        <v>783</v>
      </c>
      <c r="AB74" s="1083">
        <v>33.764863355869593</v>
      </c>
      <c r="AC74" s="156"/>
    </row>
    <row r="75" spans="1:29">
      <c r="A75" s="156"/>
      <c r="B75" s="48" t="s">
        <v>17</v>
      </c>
      <c r="C75" s="1035">
        <f>C30</f>
        <v>0.224</v>
      </c>
      <c r="D75" s="983"/>
      <c r="E75" s="1428"/>
      <c r="F75" s="983"/>
      <c r="G75" s="1646" t="s">
        <v>978</v>
      </c>
      <c r="H75" s="156"/>
      <c r="I75" s="156"/>
      <c r="J75" s="991"/>
      <c r="K75" s="156"/>
      <c r="L75" s="156"/>
      <c r="M75" s="156"/>
      <c r="N75" s="156"/>
      <c r="O75" s="156"/>
      <c r="P75" s="884">
        <f>P73-P74</f>
        <v>2.2357188878268772</v>
      </c>
      <c r="Q75" s="156"/>
      <c r="R75" s="884"/>
      <c r="S75" s="884"/>
      <c r="T75" s="884"/>
      <c r="U75" s="884"/>
      <c r="V75" s="884">
        <f>V73-V74</f>
        <v>1.9622586058701685</v>
      </c>
      <c r="W75" s="884"/>
      <c r="X75" s="884"/>
      <c r="Y75" s="884"/>
      <c r="Z75" s="884"/>
      <c r="AA75" s="884"/>
      <c r="AB75" s="884">
        <f>AB73-AB74</f>
        <v>1.6887983239134385</v>
      </c>
      <c r="AC75" s="156"/>
    </row>
    <row r="76" spans="1:29">
      <c r="A76" s="156"/>
      <c r="B76" s="48"/>
      <c r="C76" s="339"/>
      <c r="D76" s="339"/>
      <c r="E76" s="339"/>
      <c r="F76" s="339"/>
      <c r="G76" s="274"/>
      <c r="H76" s="156"/>
      <c r="I76" s="156"/>
      <c r="J76" s="991"/>
      <c r="K76" s="984"/>
      <c r="L76" s="156"/>
      <c r="M76" s="156"/>
      <c r="N76" s="156"/>
      <c r="O76" s="156"/>
      <c r="P76" s="1084">
        <f>P75/P74</f>
        <v>3.76575573386429E-2</v>
      </c>
      <c r="Q76" s="156"/>
      <c r="R76" s="1084"/>
      <c r="S76" s="1084"/>
      <c r="T76" s="1084"/>
      <c r="U76" s="1084"/>
      <c r="V76" s="1084">
        <f>V75/V74</f>
        <v>4.2138127293967043E-2</v>
      </c>
      <c r="W76" s="1084"/>
      <c r="X76" s="1084"/>
      <c r="Y76" s="1084"/>
      <c r="Z76" s="1084"/>
      <c r="AA76" s="1084"/>
      <c r="AB76" s="1084">
        <f>AB75/AB74</f>
        <v>5.0016441829309588E-2</v>
      </c>
      <c r="AC76" s="984"/>
    </row>
    <row r="77" spans="1:29">
      <c r="A77" s="156"/>
      <c r="B77" s="48" t="s">
        <v>601</v>
      </c>
      <c r="C77" s="1093">
        <f>C31</f>
        <v>8.16</v>
      </c>
      <c r="D77" s="339"/>
      <c r="E77" s="339"/>
      <c r="G77" s="1037" t="s">
        <v>820</v>
      </c>
      <c r="H77" s="274"/>
      <c r="I77" s="274"/>
      <c r="J77" s="275"/>
      <c r="K77" s="984"/>
      <c r="L77" s="156"/>
      <c r="M77" s="156"/>
      <c r="N77" s="156"/>
      <c r="O77" s="156"/>
      <c r="P77" s="156"/>
      <c r="Q77" s="156"/>
      <c r="R77" s="156"/>
      <c r="S77" s="156"/>
      <c r="T77" s="156"/>
      <c r="U77" s="156"/>
      <c r="V77" s="156"/>
      <c r="W77" s="156"/>
      <c r="X77" s="156"/>
      <c r="Y77" s="156"/>
      <c r="Z77" s="156"/>
      <c r="AA77" s="156"/>
      <c r="AB77" s="156"/>
      <c r="AC77" s="984"/>
    </row>
    <row r="78" spans="1:29">
      <c r="A78" s="156"/>
      <c r="B78" s="80"/>
      <c r="C78" s="1039"/>
      <c r="D78" s="1039"/>
      <c r="E78" s="1039"/>
      <c r="F78" s="1039"/>
      <c r="G78" s="1040"/>
      <c r="H78" s="156"/>
      <c r="I78" s="156"/>
      <c r="J78" s="1082"/>
      <c r="K78" s="984"/>
      <c r="L78" s="984"/>
      <c r="M78" s="984"/>
      <c r="N78" s="984"/>
      <c r="O78" s="984"/>
      <c r="P78" s="984"/>
      <c r="Q78" s="1085"/>
      <c r="R78" s="984"/>
      <c r="S78" s="984"/>
      <c r="T78" s="984"/>
      <c r="U78" s="984"/>
      <c r="V78" s="984"/>
      <c r="W78" s="984"/>
      <c r="X78" s="984"/>
      <c r="Y78" s="984"/>
      <c r="Z78" s="984"/>
      <c r="AA78" s="984"/>
      <c r="AB78" s="984"/>
      <c r="AC78" s="984"/>
    </row>
    <row r="79" spans="1:29">
      <c r="A79" s="156"/>
      <c r="B79" s="48" t="s">
        <v>22</v>
      </c>
      <c r="C79" s="364">
        <f>5750*(1+C87)</f>
        <v>6191.6539525126345</v>
      </c>
      <c r="E79" s="89"/>
      <c r="F79" s="1007"/>
      <c r="G79" s="252" t="s">
        <v>473</v>
      </c>
      <c r="H79" s="156"/>
      <c r="I79" s="156"/>
      <c r="J79" s="327"/>
      <c r="K79" s="984"/>
      <c r="L79" s="984"/>
      <c r="M79" s="984"/>
      <c r="N79" s="984"/>
      <c r="O79" s="984"/>
      <c r="P79" s="984"/>
      <c r="Q79" s="984"/>
      <c r="R79" s="984"/>
      <c r="S79" s="984"/>
      <c r="T79" s="984"/>
      <c r="U79" s="984"/>
      <c r="V79" s="984"/>
      <c r="W79" s="984"/>
      <c r="X79" s="984"/>
      <c r="Y79" s="984"/>
      <c r="Z79" s="984"/>
      <c r="AA79" s="984"/>
      <c r="AB79" s="984"/>
      <c r="AC79" s="1085"/>
    </row>
    <row r="80" spans="1:29">
      <c r="A80" s="156"/>
      <c r="B80" s="48"/>
      <c r="C80" s="89"/>
      <c r="D80" s="364"/>
      <c r="E80" s="89"/>
      <c r="F80" s="1007"/>
      <c r="G80" s="252"/>
      <c r="H80" s="156"/>
      <c r="I80" s="156"/>
      <c r="J80" s="327"/>
      <c r="K80" s="984"/>
      <c r="L80" s="984"/>
      <c r="M80" s="984"/>
      <c r="N80" s="984"/>
      <c r="O80" s="984"/>
      <c r="P80" s="984"/>
      <c r="Q80" s="984"/>
      <c r="R80" s="984"/>
      <c r="S80" s="984"/>
      <c r="T80" s="984"/>
      <c r="U80" s="984"/>
      <c r="V80" s="984"/>
      <c r="W80" s="984"/>
      <c r="X80" s="984"/>
      <c r="Y80" s="984"/>
      <c r="Z80" s="984"/>
      <c r="AA80" s="984"/>
      <c r="AB80" s="984"/>
      <c r="AC80" s="984"/>
    </row>
    <row r="81" spans="1:33">
      <c r="A81" s="156"/>
      <c r="B81" s="48"/>
      <c r="C81" s="89"/>
      <c r="D81" s="364"/>
      <c r="E81" s="89"/>
      <c r="F81" s="1007"/>
      <c r="G81" s="252"/>
      <c r="H81" s="156"/>
      <c r="I81" s="156"/>
      <c r="J81" s="327"/>
      <c r="K81" s="984"/>
      <c r="L81" s="984"/>
      <c r="M81" s="984"/>
      <c r="N81" s="984"/>
      <c r="O81" s="984"/>
      <c r="P81" s="984"/>
      <c r="Q81" s="984"/>
      <c r="R81" s="984"/>
      <c r="S81" s="984"/>
      <c r="T81" s="984"/>
      <c r="U81" s="984"/>
      <c r="V81" s="984"/>
      <c r="W81" s="984"/>
      <c r="X81" s="984"/>
      <c r="Y81" s="984"/>
      <c r="Z81" s="984"/>
      <c r="AA81" s="984"/>
      <c r="AB81" s="984"/>
      <c r="AC81" s="984"/>
    </row>
    <row r="82" spans="1:33" ht="20.100000000000001" customHeight="1">
      <c r="A82" s="156"/>
      <c r="B82" s="1047"/>
      <c r="C82" s="1048"/>
      <c r="D82" s="1048"/>
      <c r="E82" s="1048"/>
      <c r="F82" s="1049"/>
      <c r="G82" s="279"/>
      <c r="H82" s="156"/>
      <c r="I82" s="156"/>
      <c r="J82" s="991"/>
      <c r="K82" s="984"/>
      <c r="L82" s="984"/>
      <c r="M82" s="984"/>
      <c r="N82" s="984"/>
      <c r="O82" s="984"/>
      <c r="P82" s="984"/>
      <c r="Q82" s="984"/>
      <c r="R82" s="984"/>
      <c r="S82" s="984"/>
      <c r="T82" s="984"/>
      <c r="U82" s="984"/>
      <c r="V82" s="984"/>
      <c r="W82" s="984"/>
      <c r="X82" s="984"/>
      <c r="Y82" s="984"/>
      <c r="Z82" s="984"/>
      <c r="AA82" s="984"/>
      <c r="AB82" s="984"/>
      <c r="AC82" s="984"/>
    </row>
    <row r="83" spans="1:33">
      <c r="A83" s="156"/>
      <c r="B83" s="48"/>
      <c r="C83" s="339"/>
      <c r="D83" s="339"/>
      <c r="E83" s="339"/>
      <c r="F83" s="339"/>
      <c r="G83" s="274"/>
      <c r="H83" s="156"/>
      <c r="I83" s="156"/>
      <c r="J83" s="991"/>
      <c r="K83" s="984"/>
      <c r="L83" s="984"/>
      <c r="M83" s="984"/>
      <c r="N83" s="984"/>
      <c r="O83" s="984"/>
      <c r="P83" s="984"/>
      <c r="Q83" s="984"/>
      <c r="R83" s="984"/>
      <c r="S83" s="984"/>
      <c r="T83" s="984"/>
      <c r="U83" s="984"/>
      <c r="V83" s="984"/>
      <c r="W83" s="984"/>
      <c r="X83" s="984"/>
      <c r="Y83" s="984"/>
      <c r="Z83" s="984"/>
      <c r="AA83" s="984"/>
      <c r="AB83" s="984"/>
      <c r="AC83" s="984"/>
    </row>
    <row r="84" spans="1:33">
      <c r="A84" s="156"/>
      <c r="B84" s="48" t="s">
        <v>24</v>
      </c>
      <c r="C84" s="983">
        <f>C37</f>
        <v>0.12</v>
      </c>
      <c r="D84" s="983"/>
      <c r="E84" s="983"/>
      <c r="F84" s="983"/>
      <c r="G84" s="2558" t="s">
        <v>472</v>
      </c>
      <c r="H84" s="2558"/>
      <c r="I84" s="2558"/>
      <c r="J84" s="2559"/>
      <c r="K84" s="984"/>
      <c r="L84" s="984"/>
      <c r="M84" s="984"/>
      <c r="N84" s="984"/>
      <c r="O84" s="984"/>
      <c r="P84" s="984"/>
      <c r="Q84" s="984"/>
      <c r="R84" s="984"/>
      <c r="S84" s="984"/>
      <c r="T84" s="984"/>
      <c r="U84" s="984"/>
      <c r="V84" s="984"/>
      <c r="W84" s="984"/>
      <c r="X84" s="984"/>
      <c r="Y84" s="984"/>
      <c r="Z84" s="984"/>
      <c r="AA84" s="984"/>
      <c r="AB84" s="984"/>
      <c r="AC84" s="984"/>
    </row>
    <row r="85" spans="1:33">
      <c r="A85" s="156"/>
      <c r="B85" s="1034" t="str">
        <f>B38</f>
        <v>PFLMA Trust Contribution</v>
      </c>
      <c r="C85" s="1035">
        <f>C38</f>
        <v>3.7000000000000002E-3</v>
      </c>
      <c r="D85" s="983"/>
      <c r="E85" s="983"/>
      <c r="F85" s="983"/>
      <c r="G85" s="1650" t="str">
        <f>G38</f>
        <v>Effective 10/2019</v>
      </c>
      <c r="H85" s="857"/>
      <c r="I85" s="857"/>
      <c r="J85" s="858"/>
      <c r="K85" s="984"/>
      <c r="L85" s="984"/>
      <c r="M85" s="984"/>
      <c r="N85" s="984"/>
      <c r="O85" s="984"/>
      <c r="P85" s="984"/>
      <c r="Q85" s="984"/>
      <c r="R85" s="984"/>
      <c r="S85" s="984"/>
      <c r="T85" s="984"/>
      <c r="U85" s="984"/>
      <c r="V85" s="984"/>
      <c r="W85" s="984"/>
      <c r="X85" s="984"/>
      <c r="Y85" s="984"/>
      <c r="Z85" s="984"/>
      <c r="AA85" s="984"/>
      <c r="AB85" s="984"/>
      <c r="AC85" s="984"/>
    </row>
    <row r="86" spans="1:33">
      <c r="A86" s="156"/>
      <c r="B86" s="48"/>
      <c r="C86" s="983"/>
      <c r="D86" s="983"/>
      <c r="E86" s="983"/>
      <c r="F86" s="983"/>
      <c r="G86" s="857"/>
      <c r="H86" s="857"/>
      <c r="I86" s="857"/>
      <c r="J86" s="858"/>
      <c r="K86" s="984"/>
      <c r="L86" s="984"/>
      <c r="M86" s="984"/>
      <c r="N86" s="984"/>
      <c r="O86" s="984"/>
      <c r="P86" s="984"/>
      <c r="Q86" s="984"/>
      <c r="R86" s="984"/>
      <c r="S86" s="984"/>
      <c r="T86" s="984"/>
      <c r="U86" s="984"/>
      <c r="V86" s="984"/>
      <c r="W86" s="984"/>
      <c r="X86" s="984"/>
      <c r="Y86" s="984"/>
      <c r="Z86" s="984"/>
      <c r="AA86" s="984"/>
      <c r="AB86" s="984"/>
      <c r="AC86" s="984"/>
    </row>
    <row r="87" spans="1:33">
      <c r="A87" s="156"/>
      <c r="B87" s="48" t="s">
        <v>37</v>
      </c>
      <c r="C87" s="983">
        <f>C40</f>
        <v>7.6809383045675458E-2</v>
      </c>
      <c r="D87" s="339"/>
      <c r="E87" s="339"/>
      <c r="F87" s="339"/>
      <c r="G87" s="304" t="s">
        <v>781</v>
      </c>
      <c r="H87" s="156"/>
      <c r="I87" s="156"/>
      <c r="J87" s="991"/>
      <c r="K87" s="984"/>
      <c r="L87" s="984"/>
      <c r="M87" s="984"/>
      <c r="N87" s="984"/>
      <c r="O87" s="984"/>
      <c r="P87" s="984"/>
      <c r="Q87" s="984"/>
      <c r="R87" s="984"/>
      <c r="S87" s="984"/>
      <c r="T87" s="984"/>
      <c r="U87" s="984"/>
      <c r="V87" s="984"/>
      <c r="W87" s="984"/>
      <c r="X87" s="984"/>
      <c r="Y87" s="984"/>
      <c r="Z87" s="984"/>
      <c r="AA87" s="984"/>
      <c r="AB87" s="984"/>
      <c r="AC87" s="984"/>
    </row>
    <row r="88" spans="1:33" ht="13.5" thickBot="1">
      <c r="A88" s="156"/>
      <c r="B88" s="1062" t="s">
        <v>37</v>
      </c>
      <c r="C88" s="1063">
        <v>1.78E-2</v>
      </c>
      <c r="D88" s="1064"/>
      <c r="E88" s="1064"/>
      <c r="F88" s="1064"/>
      <c r="G88" s="1065" t="s">
        <v>780</v>
      </c>
      <c r="H88" s="281"/>
      <c r="I88" s="281"/>
      <c r="J88" s="282"/>
      <c r="K88" s="984"/>
      <c r="L88" s="984"/>
      <c r="M88" s="984"/>
      <c r="N88" s="984"/>
      <c r="O88" s="984"/>
      <c r="P88" s="984"/>
      <c r="Q88" s="984"/>
      <c r="R88" s="984"/>
      <c r="S88" s="984"/>
      <c r="T88" s="984"/>
      <c r="U88" s="984"/>
      <c r="V88" s="984"/>
      <c r="W88" s="984"/>
      <c r="X88" s="984"/>
      <c r="Y88" s="984"/>
      <c r="Z88" s="984"/>
      <c r="AA88" s="984"/>
      <c r="AB88" s="984"/>
      <c r="AC88" s="984"/>
    </row>
    <row r="89" spans="1:33">
      <c r="A89" s="156"/>
      <c r="B89" s="156"/>
      <c r="C89" s="156"/>
      <c r="D89" s="156"/>
      <c r="E89" s="156"/>
      <c r="F89" s="156"/>
      <c r="G89" s="156"/>
      <c r="H89" s="156"/>
      <c r="I89" s="156"/>
      <c r="J89" s="156"/>
      <c r="K89" s="984"/>
      <c r="L89" s="984"/>
      <c r="M89" s="984"/>
      <c r="N89" s="984"/>
      <c r="O89" s="984"/>
      <c r="P89" s="984"/>
      <c r="Q89" s="984"/>
      <c r="R89" s="984"/>
      <c r="S89" s="984"/>
      <c r="T89" s="984"/>
      <c r="U89" s="984"/>
      <c r="V89" s="984"/>
      <c r="W89" s="984"/>
      <c r="X89" s="984"/>
      <c r="Y89" s="984"/>
      <c r="Z89" s="984"/>
      <c r="AA89" s="984"/>
      <c r="AB89" s="984"/>
      <c r="AC89" s="984"/>
    </row>
    <row r="90" spans="1:33" s="984" customFormat="1">
      <c r="A90" s="156"/>
      <c r="B90" s="1067" t="s">
        <v>568</v>
      </c>
      <c r="C90" s="156"/>
      <c r="D90" s="156"/>
      <c r="E90" s="156"/>
      <c r="F90" s="156"/>
      <c r="G90" s="156"/>
      <c r="H90" s="156"/>
      <c r="I90" s="156"/>
      <c r="J90" s="156"/>
    </row>
    <row r="91" spans="1:33" s="984" customFormat="1">
      <c r="A91" s="156"/>
      <c r="B91" s="334" t="s">
        <v>401</v>
      </c>
      <c r="C91" s="1068" t="s">
        <v>400</v>
      </c>
      <c r="D91" s="1068" t="s">
        <v>394</v>
      </c>
      <c r="E91" s="1068" t="s">
        <v>395</v>
      </c>
      <c r="F91" s="1068" t="s">
        <v>396</v>
      </c>
      <c r="G91" s="1068" t="s">
        <v>397</v>
      </c>
      <c r="H91" s="1068" t="s">
        <v>398</v>
      </c>
      <c r="I91" s="1068" t="s">
        <v>399</v>
      </c>
      <c r="J91" s="156"/>
    </row>
    <row r="92" spans="1:33" s="984" customFormat="1">
      <c r="A92" s="156"/>
      <c r="B92" s="1069" t="s">
        <v>391</v>
      </c>
      <c r="C92" s="1070">
        <v>8</v>
      </c>
      <c r="D92" s="1070">
        <v>8</v>
      </c>
      <c r="E92" s="1070">
        <v>8</v>
      </c>
      <c r="F92" s="1070">
        <v>8</v>
      </c>
      <c r="G92" s="1070">
        <v>8</v>
      </c>
      <c r="H92" s="1070">
        <v>8</v>
      </c>
      <c r="I92" s="1070">
        <v>8</v>
      </c>
      <c r="J92" s="156"/>
    </row>
    <row r="93" spans="1:33" s="984" customFormat="1">
      <c r="B93" s="1069" t="s">
        <v>392</v>
      </c>
      <c r="C93" s="1070">
        <v>8</v>
      </c>
      <c r="D93" s="1070">
        <v>8</v>
      </c>
      <c r="E93" s="1070">
        <v>8</v>
      </c>
      <c r="F93" s="1070">
        <v>8</v>
      </c>
      <c r="G93" s="1070">
        <v>8</v>
      </c>
      <c r="H93" s="1070">
        <v>8</v>
      </c>
      <c r="I93" s="1070">
        <v>8</v>
      </c>
      <c r="J93" s="156"/>
    </row>
    <row r="94" spans="1:33" s="984" customFormat="1">
      <c r="B94" s="1069" t="s">
        <v>393</v>
      </c>
      <c r="C94" s="1070">
        <v>8</v>
      </c>
      <c r="D94" s="1070">
        <v>8</v>
      </c>
      <c r="E94" s="1070">
        <v>8</v>
      </c>
      <c r="F94" s="1070">
        <v>8</v>
      </c>
      <c r="G94" s="1070">
        <v>8</v>
      </c>
      <c r="H94" s="1070">
        <v>8</v>
      </c>
      <c r="I94" s="1070">
        <v>8</v>
      </c>
      <c r="J94" s="156"/>
      <c r="AD94" s="1085"/>
      <c r="AE94" s="1085"/>
      <c r="AF94" s="1085"/>
      <c r="AG94" s="1085"/>
    </row>
    <row r="95" spans="1:33" s="984" customFormat="1">
      <c r="B95" s="1069" t="str">
        <f>"Total"&amp;" = "&amp;(SUM(C95:I95))</f>
        <v>Total = 168</v>
      </c>
      <c r="C95" s="1071">
        <f>SUM(C92:C94)</f>
        <v>24</v>
      </c>
      <c r="D95" s="1071">
        <f t="shared" ref="D95:I95" si="1">SUM(D92:D94)</f>
        <v>24</v>
      </c>
      <c r="E95" s="1071">
        <f t="shared" si="1"/>
        <v>24</v>
      </c>
      <c r="F95" s="1071">
        <f t="shared" si="1"/>
        <v>24</v>
      </c>
      <c r="G95" s="1071">
        <f t="shared" si="1"/>
        <v>24</v>
      </c>
      <c r="H95" s="1071">
        <f t="shared" si="1"/>
        <v>24</v>
      </c>
      <c r="I95" s="1071">
        <f t="shared" si="1"/>
        <v>24</v>
      </c>
      <c r="J95" s="156"/>
    </row>
    <row r="96" spans="1:33" s="984" customFormat="1">
      <c r="B96" s="156"/>
      <c r="C96" s="156"/>
      <c r="D96" s="39"/>
      <c r="E96" s="39"/>
      <c r="F96" s="39"/>
      <c r="G96" s="39"/>
      <c r="H96" s="39"/>
      <c r="I96" s="39"/>
      <c r="J96" s="156"/>
    </row>
    <row r="97" spans="30:33" s="984" customFormat="1"/>
    <row r="98" spans="30:33" s="984" customFormat="1"/>
    <row r="99" spans="30:33" s="984" customFormat="1"/>
    <row r="100" spans="30:33" s="984" customFormat="1"/>
    <row r="101" spans="30:33" s="984" customFormat="1">
      <c r="AD101" s="1085"/>
      <c r="AE101" s="1085"/>
      <c r="AF101" s="1085"/>
      <c r="AG101" s="1085"/>
    </row>
    <row r="102" spans="30:33" s="984" customFormat="1"/>
    <row r="103" spans="30:33" s="984" customFormat="1"/>
    <row r="104" spans="30:33" s="984" customFormat="1"/>
    <row r="105" spans="30:33" s="984" customFormat="1"/>
    <row r="106" spans="30:33" s="984" customFormat="1"/>
    <row r="107" spans="30:33" s="984" customFormat="1"/>
    <row r="108" spans="30:33" s="984" customFormat="1"/>
    <row r="109" spans="30:33" s="984" customFormat="1"/>
    <row r="110" spans="30:33" s="984" customFormat="1"/>
    <row r="111" spans="30:33" s="984" customFormat="1"/>
    <row r="112" spans="30:33" s="984" customFormat="1"/>
    <row r="113" s="984" customFormat="1"/>
    <row r="114" s="984" customFormat="1"/>
    <row r="115" s="984" customFormat="1"/>
    <row r="116" s="984" customFormat="1"/>
    <row r="117" s="984" customFormat="1"/>
    <row r="118" s="984" customFormat="1"/>
    <row r="119" s="984" customFormat="1"/>
    <row r="120" s="984" customFormat="1"/>
    <row r="121" s="984" customFormat="1"/>
    <row r="122" s="984" customFormat="1"/>
    <row r="123" s="984" customFormat="1"/>
    <row r="124" s="984" customFormat="1"/>
    <row r="125" s="984" customFormat="1"/>
    <row r="126" s="984" customFormat="1"/>
    <row r="127" s="984" customFormat="1"/>
    <row r="128" s="984" customFormat="1"/>
    <row r="129" s="984" customFormat="1"/>
    <row r="130" s="984" customFormat="1"/>
    <row r="131" s="984" customFormat="1"/>
    <row r="132" s="984" customFormat="1"/>
    <row r="133" s="984" customFormat="1"/>
    <row r="134" s="984" customFormat="1"/>
    <row r="135" s="984" customFormat="1"/>
    <row r="136" s="984" customFormat="1"/>
    <row r="137" s="984" customFormat="1"/>
    <row r="138" s="984" customFormat="1"/>
    <row r="139" s="984" customFormat="1"/>
    <row r="140" s="984" customFormat="1"/>
    <row r="141" s="984" customFormat="1"/>
    <row r="142" s="984" customFormat="1"/>
    <row r="143" s="984" customFormat="1"/>
    <row r="144" s="984" customFormat="1"/>
    <row r="145" s="984" customFormat="1"/>
    <row r="146" s="984" customFormat="1"/>
    <row r="147" s="984" customFormat="1"/>
    <row r="148" s="984" customFormat="1"/>
    <row r="149" s="984" customFormat="1"/>
    <row r="150" s="984" customFormat="1"/>
    <row r="151" s="984" customFormat="1"/>
    <row r="152" s="984" customFormat="1"/>
    <row r="153" s="984" customFormat="1"/>
    <row r="154" s="984" customFormat="1"/>
    <row r="155" s="984" customFormat="1"/>
    <row r="156" s="984" customFormat="1"/>
    <row r="157" s="984" customFormat="1"/>
    <row r="158" s="984" customFormat="1"/>
    <row r="159" s="984" customFormat="1"/>
    <row r="160" s="984" customFormat="1"/>
    <row r="161" s="984" customFormat="1"/>
    <row r="162" s="984" customFormat="1"/>
    <row r="163" s="984" customFormat="1"/>
    <row r="164" s="984" customFormat="1"/>
    <row r="165" s="984" customFormat="1"/>
    <row r="166" s="984" customFormat="1"/>
    <row r="167" s="984" customFormat="1"/>
    <row r="168" s="984" customFormat="1"/>
    <row r="169" s="984" customFormat="1"/>
    <row r="170" s="984" customFormat="1"/>
    <row r="171" s="984" customFormat="1"/>
    <row r="172" s="984" customFormat="1"/>
    <row r="173" s="984" customFormat="1"/>
    <row r="174" s="984" customFormat="1"/>
    <row r="175" s="984" customFormat="1"/>
    <row r="176" s="984" customFormat="1"/>
    <row r="177" s="984" customFormat="1"/>
    <row r="178" s="984" customFormat="1"/>
    <row r="179" s="984" customFormat="1"/>
    <row r="180" s="984" customFormat="1"/>
    <row r="181" s="984" customFormat="1"/>
    <row r="182" s="984" customFormat="1"/>
    <row r="183" s="984" customFormat="1"/>
    <row r="184" s="984" customFormat="1"/>
    <row r="185" s="984" customFormat="1"/>
    <row r="186" s="984" customFormat="1"/>
    <row r="187" s="984" customFormat="1"/>
    <row r="188" s="984" customFormat="1"/>
    <row r="189" s="984" customFormat="1"/>
    <row r="190" s="984" customFormat="1"/>
    <row r="191" s="984" customFormat="1"/>
    <row r="192" s="984" customFormat="1"/>
    <row r="193" s="984" customFormat="1"/>
    <row r="194" s="984" customFormat="1"/>
    <row r="195" s="984" customFormat="1"/>
    <row r="196" s="984" customFormat="1"/>
    <row r="197" s="984" customFormat="1"/>
    <row r="198" s="984" customFormat="1"/>
    <row r="199" s="984" customFormat="1"/>
    <row r="200" s="984" customFormat="1"/>
    <row r="201" s="984" customFormat="1"/>
    <row r="202" s="984" customFormat="1"/>
    <row r="203" s="984" customFormat="1"/>
    <row r="204" s="984" customFormat="1"/>
    <row r="205" s="984" customFormat="1"/>
    <row r="206" s="984" customFormat="1"/>
    <row r="207" s="984" customFormat="1"/>
    <row r="208" s="984" customFormat="1"/>
    <row r="209" s="984" customFormat="1"/>
    <row r="210" s="984" customFormat="1"/>
    <row r="211" s="984" customFormat="1"/>
    <row r="212" s="984" customFormat="1"/>
    <row r="213" s="984" customFormat="1"/>
    <row r="214" s="984" customFormat="1"/>
    <row r="215" s="984" customFormat="1"/>
    <row r="216" s="984" customFormat="1"/>
    <row r="217" s="984" customFormat="1"/>
    <row r="218" s="984" customFormat="1"/>
    <row r="219" s="984" customFormat="1"/>
    <row r="220" s="984" customFormat="1"/>
    <row r="221" s="984" customFormat="1"/>
    <row r="222" s="984" customFormat="1"/>
    <row r="223" s="984" customFormat="1"/>
    <row r="224" s="984" customFormat="1"/>
    <row r="225" s="984" customFormat="1"/>
    <row r="226" s="984" customFormat="1"/>
    <row r="227" s="984" customFormat="1"/>
    <row r="228" s="984" customFormat="1"/>
    <row r="229" s="984" customFormat="1"/>
    <row r="230" s="984" customFormat="1"/>
    <row r="231" s="984" customFormat="1"/>
    <row r="232" s="984" customFormat="1"/>
    <row r="233" s="984" customFormat="1"/>
    <row r="234" s="984" customFormat="1"/>
    <row r="235" s="984" customFormat="1"/>
    <row r="236" s="984" customFormat="1"/>
    <row r="237" s="984" customFormat="1"/>
    <row r="238" s="984" customFormat="1"/>
    <row r="239" s="984" customFormat="1"/>
    <row r="240" s="984" customFormat="1"/>
    <row r="241" s="984" customFormat="1"/>
    <row r="242" s="984" customFormat="1"/>
    <row r="243" s="984" customFormat="1"/>
    <row r="244" s="984" customFormat="1"/>
    <row r="245" s="984" customFormat="1"/>
    <row r="246" s="984" customFormat="1"/>
    <row r="247" s="984" customFormat="1"/>
    <row r="248" s="984" customFormat="1"/>
    <row r="249" s="984" customFormat="1"/>
    <row r="250" s="984" customFormat="1"/>
    <row r="251" s="984" customFormat="1"/>
    <row r="252" s="984" customFormat="1"/>
    <row r="253" s="984" customFormat="1"/>
    <row r="254" s="984" customFormat="1"/>
    <row r="255" s="984" customFormat="1"/>
    <row r="256" s="984" customFormat="1"/>
    <row r="257" s="984" customFormat="1"/>
    <row r="258" s="984" customFormat="1"/>
    <row r="259" s="984" customFormat="1"/>
    <row r="260" s="984" customFormat="1"/>
    <row r="261" s="984" customFormat="1"/>
    <row r="262" s="984" customFormat="1"/>
    <row r="263" s="984" customFormat="1"/>
    <row r="264" s="984" customFormat="1"/>
    <row r="265" s="984" customFormat="1"/>
    <row r="266" s="984" customFormat="1"/>
    <row r="267" s="984" customFormat="1"/>
    <row r="268" s="984" customFormat="1"/>
    <row r="269" s="984" customFormat="1"/>
    <row r="270" s="984" customFormat="1"/>
    <row r="271" s="984" customFormat="1"/>
    <row r="272" s="984" customFormat="1"/>
    <row r="273" s="984" customFormat="1"/>
    <row r="274" s="984" customFormat="1"/>
    <row r="275" s="984" customFormat="1"/>
    <row r="276" s="984" customFormat="1"/>
    <row r="277" s="984" customFormat="1"/>
    <row r="278" s="984" customFormat="1"/>
    <row r="279" s="984" customFormat="1"/>
    <row r="280" s="984" customFormat="1"/>
    <row r="281" s="984" customFormat="1"/>
    <row r="282" s="984" customFormat="1"/>
    <row r="283" s="984" customFormat="1"/>
    <row r="284" s="984" customFormat="1"/>
    <row r="285" s="984" customFormat="1"/>
    <row r="286" s="984" customFormat="1"/>
    <row r="287" s="984" customFormat="1"/>
    <row r="288" s="984" customFormat="1"/>
    <row r="289" s="984" customFormat="1"/>
    <row r="290" s="984" customFormat="1"/>
    <row r="291" s="984" customFormat="1"/>
    <row r="292" s="984" customFormat="1"/>
    <row r="293" s="984" customFormat="1"/>
    <row r="294" s="984" customFormat="1"/>
    <row r="295" s="984" customFormat="1"/>
    <row r="296" s="984" customFormat="1"/>
    <row r="297" s="984" customFormat="1"/>
    <row r="298" s="984" customFormat="1"/>
    <row r="299" s="984" customFormat="1"/>
    <row r="300" s="984" customFormat="1"/>
    <row r="301" s="984" customFormat="1"/>
    <row r="302" s="984" customFormat="1"/>
    <row r="303" s="984" customFormat="1"/>
    <row r="304" s="984" customFormat="1"/>
    <row r="305" s="984" customFormat="1"/>
    <row r="306" s="984" customFormat="1"/>
    <row r="307" s="984" customFormat="1"/>
    <row r="308" s="984" customFormat="1"/>
    <row r="309" s="984" customFormat="1"/>
    <row r="310" s="984" customFormat="1"/>
    <row r="311" s="984" customFormat="1"/>
    <row r="312" s="984" customFormat="1"/>
    <row r="313" s="984" customFormat="1"/>
    <row r="314" s="984" customFormat="1"/>
    <row r="315" s="984" customFormat="1"/>
    <row r="316" s="984" customFormat="1"/>
    <row r="317" s="984" customFormat="1"/>
    <row r="318" s="984" customFormat="1"/>
    <row r="319" s="984" customFormat="1"/>
    <row r="320" s="984" customFormat="1"/>
    <row r="321" s="984" customFormat="1"/>
    <row r="322" s="984" customFormat="1"/>
    <row r="323" s="984" customFormat="1"/>
    <row r="324" s="984" customFormat="1"/>
    <row r="325" s="984" customFormat="1"/>
    <row r="326" s="984" customFormat="1"/>
    <row r="327" s="984" customFormat="1"/>
    <row r="328" s="984" customFormat="1"/>
    <row r="329" s="984" customFormat="1"/>
    <row r="330" s="984" customFormat="1"/>
    <row r="331" s="984" customFormat="1"/>
    <row r="332" s="984" customFormat="1"/>
    <row r="333" s="984" customFormat="1"/>
    <row r="334" s="984" customFormat="1"/>
    <row r="335" s="984" customFormat="1"/>
    <row r="336" s="984" customFormat="1"/>
    <row r="337" s="984" customFormat="1"/>
    <row r="338" s="984" customFormat="1"/>
    <row r="339" s="984" customFormat="1"/>
    <row r="340" s="984" customFormat="1"/>
    <row r="341" s="984" customFormat="1"/>
    <row r="342" s="984" customFormat="1"/>
    <row r="343" s="984" customFormat="1"/>
    <row r="344" s="984" customFormat="1"/>
    <row r="345" s="984" customFormat="1"/>
    <row r="346" s="984" customFormat="1"/>
    <row r="347" s="984" customFormat="1"/>
    <row r="348" s="984" customFormat="1"/>
    <row r="349" s="984" customFormat="1"/>
    <row r="350" s="984" customFormat="1"/>
    <row r="351" s="984" customFormat="1"/>
    <row r="352" s="984" customFormat="1"/>
    <row r="353" s="984" customFormat="1"/>
    <row r="354" s="984" customFormat="1"/>
    <row r="355" s="984" customFormat="1"/>
    <row r="356" s="984" customFormat="1"/>
    <row r="357" s="984" customFormat="1"/>
    <row r="358" s="984" customFormat="1"/>
    <row r="359" s="984" customFormat="1"/>
    <row r="360" s="984" customFormat="1"/>
    <row r="361" s="984" customFormat="1"/>
    <row r="362" s="984" customFormat="1"/>
    <row r="363" s="984" customFormat="1"/>
    <row r="364" s="984" customFormat="1"/>
    <row r="365" s="984" customFormat="1"/>
    <row r="366" s="984" customFormat="1"/>
    <row r="367" s="984" customFormat="1"/>
    <row r="368" s="984" customFormat="1"/>
    <row r="369" s="984" customFormat="1"/>
    <row r="370" s="984" customFormat="1"/>
    <row r="371" s="984" customFormat="1"/>
    <row r="372" s="984" customFormat="1"/>
    <row r="373" s="984" customFormat="1"/>
    <row r="374" s="984" customFormat="1"/>
    <row r="375" s="984" customFormat="1"/>
    <row r="376" s="984" customFormat="1"/>
    <row r="377" s="984" customFormat="1"/>
    <row r="378" s="984" customFormat="1"/>
    <row r="379" s="984" customFormat="1"/>
    <row r="380" s="984" customFormat="1"/>
    <row r="381" s="984" customFormat="1"/>
    <row r="382" s="984" customFormat="1"/>
    <row r="383" s="984" customFormat="1"/>
    <row r="384" s="984" customFormat="1"/>
    <row r="385" s="984" customFormat="1"/>
    <row r="386" s="984" customFormat="1"/>
    <row r="387" s="984" customFormat="1"/>
    <row r="388" s="984" customFormat="1"/>
    <row r="389" s="984" customFormat="1"/>
    <row r="390" s="984" customFormat="1"/>
    <row r="391" s="984" customFormat="1"/>
    <row r="392" s="984" customFormat="1"/>
    <row r="393" s="984" customFormat="1"/>
    <row r="394" s="984" customFormat="1"/>
    <row r="395" s="984" customFormat="1"/>
    <row r="396" s="984" customFormat="1"/>
    <row r="397" s="984" customFormat="1"/>
    <row r="398" s="984" customFormat="1"/>
    <row r="399" s="984" customFormat="1"/>
    <row r="400" s="984" customFormat="1"/>
    <row r="401" s="984" customFormat="1"/>
    <row r="402" s="984" customFormat="1"/>
    <row r="403" s="984" customFormat="1"/>
    <row r="404" s="984" customFormat="1"/>
    <row r="405" s="984" customFormat="1"/>
    <row r="406" s="984" customFormat="1"/>
    <row r="407" s="984" customFormat="1"/>
    <row r="408" s="984" customFormat="1"/>
    <row r="409" s="984" customFormat="1"/>
    <row r="410" s="984" customFormat="1"/>
    <row r="411" s="984" customFormat="1"/>
    <row r="412" s="984" customFormat="1"/>
    <row r="413" s="984" customFormat="1"/>
    <row r="414" s="984" customFormat="1"/>
    <row r="415" s="984" customFormat="1"/>
    <row r="416" s="984" customFormat="1"/>
    <row r="417" spans="12:28" s="984" customFormat="1"/>
    <row r="418" spans="12:28" s="984" customFormat="1"/>
    <row r="419" spans="12:28" s="984" customFormat="1"/>
    <row r="420" spans="12:28" s="984" customFormat="1"/>
    <row r="421" spans="12:28" s="984" customFormat="1"/>
    <row r="422" spans="12:28" s="984" customFormat="1"/>
    <row r="423" spans="12:28" s="984" customFormat="1"/>
    <row r="424" spans="12:28" s="984" customFormat="1"/>
    <row r="425" spans="12:28" s="984" customFormat="1"/>
    <row r="426" spans="12:28" s="984" customFormat="1"/>
    <row r="427" spans="12:28" s="984" customFormat="1"/>
    <row r="428" spans="12:28" s="984" customFormat="1"/>
    <row r="429" spans="12:28" s="984" customFormat="1"/>
    <row r="430" spans="12:28" s="984" customFormat="1">
      <c r="L430" s="985"/>
      <c r="M430" s="985"/>
      <c r="N430" s="985"/>
      <c r="O430" s="985"/>
      <c r="P430" s="985"/>
      <c r="R430" s="985"/>
      <c r="S430" s="985"/>
      <c r="T430" s="985"/>
      <c r="U430" s="985"/>
      <c r="V430" s="985"/>
      <c r="X430" s="985"/>
      <c r="Y430" s="985"/>
      <c r="Z430" s="985"/>
      <c r="AA430" s="985"/>
      <c r="AB430" s="985"/>
    </row>
    <row r="431" spans="12:28" s="984" customFormat="1">
      <c r="L431" s="985"/>
      <c r="M431" s="985"/>
      <c r="N431" s="985"/>
      <c r="O431" s="985"/>
      <c r="P431" s="985"/>
      <c r="R431" s="985"/>
      <c r="S431" s="985"/>
      <c r="T431" s="985"/>
      <c r="U431" s="985"/>
      <c r="V431" s="985"/>
      <c r="X431" s="985"/>
      <c r="Y431" s="985"/>
      <c r="Z431" s="985"/>
      <c r="AA431" s="985"/>
      <c r="AB431" s="985"/>
    </row>
    <row r="432" spans="12:28" s="984" customFormat="1">
      <c r="L432" s="985"/>
      <c r="M432" s="985"/>
      <c r="N432" s="985"/>
      <c r="O432" s="985"/>
      <c r="P432" s="985"/>
      <c r="R432" s="985"/>
      <c r="S432" s="985"/>
      <c r="T432" s="985"/>
      <c r="U432" s="985"/>
      <c r="V432" s="985"/>
      <c r="X432" s="985"/>
      <c r="Y432" s="985"/>
      <c r="Z432" s="985"/>
      <c r="AA432" s="985"/>
      <c r="AB432" s="985"/>
    </row>
    <row r="433" spans="11:29" s="984" customFormat="1">
      <c r="L433" s="985"/>
      <c r="M433" s="985"/>
      <c r="N433" s="985"/>
      <c r="O433" s="985"/>
      <c r="P433" s="985"/>
      <c r="R433" s="985"/>
      <c r="S433" s="985"/>
      <c r="T433" s="985"/>
      <c r="U433" s="985"/>
      <c r="V433" s="985"/>
      <c r="W433" s="985"/>
      <c r="X433" s="985"/>
      <c r="Y433" s="985"/>
      <c r="Z433" s="985"/>
      <c r="AA433" s="985"/>
      <c r="AB433" s="985"/>
    </row>
    <row r="434" spans="11:29" s="984" customFormat="1">
      <c r="L434" s="985"/>
      <c r="M434" s="985"/>
      <c r="N434" s="985"/>
      <c r="O434" s="985"/>
      <c r="P434" s="985"/>
      <c r="R434" s="985"/>
      <c r="S434" s="985"/>
      <c r="T434" s="985"/>
      <c r="U434" s="985"/>
      <c r="V434" s="985"/>
      <c r="W434" s="985"/>
      <c r="X434" s="985"/>
      <c r="Y434" s="985"/>
      <c r="Z434" s="985"/>
      <c r="AA434" s="985"/>
      <c r="AB434" s="985"/>
    </row>
    <row r="435" spans="11:29" s="984" customFormat="1">
      <c r="L435" s="985"/>
      <c r="M435" s="985"/>
      <c r="N435" s="985"/>
      <c r="O435" s="985"/>
      <c r="P435" s="985"/>
      <c r="R435" s="985"/>
      <c r="S435" s="985"/>
      <c r="T435" s="985"/>
      <c r="U435" s="985"/>
      <c r="V435" s="985"/>
      <c r="W435" s="985"/>
      <c r="X435" s="985"/>
      <c r="Y435" s="985"/>
      <c r="Z435" s="985"/>
      <c r="AA435" s="985"/>
      <c r="AB435" s="985"/>
    </row>
    <row r="436" spans="11:29" s="984" customFormat="1">
      <c r="L436" s="985"/>
      <c r="M436" s="985"/>
      <c r="N436" s="985"/>
      <c r="O436" s="985"/>
      <c r="P436" s="985"/>
      <c r="R436" s="985"/>
      <c r="S436" s="985"/>
      <c r="T436" s="985"/>
      <c r="U436" s="985"/>
      <c r="V436" s="985"/>
      <c r="W436" s="985"/>
      <c r="X436" s="985"/>
      <c r="Y436" s="985"/>
      <c r="Z436" s="985"/>
      <c r="AA436" s="985"/>
      <c r="AB436" s="985"/>
    </row>
    <row r="437" spans="11:29" s="984" customFormat="1">
      <c r="L437" s="985"/>
      <c r="M437" s="985"/>
      <c r="N437" s="985"/>
      <c r="O437" s="985"/>
      <c r="P437" s="985"/>
      <c r="R437" s="985"/>
      <c r="S437" s="985"/>
      <c r="T437" s="985"/>
      <c r="U437" s="985"/>
      <c r="V437" s="985"/>
      <c r="W437" s="985"/>
      <c r="X437" s="985"/>
      <c r="Y437" s="985"/>
      <c r="Z437" s="985"/>
      <c r="AA437" s="985"/>
      <c r="AB437" s="985"/>
    </row>
    <row r="438" spans="11:29" s="984" customFormat="1">
      <c r="L438" s="985"/>
      <c r="M438" s="985"/>
      <c r="N438" s="985"/>
      <c r="O438" s="985"/>
      <c r="P438" s="985"/>
      <c r="Q438" s="985"/>
      <c r="R438" s="985"/>
      <c r="S438" s="985"/>
      <c r="T438" s="985"/>
      <c r="U438" s="985"/>
      <c r="V438" s="985"/>
      <c r="W438" s="985"/>
      <c r="X438" s="985"/>
      <c r="Y438" s="985"/>
      <c r="Z438" s="985"/>
      <c r="AA438" s="985"/>
      <c r="AB438" s="985"/>
    </row>
    <row r="439" spans="11:29" s="984" customFormat="1">
      <c r="L439" s="985"/>
      <c r="M439" s="985"/>
      <c r="N439" s="985"/>
      <c r="O439" s="985"/>
      <c r="P439" s="985"/>
      <c r="Q439" s="985"/>
      <c r="R439" s="985"/>
      <c r="S439" s="985"/>
      <c r="T439" s="985"/>
      <c r="U439" s="985"/>
      <c r="V439" s="985"/>
      <c r="W439" s="985"/>
      <c r="X439" s="985"/>
      <c r="Y439" s="985"/>
      <c r="Z439" s="985"/>
      <c r="AA439" s="985"/>
      <c r="AB439" s="985"/>
      <c r="AC439" s="985"/>
    </row>
    <row r="440" spans="11:29" s="984" customFormat="1">
      <c r="K440" s="985"/>
      <c r="L440" s="985"/>
      <c r="M440" s="985"/>
      <c r="N440" s="985"/>
      <c r="O440" s="985"/>
      <c r="P440" s="985"/>
      <c r="Q440" s="985"/>
      <c r="R440" s="985"/>
      <c r="S440" s="985"/>
      <c r="T440" s="985"/>
      <c r="U440" s="985"/>
      <c r="V440" s="985"/>
      <c r="W440" s="985"/>
      <c r="X440" s="985"/>
      <c r="Y440" s="985"/>
      <c r="Z440" s="985"/>
      <c r="AA440" s="985"/>
      <c r="AB440" s="985"/>
      <c r="AC440" s="985"/>
    </row>
    <row r="441" spans="11:29" s="984" customFormat="1">
      <c r="K441" s="985"/>
      <c r="L441" s="985"/>
      <c r="M441" s="985"/>
      <c r="N441" s="985"/>
      <c r="O441" s="985"/>
      <c r="P441" s="985"/>
      <c r="Q441" s="985"/>
      <c r="R441" s="985"/>
      <c r="S441" s="985"/>
      <c r="T441" s="985"/>
      <c r="U441" s="985"/>
      <c r="V441" s="985"/>
      <c r="W441" s="985"/>
      <c r="X441" s="985"/>
      <c r="Y441" s="985"/>
      <c r="Z441" s="985"/>
      <c r="AA441" s="985"/>
      <c r="AB441" s="985"/>
      <c r="AC441" s="985"/>
    </row>
    <row r="442" spans="11:29" s="984" customFormat="1">
      <c r="K442" s="985"/>
      <c r="L442" s="985"/>
      <c r="M442" s="985"/>
      <c r="N442" s="985"/>
      <c r="O442" s="985"/>
      <c r="P442" s="985"/>
      <c r="Q442" s="985"/>
      <c r="R442" s="985"/>
      <c r="S442" s="985"/>
      <c r="T442" s="985"/>
      <c r="U442" s="985"/>
      <c r="V442" s="985"/>
      <c r="W442" s="985"/>
      <c r="X442" s="985"/>
      <c r="Y442" s="985"/>
      <c r="Z442" s="985"/>
      <c r="AA442" s="985"/>
      <c r="AB442" s="985"/>
      <c r="AC442" s="985"/>
    </row>
    <row r="443" spans="11:29" s="984" customFormat="1">
      <c r="K443" s="985"/>
      <c r="L443" s="985"/>
      <c r="M443" s="985"/>
      <c r="N443" s="985"/>
      <c r="O443" s="985"/>
      <c r="P443" s="985"/>
      <c r="Q443" s="985"/>
      <c r="R443" s="985"/>
      <c r="S443" s="985"/>
      <c r="T443" s="985"/>
      <c r="U443" s="985"/>
      <c r="V443" s="985"/>
      <c r="W443" s="985"/>
      <c r="X443" s="985"/>
      <c r="Y443" s="985"/>
      <c r="Z443" s="985"/>
      <c r="AA443" s="985"/>
      <c r="AB443" s="985"/>
      <c r="AC443" s="985"/>
    </row>
    <row r="444" spans="11:29" s="984" customFormat="1">
      <c r="K444" s="985"/>
      <c r="L444" s="985"/>
      <c r="M444" s="985"/>
      <c r="N444" s="985"/>
      <c r="O444" s="985"/>
      <c r="P444" s="985"/>
      <c r="Q444" s="985"/>
      <c r="R444" s="985"/>
      <c r="S444" s="985"/>
      <c r="T444" s="985"/>
      <c r="U444" s="985"/>
      <c r="V444" s="985"/>
      <c r="W444" s="985"/>
      <c r="X444" s="985"/>
      <c r="Y444" s="985"/>
      <c r="Z444" s="985"/>
      <c r="AA444" s="985"/>
      <c r="AB444" s="985"/>
      <c r="AC444" s="985"/>
    </row>
    <row r="445" spans="11:29" s="984" customFormat="1">
      <c r="K445" s="985"/>
      <c r="L445" s="985"/>
      <c r="M445" s="985"/>
      <c r="N445" s="985"/>
      <c r="O445" s="985"/>
      <c r="P445" s="985"/>
      <c r="Q445" s="985"/>
      <c r="R445" s="985"/>
      <c r="S445" s="985"/>
      <c r="T445" s="985"/>
      <c r="U445" s="985"/>
      <c r="V445" s="985"/>
      <c r="W445" s="985"/>
      <c r="X445" s="985"/>
      <c r="Y445" s="985"/>
      <c r="Z445" s="985"/>
      <c r="AA445" s="985"/>
      <c r="AB445" s="985"/>
      <c r="AC445" s="985"/>
    </row>
    <row r="446" spans="11:29" s="984" customFormat="1">
      <c r="K446" s="985"/>
      <c r="L446" s="985"/>
      <c r="M446" s="985"/>
      <c r="N446" s="985"/>
      <c r="O446" s="985"/>
      <c r="P446" s="985"/>
      <c r="Q446" s="985"/>
      <c r="R446" s="985"/>
      <c r="S446" s="985"/>
      <c r="T446" s="985"/>
      <c r="U446" s="985"/>
      <c r="V446" s="985"/>
      <c r="W446" s="985"/>
      <c r="X446" s="985"/>
      <c r="Y446" s="985"/>
      <c r="Z446" s="985"/>
      <c r="AA446" s="985"/>
      <c r="AB446" s="985"/>
      <c r="AC446" s="985"/>
    </row>
    <row r="447" spans="11:29" s="984" customFormat="1">
      <c r="K447" s="985"/>
      <c r="L447" s="985"/>
      <c r="M447" s="985"/>
      <c r="N447" s="985"/>
      <c r="O447" s="985"/>
      <c r="P447" s="985"/>
      <c r="Q447" s="985"/>
      <c r="R447" s="985"/>
      <c r="S447" s="985"/>
      <c r="T447" s="985"/>
      <c r="U447" s="985"/>
      <c r="V447" s="985"/>
      <c r="W447" s="985"/>
      <c r="X447" s="985"/>
      <c r="Y447" s="985"/>
      <c r="Z447" s="985"/>
      <c r="AA447" s="985"/>
      <c r="AB447" s="985"/>
      <c r="AC447" s="985"/>
    </row>
    <row r="448" spans="11:29" s="984" customFormat="1">
      <c r="K448" s="985"/>
      <c r="L448" s="985"/>
      <c r="M448" s="985"/>
      <c r="N448" s="985"/>
      <c r="O448" s="985"/>
      <c r="P448" s="985"/>
      <c r="Q448" s="985"/>
      <c r="R448" s="985"/>
      <c r="S448" s="985"/>
      <c r="T448" s="985"/>
      <c r="U448" s="985"/>
      <c r="V448" s="985"/>
      <c r="W448" s="985"/>
      <c r="X448" s="985"/>
      <c r="Y448" s="985"/>
      <c r="Z448" s="985"/>
      <c r="AA448" s="985"/>
      <c r="AB448" s="985"/>
      <c r="AC448" s="985"/>
    </row>
    <row r="449" spans="2:29" s="984" customFormat="1">
      <c r="K449" s="985"/>
      <c r="L449" s="985"/>
      <c r="M449" s="985"/>
      <c r="N449" s="985"/>
      <c r="O449" s="985"/>
      <c r="P449" s="985"/>
      <c r="Q449" s="985"/>
      <c r="R449" s="985"/>
      <c r="S449" s="985"/>
      <c r="T449" s="985"/>
      <c r="U449" s="985"/>
      <c r="V449" s="985"/>
      <c r="W449" s="985"/>
      <c r="X449" s="985"/>
      <c r="Y449" s="985"/>
      <c r="Z449" s="985"/>
      <c r="AA449" s="985"/>
      <c r="AB449" s="985"/>
      <c r="AC449" s="985"/>
    </row>
    <row r="450" spans="2:29" s="984" customFormat="1">
      <c r="K450" s="985"/>
      <c r="L450" s="985"/>
      <c r="M450" s="985"/>
      <c r="N450" s="985"/>
      <c r="O450" s="985"/>
      <c r="P450" s="985"/>
      <c r="Q450" s="985"/>
      <c r="R450" s="985"/>
      <c r="S450" s="985"/>
      <c r="T450" s="985"/>
      <c r="U450" s="985"/>
      <c r="V450" s="985"/>
      <c r="W450" s="985"/>
      <c r="X450" s="985"/>
      <c r="Y450" s="985"/>
      <c r="Z450" s="985"/>
      <c r="AA450" s="985"/>
      <c r="AB450" s="985"/>
      <c r="AC450" s="985"/>
    </row>
    <row r="451" spans="2:29" s="984" customFormat="1">
      <c r="K451" s="985"/>
      <c r="L451" s="985"/>
      <c r="M451" s="985"/>
      <c r="N451" s="985"/>
      <c r="O451" s="985"/>
      <c r="P451" s="985"/>
      <c r="Q451" s="985"/>
      <c r="R451" s="985"/>
      <c r="S451" s="985"/>
      <c r="T451" s="985"/>
      <c r="U451" s="985"/>
      <c r="V451" s="985"/>
      <c r="W451" s="985"/>
      <c r="X451" s="985"/>
      <c r="Y451" s="985"/>
      <c r="Z451" s="985"/>
      <c r="AA451" s="985"/>
      <c r="AB451" s="985"/>
      <c r="AC451" s="985"/>
    </row>
    <row r="452" spans="2:29" s="984" customFormat="1">
      <c r="K452" s="985"/>
      <c r="L452" s="985"/>
      <c r="M452" s="985"/>
      <c r="N452" s="985"/>
      <c r="O452" s="985"/>
      <c r="P452" s="985"/>
      <c r="Q452" s="985"/>
      <c r="R452" s="985"/>
      <c r="S452" s="985"/>
      <c r="T452" s="985"/>
      <c r="U452" s="985"/>
      <c r="V452" s="985"/>
      <c r="W452" s="985"/>
      <c r="X452" s="985"/>
      <c r="Y452" s="985"/>
      <c r="Z452" s="985"/>
      <c r="AA452" s="985"/>
      <c r="AB452" s="985"/>
      <c r="AC452" s="985"/>
    </row>
    <row r="453" spans="2:29" s="984" customFormat="1">
      <c r="K453" s="985"/>
      <c r="L453" s="985"/>
      <c r="M453" s="985"/>
      <c r="N453" s="985"/>
      <c r="O453" s="985"/>
      <c r="P453" s="985"/>
      <c r="Q453" s="985"/>
      <c r="R453" s="985"/>
      <c r="S453" s="985"/>
      <c r="T453" s="985"/>
      <c r="U453" s="985"/>
      <c r="V453" s="985"/>
      <c r="W453" s="985"/>
      <c r="X453" s="985"/>
      <c r="Y453" s="985"/>
      <c r="Z453" s="985"/>
      <c r="AA453" s="985"/>
      <c r="AB453" s="985"/>
      <c r="AC453" s="985"/>
    </row>
    <row r="454" spans="2:29" s="984" customFormat="1">
      <c r="K454" s="985"/>
      <c r="L454" s="985"/>
      <c r="M454" s="985"/>
      <c r="N454" s="985"/>
      <c r="O454" s="985"/>
      <c r="P454" s="985"/>
      <c r="Q454" s="985"/>
      <c r="R454" s="985"/>
      <c r="S454" s="985"/>
      <c r="T454" s="985"/>
      <c r="U454" s="985"/>
      <c r="V454" s="985"/>
      <c r="W454" s="985"/>
      <c r="X454" s="985"/>
      <c r="Y454" s="985"/>
      <c r="Z454" s="985"/>
      <c r="AA454" s="985"/>
      <c r="AB454" s="985"/>
      <c r="AC454" s="985"/>
    </row>
    <row r="455" spans="2:29" s="984" customFormat="1">
      <c r="K455" s="985"/>
      <c r="L455" s="985"/>
      <c r="M455" s="985"/>
      <c r="N455" s="985"/>
      <c r="O455" s="985"/>
      <c r="P455" s="985"/>
      <c r="Q455" s="985"/>
      <c r="R455" s="985"/>
      <c r="S455" s="985"/>
      <c r="T455" s="985"/>
      <c r="U455" s="985"/>
      <c r="V455" s="985"/>
      <c r="W455" s="985"/>
      <c r="X455" s="985"/>
      <c r="Y455" s="985"/>
      <c r="Z455" s="985"/>
      <c r="AA455" s="985"/>
      <c r="AB455" s="985"/>
      <c r="AC455" s="985"/>
    </row>
    <row r="456" spans="2:29" s="984" customFormat="1">
      <c r="K456" s="985"/>
      <c r="L456" s="985"/>
      <c r="M456" s="985"/>
      <c r="N456" s="985"/>
      <c r="O456" s="985"/>
      <c r="P456" s="985"/>
      <c r="Q456" s="985"/>
      <c r="R456" s="985"/>
      <c r="S456" s="985"/>
      <c r="T456" s="985"/>
      <c r="U456" s="985"/>
      <c r="V456" s="985"/>
      <c r="W456" s="985"/>
      <c r="X456" s="985"/>
      <c r="Y456" s="985"/>
      <c r="Z456" s="985"/>
      <c r="AA456" s="985"/>
      <c r="AB456" s="985"/>
      <c r="AC456" s="985"/>
    </row>
    <row r="457" spans="2:29" s="984" customFormat="1">
      <c r="K457" s="985"/>
      <c r="L457" s="985"/>
      <c r="M457" s="985"/>
      <c r="N457" s="985"/>
      <c r="O457" s="985"/>
      <c r="P457" s="985"/>
      <c r="Q457" s="985"/>
      <c r="R457" s="985"/>
      <c r="S457" s="985"/>
      <c r="T457" s="985"/>
      <c r="U457" s="985"/>
      <c r="V457" s="985"/>
      <c r="W457" s="985"/>
      <c r="X457" s="985"/>
      <c r="Y457" s="985"/>
      <c r="Z457" s="985"/>
      <c r="AA457" s="985"/>
      <c r="AB457" s="985"/>
      <c r="AC457" s="985"/>
    </row>
    <row r="458" spans="2:29" s="984" customFormat="1">
      <c r="K458" s="985"/>
      <c r="L458" s="985"/>
      <c r="M458" s="985"/>
      <c r="N458" s="985"/>
      <c r="O458" s="985"/>
      <c r="P458" s="985"/>
      <c r="Q458" s="985"/>
      <c r="R458" s="985"/>
      <c r="S458" s="985"/>
      <c r="T458" s="985"/>
      <c r="U458" s="985"/>
      <c r="V458" s="985"/>
      <c r="W458" s="985"/>
      <c r="X458" s="985"/>
      <c r="Y458" s="985"/>
      <c r="Z458" s="985"/>
      <c r="AA458" s="985"/>
      <c r="AB458" s="985"/>
      <c r="AC458" s="985"/>
    </row>
    <row r="459" spans="2:29" s="984" customFormat="1">
      <c r="K459" s="985"/>
      <c r="L459" s="985"/>
      <c r="M459" s="985"/>
      <c r="N459" s="985"/>
      <c r="O459" s="985"/>
      <c r="P459" s="985"/>
      <c r="Q459" s="985"/>
      <c r="R459" s="985"/>
      <c r="S459" s="985"/>
      <c r="T459" s="985"/>
      <c r="U459" s="985"/>
      <c r="V459" s="985"/>
      <c r="W459" s="985"/>
      <c r="X459" s="985"/>
      <c r="Y459" s="985"/>
      <c r="Z459" s="985"/>
      <c r="AA459" s="985"/>
      <c r="AB459" s="985"/>
      <c r="AC459" s="985"/>
    </row>
    <row r="460" spans="2:29" s="984" customFormat="1">
      <c r="K460" s="985"/>
      <c r="L460" s="985"/>
      <c r="M460" s="985"/>
      <c r="N460" s="985"/>
      <c r="O460" s="985"/>
      <c r="P460" s="985"/>
      <c r="Q460" s="985"/>
      <c r="R460" s="985"/>
      <c r="S460" s="985"/>
      <c r="T460" s="985"/>
      <c r="U460" s="985"/>
      <c r="V460" s="985"/>
      <c r="W460" s="985"/>
      <c r="X460" s="985"/>
      <c r="Y460" s="985"/>
      <c r="Z460" s="985"/>
      <c r="AA460" s="985"/>
      <c r="AB460" s="985"/>
      <c r="AC460" s="985"/>
    </row>
    <row r="461" spans="2:29">
      <c r="B461" s="984"/>
      <c r="C461" s="984"/>
      <c r="D461" s="984"/>
      <c r="E461" s="984"/>
      <c r="F461" s="984"/>
      <c r="G461" s="984"/>
      <c r="H461" s="984"/>
      <c r="I461" s="984"/>
      <c r="J461" s="984"/>
    </row>
    <row r="462" spans="2:29">
      <c r="B462" s="984"/>
      <c r="C462" s="984"/>
      <c r="D462" s="984"/>
      <c r="E462" s="984"/>
      <c r="F462" s="984"/>
      <c r="G462" s="984"/>
      <c r="H462" s="984"/>
      <c r="I462" s="984"/>
      <c r="J462" s="984"/>
    </row>
    <row r="463" spans="2:29">
      <c r="B463" s="984"/>
      <c r="C463" s="984"/>
      <c r="D463" s="984"/>
      <c r="E463" s="984"/>
      <c r="F463" s="984"/>
      <c r="G463" s="984"/>
      <c r="H463" s="984"/>
      <c r="I463" s="984"/>
      <c r="J463" s="984"/>
    </row>
    <row r="464" spans="2:29">
      <c r="B464" s="984"/>
      <c r="C464" s="984"/>
      <c r="D464" s="984"/>
      <c r="E464" s="984"/>
      <c r="F464" s="984"/>
      <c r="G464" s="984"/>
      <c r="H464" s="984"/>
      <c r="I464" s="984"/>
      <c r="J464" s="984"/>
    </row>
  </sheetData>
  <mergeCells count="11">
    <mergeCell ref="B42:J43"/>
    <mergeCell ref="B1:J1"/>
    <mergeCell ref="L1:AB1"/>
    <mergeCell ref="L9:P9"/>
    <mergeCell ref="R9:V9"/>
    <mergeCell ref="X9:AB9"/>
    <mergeCell ref="B51:I51"/>
    <mergeCell ref="L53:P53"/>
    <mergeCell ref="R53:V53"/>
    <mergeCell ref="X53:AB53"/>
    <mergeCell ref="G84:J84"/>
  </mergeCells>
  <printOptions horizontalCentered="1"/>
  <pageMargins left="0.2" right="0.2" top="1" bottom="1" header="0.3" footer="0.3"/>
  <pageSetup scale="86" fitToHeight="0" orientation="portrait" r:id="rId1"/>
  <headerFooter>
    <oddFooter>&amp;R&amp;P of &amp;N</oddFooter>
  </headerFooter>
  <rowBreaks count="2" manualBreakCount="2">
    <brk id="45" min="11" max="27" man="1"/>
    <brk id="53" min="1" max="9" man="1"/>
  </rowBreaks>
  <colBreaks count="2" manualBreakCount="2">
    <brk id="9" max="95" man="1"/>
    <brk id="10" max="86"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tint="0.79998168889431442"/>
    <pageSetUpPr fitToPage="1"/>
  </sheetPr>
  <dimension ref="A1:LW464"/>
  <sheetViews>
    <sheetView topLeftCell="A10" zoomScale="80" zoomScaleNormal="80" workbookViewId="0">
      <selection activeCell="C34" sqref="C34"/>
    </sheetView>
  </sheetViews>
  <sheetFormatPr defaultColWidth="9.42578125" defaultRowHeight="12.75"/>
  <cols>
    <col min="1" max="1" width="3" style="8" customWidth="1"/>
    <col min="2" max="2" width="23.5703125" style="8" customWidth="1"/>
    <col min="3" max="9" width="10.42578125" style="8" customWidth="1"/>
    <col min="10" max="10" width="21.42578125" style="8" customWidth="1"/>
    <col min="11" max="11" width="2.5703125" style="8" customWidth="1"/>
    <col min="12" max="12" width="21.42578125" style="8" customWidth="1"/>
    <col min="13" max="13" width="6.5703125" style="8" bestFit="1" customWidth="1"/>
    <col min="14" max="14" width="14.5703125" style="8" customWidth="1"/>
    <col min="15" max="15" width="11.5703125" style="8" customWidth="1"/>
    <col min="16" max="16" width="14.42578125" style="8" customWidth="1"/>
    <col min="17" max="17" width="3.5703125" style="8" customWidth="1"/>
    <col min="18" max="18" width="22.42578125" style="8" customWidth="1"/>
    <col min="19" max="19" width="4.5703125" style="8" bestFit="1" customWidth="1"/>
    <col min="20" max="20" width="15.5703125" style="8" customWidth="1"/>
    <col min="21" max="21" width="12.42578125" style="8" customWidth="1"/>
    <col min="22" max="22" width="12" style="8" customWidth="1"/>
    <col min="23" max="23" width="4.42578125" style="8" customWidth="1"/>
    <col min="24" max="24" width="23" style="8" bestFit="1" customWidth="1"/>
    <col min="25" max="25" width="4.5703125" style="8" bestFit="1" customWidth="1"/>
    <col min="26" max="26" width="15.5703125" style="8" customWidth="1"/>
    <col min="27" max="27" width="12.42578125" style="8" customWidth="1"/>
    <col min="28" max="28" width="12" style="8" customWidth="1"/>
    <col min="29" max="29" width="6" style="8" customWidth="1"/>
    <col min="30" max="335" width="9.42578125" style="255"/>
    <col min="336" max="16384" width="9.42578125" style="8"/>
  </cols>
  <sheetData>
    <row r="1" spans="1:29" ht="15.75" customHeight="1" thickBot="1">
      <c r="A1" s="253"/>
      <c r="B1" s="2554" t="s">
        <v>546</v>
      </c>
      <c r="C1" s="2554"/>
      <c r="D1" s="2554"/>
      <c r="E1" s="2554"/>
      <c r="F1" s="2554"/>
      <c r="G1" s="2554"/>
      <c r="H1" s="2554"/>
      <c r="I1" s="2554"/>
      <c r="J1" s="2554"/>
      <c r="K1" s="253"/>
      <c r="L1" s="2554" t="s">
        <v>554</v>
      </c>
      <c r="M1" s="2554"/>
      <c r="N1" s="2554"/>
      <c r="O1" s="2554"/>
      <c r="P1" s="2554"/>
      <c r="Q1" s="2554"/>
      <c r="R1" s="2554"/>
      <c r="S1" s="2554"/>
      <c r="T1" s="2554"/>
      <c r="U1" s="2554"/>
      <c r="V1" s="2554"/>
      <c r="W1" s="2554"/>
      <c r="X1" s="2554"/>
      <c r="Y1" s="2554"/>
      <c r="Z1" s="2554"/>
      <c r="AA1" s="2554"/>
      <c r="AB1" s="2554"/>
      <c r="AC1" s="253"/>
    </row>
    <row r="2" spans="1:29" ht="9.75" customHeight="1" thickBot="1">
      <c r="A2" s="253"/>
      <c r="B2" s="35"/>
      <c r="C2" s="35"/>
      <c r="D2" s="35"/>
      <c r="E2" s="35"/>
      <c r="F2" s="35"/>
      <c r="G2" s="35"/>
      <c r="H2" s="35"/>
      <c r="I2" s="35"/>
      <c r="J2" s="35"/>
      <c r="K2" s="253"/>
      <c r="L2" s="35"/>
      <c r="M2" s="35"/>
      <c r="N2" s="35"/>
      <c r="O2" s="35"/>
      <c r="P2" s="35"/>
      <c r="Q2" s="35"/>
      <c r="R2" s="35"/>
      <c r="S2" s="35"/>
      <c r="T2" s="35"/>
      <c r="U2" s="35"/>
      <c r="V2" s="35"/>
      <c r="W2" s="35"/>
      <c r="X2" s="35"/>
      <c r="Y2" s="35"/>
      <c r="Z2" s="35"/>
      <c r="AA2" s="35"/>
      <c r="AB2" s="35"/>
      <c r="AC2" s="253"/>
    </row>
    <row r="3" spans="1:29">
      <c r="A3" s="253"/>
      <c r="B3" s="138" t="s">
        <v>0</v>
      </c>
      <c r="C3" s="139" t="s">
        <v>1</v>
      </c>
      <c r="D3" s="163" t="s">
        <v>2</v>
      </c>
      <c r="E3" s="253"/>
      <c r="F3" s="253"/>
      <c r="G3" s="253"/>
      <c r="H3" s="253"/>
      <c r="I3" s="253"/>
      <c r="J3" s="253"/>
      <c r="K3" s="253"/>
      <c r="L3" s="254"/>
      <c r="M3" s="253"/>
      <c r="N3" s="253"/>
      <c r="O3" s="253"/>
      <c r="P3" s="253"/>
      <c r="Q3" s="253"/>
      <c r="R3" s="253"/>
      <c r="S3" s="253"/>
      <c r="T3" s="253"/>
      <c r="U3" s="253"/>
      <c r="V3" s="253"/>
      <c r="W3" s="253"/>
      <c r="X3" s="253"/>
      <c r="Y3" s="253"/>
      <c r="Z3" s="253"/>
      <c r="AA3" s="253"/>
      <c r="AB3" s="253"/>
      <c r="AC3" s="253"/>
    </row>
    <row r="4" spans="1:29">
      <c r="A4" s="253"/>
      <c r="B4" s="140" t="s">
        <v>370</v>
      </c>
      <c r="C4" s="141">
        <v>10</v>
      </c>
      <c r="D4" s="164">
        <f>C4*8</f>
        <v>80</v>
      </c>
      <c r="E4" s="38"/>
      <c r="F4" s="38"/>
      <c r="G4" s="253"/>
      <c r="H4" s="253"/>
      <c r="I4" s="253"/>
      <c r="J4" s="253"/>
      <c r="K4" s="253"/>
      <c r="L4" s="253"/>
      <c r="M4" s="253"/>
      <c r="N4" s="253"/>
      <c r="O4" s="253"/>
      <c r="P4" s="253"/>
      <c r="Q4" s="253"/>
      <c r="R4" s="253"/>
      <c r="S4" s="253"/>
      <c r="T4" s="253"/>
      <c r="U4" s="253"/>
      <c r="V4" s="253"/>
      <c r="W4" s="253"/>
      <c r="X4" s="253"/>
      <c r="Y4" s="253"/>
      <c r="Z4" s="253"/>
      <c r="AA4" s="253"/>
      <c r="AB4" s="253"/>
      <c r="AC4" s="253"/>
    </row>
    <row r="5" spans="1:29">
      <c r="A5" s="253"/>
      <c r="B5" s="140" t="s">
        <v>378</v>
      </c>
      <c r="C5" s="141">
        <v>10</v>
      </c>
      <c r="D5" s="164">
        <f>C5*8</f>
        <v>80</v>
      </c>
      <c r="E5" s="39"/>
      <c r="F5" s="39"/>
      <c r="G5" s="253"/>
      <c r="H5" s="253"/>
      <c r="I5" s="253"/>
      <c r="J5" s="253"/>
      <c r="K5" s="253"/>
      <c r="L5" s="253"/>
      <c r="M5" s="253"/>
      <c r="N5" s="253"/>
      <c r="O5" s="253"/>
      <c r="P5" s="253"/>
      <c r="Q5" s="253"/>
      <c r="R5" s="253"/>
      <c r="S5" s="253"/>
      <c r="T5" s="253"/>
      <c r="U5" s="253"/>
      <c r="V5" s="253"/>
      <c r="W5" s="253"/>
      <c r="X5" s="253"/>
      <c r="Y5" s="253"/>
      <c r="Z5" s="253"/>
      <c r="AA5" s="253"/>
      <c r="AB5" s="253"/>
      <c r="AC5" s="253"/>
    </row>
    <row r="6" spans="1:29">
      <c r="A6" s="253"/>
      <c r="B6" s="140" t="s">
        <v>372</v>
      </c>
      <c r="C6" s="141">
        <v>10</v>
      </c>
      <c r="D6" s="164">
        <f>C6*8</f>
        <v>80</v>
      </c>
      <c r="E6" s="39"/>
      <c r="F6" s="39"/>
      <c r="G6" s="253"/>
      <c r="H6" s="253"/>
      <c r="I6" s="253"/>
      <c r="J6" s="253"/>
      <c r="K6" s="253"/>
      <c r="L6" s="253"/>
      <c r="M6" s="253"/>
      <c r="N6" s="253"/>
      <c r="O6" s="253"/>
      <c r="P6" s="253"/>
      <c r="Q6" s="253"/>
      <c r="R6" s="253"/>
      <c r="S6" s="253"/>
      <c r="T6" s="253"/>
      <c r="U6" s="253"/>
      <c r="V6" s="253"/>
      <c r="W6" s="253"/>
      <c r="X6" s="253"/>
      <c r="Y6" s="253"/>
      <c r="Z6" s="253"/>
      <c r="AA6" s="253"/>
      <c r="AB6" s="253"/>
      <c r="AC6" s="253"/>
    </row>
    <row r="7" spans="1:29">
      <c r="A7" s="253"/>
      <c r="B7" s="142" t="s">
        <v>14</v>
      </c>
      <c r="C7" s="141">
        <v>10</v>
      </c>
      <c r="D7" s="165">
        <f>C7*8</f>
        <v>80</v>
      </c>
      <c r="E7" s="39"/>
      <c r="F7" s="39"/>
      <c r="G7" s="253"/>
      <c r="H7" s="253"/>
      <c r="I7" s="253"/>
      <c r="J7" s="253"/>
      <c r="K7" s="253"/>
      <c r="L7" s="330" t="s">
        <v>557</v>
      </c>
      <c r="M7" s="253"/>
      <c r="N7" s="253"/>
      <c r="O7" s="253"/>
      <c r="P7" s="253"/>
      <c r="Q7" s="253"/>
      <c r="R7" s="253"/>
      <c r="S7" s="253"/>
      <c r="T7" s="253"/>
      <c r="U7" s="253"/>
      <c r="V7" s="253"/>
      <c r="W7" s="253"/>
      <c r="X7" s="253"/>
      <c r="Y7" s="253"/>
      <c r="Z7" s="253"/>
      <c r="AA7" s="253"/>
      <c r="AB7" s="253"/>
      <c r="AC7" s="253"/>
    </row>
    <row r="8" spans="1:29" ht="13.5" thickBot="1">
      <c r="A8" s="253"/>
      <c r="B8" s="140"/>
      <c r="C8" s="143" t="s">
        <v>3</v>
      </c>
      <c r="D8" s="164">
        <f>SUM(D4:D7)</f>
        <v>320</v>
      </c>
      <c r="E8" s="39"/>
      <c r="F8" s="39"/>
      <c r="G8" s="253"/>
      <c r="H8" s="253"/>
      <c r="I8" s="253"/>
      <c r="J8" s="253"/>
      <c r="K8" s="253"/>
      <c r="L8" s="253"/>
      <c r="M8" s="253"/>
      <c r="N8" s="253"/>
      <c r="O8" s="253"/>
      <c r="P8" s="253"/>
      <c r="Q8" s="253"/>
      <c r="R8" s="253"/>
      <c r="S8" s="253"/>
      <c r="T8" s="253"/>
      <c r="U8" s="253"/>
      <c r="V8" s="253"/>
      <c r="W8" s="253"/>
      <c r="X8" s="253"/>
      <c r="Y8" s="253"/>
      <c r="Z8" s="253"/>
      <c r="AA8" s="253"/>
      <c r="AB8" s="253"/>
      <c r="AC8" s="253"/>
    </row>
    <row r="9" spans="1:29" ht="13.5" customHeight="1" thickBot="1">
      <c r="A9" s="253"/>
      <c r="B9" s="144"/>
      <c r="C9" s="145" t="s">
        <v>4</v>
      </c>
      <c r="D9" s="166">
        <f>D8/(52*40)</f>
        <v>0.15384615384615385</v>
      </c>
      <c r="E9" s="39"/>
      <c r="F9" s="39"/>
      <c r="G9" s="253"/>
      <c r="H9" s="253"/>
      <c r="I9" s="253"/>
      <c r="J9" s="253"/>
      <c r="K9" s="253"/>
      <c r="L9" s="2560" t="s">
        <v>558</v>
      </c>
      <c r="M9" s="2561"/>
      <c r="N9" s="2561"/>
      <c r="O9" s="2561"/>
      <c r="P9" s="2562"/>
      <c r="R9" s="2560" t="s">
        <v>559</v>
      </c>
      <c r="S9" s="2561"/>
      <c r="T9" s="2561"/>
      <c r="U9" s="2561"/>
      <c r="V9" s="2562"/>
      <c r="X9" s="2560" t="s">
        <v>560</v>
      </c>
      <c r="Y9" s="2561"/>
      <c r="Z9" s="2561"/>
      <c r="AA9" s="2561"/>
      <c r="AB9" s="2562"/>
      <c r="AC9" s="253"/>
    </row>
    <row r="10" spans="1:29">
      <c r="A10" s="253"/>
      <c r="B10" s="253"/>
      <c r="C10" s="253"/>
      <c r="D10" s="253"/>
      <c r="E10" s="40"/>
      <c r="F10" s="40"/>
      <c r="G10" s="253"/>
      <c r="H10" s="253"/>
      <c r="I10" s="253"/>
      <c r="J10" s="253"/>
      <c r="K10" s="253"/>
      <c r="L10" s="146" t="s">
        <v>277</v>
      </c>
      <c r="M10" s="147">
        <v>5</v>
      </c>
      <c r="N10" s="148"/>
      <c r="O10" s="149" t="s">
        <v>133</v>
      </c>
      <c r="P10" s="150">
        <f>M10*365</f>
        <v>1825</v>
      </c>
      <c r="Q10" s="253"/>
      <c r="R10" s="146" t="s">
        <v>277</v>
      </c>
      <c r="S10" s="147">
        <v>8</v>
      </c>
      <c r="T10" s="148"/>
      <c r="U10" s="149" t="s">
        <v>133</v>
      </c>
      <c r="V10" s="150">
        <f>S10*365</f>
        <v>2920</v>
      </c>
      <c r="W10" s="253"/>
      <c r="X10" s="146" t="s">
        <v>36</v>
      </c>
      <c r="Y10" s="147">
        <v>11</v>
      </c>
      <c r="Z10" s="148"/>
      <c r="AA10" s="149" t="s">
        <v>133</v>
      </c>
      <c r="AB10" s="150">
        <f>Y10*365</f>
        <v>4015</v>
      </c>
      <c r="AC10" s="253"/>
    </row>
    <row r="11" spans="1:29" ht="13.5" thickBot="1">
      <c r="A11" s="253"/>
      <c r="B11" s="330" t="s">
        <v>566</v>
      </c>
      <c r="C11" s="253"/>
      <c r="D11" s="253"/>
      <c r="E11" s="253"/>
      <c r="F11" s="253"/>
      <c r="G11" s="253"/>
      <c r="H11" s="253"/>
      <c r="I11" s="253"/>
      <c r="J11" s="253"/>
      <c r="K11" s="253"/>
      <c r="L11" s="104"/>
      <c r="M11" s="72"/>
      <c r="N11" s="72"/>
      <c r="O11" s="72"/>
      <c r="P11" s="105"/>
      <c r="Q11" s="253"/>
      <c r="R11" s="104"/>
      <c r="S11" s="72"/>
      <c r="T11" s="72"/>
      <c r="U11" s="72"/>
      <c r="V11" s="105"/>
      <c r="W11" s="253"/>
      <c r="X11" s="104"/>
      <c r="Y11" s="72"/>
      <c r="Z11" s="72"/>
      <c r="AA11" s="72"/>
      <c r="AB11" s="105"/>
      <c r="AC11" s="253"/>
    </row>
    <row r="12" spans="1:29">
      <c r="A12" s="253"/>
      <c r="B12" s="42"/>
      <c r="C12" s="43" t="s">
        <v>41</v>
      </c>
      <c r="D12" s="43"/>
      <c r="E12" s="43"/>
      <c r="F12" s="861"/>
      <c r="G12" s="287" t="s">
        <v>278</v>
      </c>
      <c r="H12" s="272"/>
      <c r="I12" s="272"/>
      <c r="J12" s="273"/>
      <c r="K12" s="253"/>
      <c r="L12" s="106"/>
      <c r="M12" s="53"/>
      <c r="N12" s="54" t="s">
        <v>5</v>
      </c>
      <c r="O12" s="54" t="s">
        <v>6</v>
      </c>
      <c r="P12" s="107" t="s">
        <v>7</v>
      </c>
      <c r="Q12" s="253"/>
      <c r="R12" s="106"/>
      <c r="S12" s="53"/>
      <c r="T12" s="54" t="s">
        <v>5</v>
      </c>
      <c r="U12" s="54" t="s">
        <v>6</v>
      </c>
      <c r="V12" s="107" t="s">
        <v>7</v>
      </c>
      <c r="W12" s="253"/>
      <c r="X12" s="106"/>
      <c r="Y12" s="53"/>
      <c r="Z12" s="54" t="s">
        <v>5</v>
      </c>
      <c r="AA12" s="54" t="s">
        <v>6</v>
      </c>
      <c r="AB12" s="107" t="s">
        <v>7</v>
      </c>
      <c r="AC12" s="253"/>
    </row>
    <row r="13" spans="1:29">
      <c r="A13" s="253"/>
      <c r="B13" s="171" t="s">
        <v>31</v>
      </c>
      <c r="C13" s="82"/>
      <c r="D13" s="82"/>
      <c r="E13" s="82"/>
      <c r="F13" s="46"/>
      <c r="G13" s="283"/>
      <c r="H13" s="274"/>
      <c r="I13" s="274"/>
      <c r="J13" s="275"/>
      <c r="K13" s="253"/>
      <c r="L13" s="171" t="s">
        <v>31</v>
      </c>
      <c r="M13" s="55"/>
      <c r="N13" s="56"/>
      <c r="O13" s="56"/>
      <c r="P13" s="108"/>
      <c r="Q13" s="253"/>
      <c r="R13" s="171" t="s">
        <v>31</v>
      </c>
      <c r="S13" s="55"/>
      <c r="T13" s="56"/>
      <c r="U13" s="56"/>
      <c r="V13" s="108"/>
      <c r="W13" s="253"/>
      <c r="X13" s="171" t="s">
        <v>31</v>
      </c>
      <c r="Y13" s="55"/>
      <c r="Z13" s="56"/>
      <c r="AA13" s="56"/>
      <c r="AB13" s="108"/>
      <c r="AC13" s="253"/>
    </row>
    <row r="14" spans="1:29">
      <c r="A14" s="253"/>
      <c r="B14" s="48" t="s">
        <v>421</v>
      </c>
      <c r="C14" s="46">
        <f>85899*(1+C40)</f>
        <v>92496.84919424048</v>
      </c>
      <c r="D14" s="46"/>
      <c r="E14" s="46"/>
      <c r="F14" s="46"/>
      <c r="G14" s="304" t="s">
        <v>786</v>
      </c>
      <c r="H14" s="274"/>
      <c r="I14" s="274"/>
      <c r="J14" s="275"/>
      <c r="K14" s="253"/>
      <c r="L14" s="109" t="s">
        <v>422</v>
      </c>
      <c r="M14" s="57"/>
      <c r="N14" s="58">
        <f>C14</f>
        <v>92496.84919424048</v>
      </c>
      <c r="O14" s="59">
        <f>C23</f>
        <v>0.05</v>
      </c>
      <c r="P14" s="110">
        <f>N14*O14</f>
        <v>4624.8424597120238</v>
      </c>
      <c r="Q14" s="256"/>
      <c r="R14" s="109" t="s">
        <v>422</v>
      </c>
      <c r="S14" s="57"/>
      <c r="T14" s="58">
        <f>C14</f>
        <v>92496.84919424048</v>
      </c>
      <c r="U14" s="59">
        <f>D23</f>
        <v>0.05</v>
      </c>
      <c r="V14" s="110">
        <f>T14*U14</f>
        <v>4624.8424597120238</v>
      </c>
      <c r="W14" s="253"/>
      <c r="X14" s="109" t="s">
        <v>422</v>
      </c>
      <c r="Y14" s="57"/>
      <c r="Z14" s="58">
        <f>C14</f>
        <v>92496.84919424048</v>
      </c>
      <c r="AA14" s="59">
        <f>E23</f>
        <v>0.05</v>
      </c>
      <c r="AB14" s="110">
        <f>Z14*AA14</f>
        <v>4624.8424597120238</v>
      </c>
      <c r="AC14" s="253"/>
    </row>
    <row r="15" spans="1:29">
      <c r="A15" s="253"/>
      <c r="B15" s="48" t="s">
        <v>121</v>
      </c>
      <c r="C15" s="46">
        <f>41906*(1+C40)</f>
        <v>45124.774005912077</v>
      </c>
      <c r="D15" s="46"/>
      <c r="E15" s="46"/>
      <c r="F15" s="325"/>
      <c r="G15" s="304" t="s">
        <v>474</v>
      </c>
      <c r="H15" s="274"/>
      <c r="I15" s="274"/>
      <c r="J15" s="275"/>
      <c r="K15" s="253"/>
      <c r="L15" s="109" t="s">
        <v>135</v>
      </c>
      <c r="M15" s="57"/>
      <c r="N15" s="58">
        <f>C15</f>
        <v>45124.774005912077</v>
      </c>
      <c r="O15" s="59">
        <f>C24</f>
        <v>1.1499999999999999</v>
      </c>
      <c r="P15" s="110">
        <f>N15*O15</f>
        <v>51893.490106798883</v>
      </c>
      <c r="Q15" s="256"/>
      <c r="R15" s="109" t="s">
        <v>135</v>
      </c>
      <c r="S15" s="57"/>
      <c r="T15" s="58">
        <f>C15</f>
        <v>45124.774005912077</v>
      </c>
      <c r="U15" s="59">
        <f>D24</f>
        <v>1.1499999999999999</v>
      </c>
      <c r="V15" s="110">
        <f>T15*U15</f>
        <v>51893.490106798883</v>
      </c>
      <c r="W15" s="253"/>
      <c r="X15" s="109" t="s">
        <v>135</v>
      </c>
      <c r="Y15" s="57"/>
      <c r="Z15" s="58">
        <f>C15</f>
        <v>45124.774005912077</v>
      </c>
      <c r="AA15" s="59">
        <f>E24</f>
        <v>1.1499999999999999</v>
      </c>
      <c r="AB15" s="110">
        <f>Z15*AA15</f>
        <v>51893.490106798883</v>
      </c>
      <c r="AC15" s="253"/>
    </row>
    <row r="16" spans="1:29">
      <c r="A16" s="253"/>
      <c r="B16" s="48" t="s">
        <v>130</v>
      </c>
      <c r="C16" s="46" t="e">
        <f>'Integrated Team (FY21)'!#REF!</f>
        <v>#REF!</v>
      </c>
      <c r="D16" s="46"/>
      <c r="E16" s="46"/>
      <c r="F16" s="46"/>
      <c r="G16" s="304" t="str">
        <f>'Integrated Team (FY21)'!H23</f>
        <v>BLS /OES Massachusetts Median 2018</v>
      </c>
      <c r="H16" s="274"/>
      <c r="I16" s="274"/>
      <c r="J16" s="275"/>
      <c r="K16" s="253"/>
      <c r="L16" s="109" t="s">
        <v>131</v>
      </c>
      <c r="M16" s="57"/>
      <c r="N16" s="58" t="e">
        <f>C16</f>
        <v>#REF!</v>
      </c>
      <c r="O16" s="59">
        <f>C25</f>
        <v>7</v>
      </c>
      <c r="P16" s="110" t="e">
        <f>N16*O16</f>
        <v>#REF!</v>
      </c>
      <c r="Q16" s="256"/>
      <c r="R16" s="109" t="s">
        <v>131</v>
      </c>
      <c r="S16" s="57"/>
      <c r="T16" s="58" t="e">
        <f>C16</f>
        <v>#REF!</v>
      </c>
      <c r="U16" s="59">
        <f>D25</f>
        <v>8</v>
      </c>
      <c r="V16" s="110" t="e">
        <f>T16*U16</f>
        <v>#REF!</v>
      </c>
      <c r="W16" s="253"/>
      <c r="X16" s="109" t="s">
        <v>131</v>
      </c>
      <c r="Y16" s="57"/>
      <c r="Z16" s="58" t="e">
        <f>C16</f>
        <v>#REF!</v>
      </c>
      <c r="AA16" s="59">
        <f>E25</f>
        <v>9</v>
      </c>
      <c r="AB16" s="110" t="e">
        <f>Z16*AA16</f>
        <v>#REF!</v>
      </c>
      <c r="AC16" s="253"/>
    </row>
    <row r="17" spans="1:29">
      <c r="A17" s="253"/>
      <c r="B17" s="48" t="s">
        <v>49</v>
      </c>
      <c r="C17" s="46" t="e">
        <f>'Integrated Team (FY21)'!#REF!</f>
        <v>#REF!</v>
      </c>
      <c r="D17" s="46"/>
      <c r="E17" s="46"/>
      <c r="F17" s="46"/>
      <c r="G17" s="304" t="str">
        <f>G16</f>
        <v>BLS /OES Massachusetts Median 2018</v>
      </c>
      <c r="H17" s="274"/>
      <c r="I17" s="274"/>
      <c r="J17" s="275"/>
      <c r="K17" s="253"/>
      <c r="L17" s="182" t="s">
        <v>12</v>
      </c>
      <c r="M17" s="60"/>
      <c r="N17" s="61" t="e">
        <f>C17</f>
        <v>#REF!</v>
      </c>
      <c r="O17" s="62">
        <f>C26</f>
        <v>1.0769230769230771</v>
      </c>
      <c r="P17" s="113" t="e">
        <f>N17*O17</f>
        <v>#REF!</v>
      </c>
      <c r="Q17" s="256"/>
      <c r="R17" s="182" t="s">
        <v>12</v>
      </c>
      <c r="S17" s="60"/>
      <c r="T17" s="61" t="e">
        <f>C17</f>
        <v>#REF!</v>
      </c>
      <c r="U17" s="62">
        <f>D26</f>
        <v>1.2307692307692308</v>
      </c>
      <c r="V17" s="113" t="e">
        <f>T17*U17</f>
        <v>#REF!</v>
      </c>
      <c r="W17" s="253"/>
      <c r="X17" s="182" t="s">
        <v>12</v>
      </c>
      <c r="Y17" s="60"/>
      <c r="Z17" s="61" t="e">
        <f>C17</f>
        <v>#REF!</v>
      </c>
      <c r="AA17" s="62">
        <f>E26</f>
        <v>1.3846153846153846</v>
      </c>
      <c r="AB17" s="113" t="e">
        <f>Z17*AA17</f>
        <v>#REF!</v>
      </c>
      <c r="AC17" s="253"/>
    </row>
    <row r="18" spans="1:29">
      <c r="A18" s="253"/>
      <c r="B18" s="48"/>
      <c r="C18" s="46"/>
      <c r="D18" s="46"/>
      <c r="E18" s="46"/>
      <c r="F18" s="46"/>
      <c r="G18" s="284"/>
      <c r="H18" s="274"/>
      <c r="I18" s="274"/>
      <c r="J18" s="275"/>
      <c r="K18" s="253"/>
      <c r="L18" s="106" t="s">
        <v>13</v>
      </c>
      <c r="M18" s="5"/>
      <c r="N18" s="181" t="e">
        <f>P18/O18</f>
        <v>#REF!</v>
      </c>
      <c r="O18" s="169">
        <f>SUM(O14:O17)</f>
        <v>9.2769230769230759</v>
      </c>
      <c r="P18" s="183" t="e">
        <f>SUM(P14:P17)</f>
        <v>#REF!</v>
      </c>
      <c r="Q18" s="256"/>
      <c r="R18" s="106" t="s">
        <v>13</v>
      </c>
      <c r="S18" s="5"/>
      <c r="T18" s="181" t="e">
        <f>V18/U18</f>
        <v>#REF!</v>
      </c>
      <c r="U18" s="169">
        <f>SUM(U14:U17)</f>
        <v>10.430769230769229</v>
      </c>
      <c r="V18" s="183" t="e">
        <f>SUM(V14:V17)</f>
        <v>#REF!</v>
      </c>
      <c r="W18" s="253"/>
      <c r="X18" s="106" t="s">
        <v>13</v>
      </c>
      <c r="Y18" s="5"/>
      <c r="Z18" s="181" t="e">
        <f>AB18/AA18</f>
        <v>#REF!</v>
      </c>
      <c r="AA18" s="169">
        <f>SUM(AA14:AA17)</f>
        <v>11.584615384615384</v>
      </c>
      <c r="AB18" s="183" t="e">
        <f>SUM(AB14:AB17)</f>
        <v>#REF!</v>
      </c>
      <c r="AC18" s="253"/>
    </row>
    <row r="19" spans="1:29">
      <c r="A19" s="253"/>
      <c r="B19" s="48"/>
      <c r="C19" s="46"/>
      <c r="D19" s="46"/>
      <c r="E19" s="46"/>
      <c r="F19" s="46"/>
      <c r="G19" s="284"/>
      <c r="H19" s="274"/>
      <c r="I19" s="274"/>
      <c r="J19" s="275"/>
      <c r="K19" s="253"/>
      <c r="L19" s="104"/>
      <c r="M19" s="72"/>
      <c r="N19" s="72"/>
      <c r="O19" s="72"/>
      <c r="P19" s="116"/>
      <c r="Q19" s="256"/>
      <c r="R19" s="104"/>
      <c r="S19" s="72"/>
      <c r="T19" s="72"/>
      <c r="U19" s="72"/>
      <c r="V19" s="116"/>
      <c r="W19" s="253"/>
      <c r="X19" s="104"/>
      <c r="Y19" s="72"/>
      <c r="Z19" s="72"/>
      <c r="AA19" s="72"/>
      <c r="AB19" s="116"/>
      <c r="AC19" s="253"/>
    </row>
    <row r="20" spans="1:29">
      <c r="A20" s="253"/>
      <c r="B20" s="81"/>
      <c r="C20" s="82" t="s">
        <v>35</v>
      </c>
      <c r="D20" s="82"/>
      <c r="E20" s="82"/>
      <c r="F20" s="328"/>
      <c r="G20" s="283"/>
      <c r="H20" s="274"/>
      <c r="I20" s="274"/>
      <c r="J20" s="275"/>
      <c r="K20" s="253"/>
      <c r="L20" s="100" t="s">
        <v>15</v>
      </c>
      <c r="M20" s="72"/>
      <c r="N20" s="72"/>
      <c r="O20" s="4" t="s">
        <v>16</v>
      </c>
      <c r="P20" s="105"/>
      <c r="Q20" s="256"/>
      <c r="R20" s="100" t="s">
        <v>15</v>
      </c>
      <c r="S20" s="72"/>
      <c r="T20" s="72"/>
      <c r="U20" s="4" t="s">
        <v>16</v>
      </c>
      <c r="V20" s="105"/>
      <c r="W20" s="253"/>
      <c r="X20" s="100" t="s">
        <v>15</v>
      </c>
      <c r="Y20" s="72"/>
      <c r="Z20" s="72"/>
      <c r="AA20" s="4" t="s">
        <v>16</v>
      </c>
      <c r="AB20" s="105"/>
      <c r="AC20" s="253"/>
    </row>
    <row r="21" spans="1:29">
      <c r="A21" s="253"/>
      <c r="B21" s="81" t="s">
        <v>36</v>
      </c>
      <c r="C21" s="172" t="s">
        <v>118</v>
      </c>
      <c r="D21" s="172" t="s">
        <v>119</v>
      </c>
      <c r="E21" s="172" t="s">
        <v>120</v>
      </c>
      <c r="F21" s="51"/>
      <c r="G21" s="284"/>
      <c r="H21" s="274"/>
      <c r="I21" s="274"/>
      <c r="J21" s="275"/>
      <c r="K21" s="253"/>
      <c r="L21" s="104" t="s">
        <v>17</v>
      </c>
      <c r="M21" s="72"/>
      <c r="N21" s="65" t="e">
        <f>C30</f>
        <v>#REF!</v>
      </c>
      <c r="O21" s="72"/>
      <c r="P21" s="117" t="e">
        <f>N21*P18</f>
        <v>#REF!</v>
      </c>
      <c r="Q21" s="256"/>
      <c r="R21" s="104" t="s">
        <v>17</v>
      </c>
      <c r="S21" s="72"/>
      <c r="T21" s="65" t="e">
        <f>C30</f>
        <v>#REF!</v>
      </c>
      <c r="U21" s="72"/>
      <c r="V21" s="117" t="e">
        <f>T21*V18</f>
        <v>#REF!</v>
      </c>
      <c r="W21" s="253"/>
      <c r="X21" s="104" t="s">
        <v>17</v>
      </c>
      <c r="Y21" s="72"/>
      <c r="Z21" s="65" t="e">
        <f>C30</f>
        <v>#REF!</v>
      </c>
      <c r="AA21" s="72"/>
      <c r="AB21" s="117" t="e">
        <f>Z21*AB18</f>
        <v>#REF!</v>
      </c>
      <c r="AC21" s="253"/>
    </row>
    <row r="22" spans="1:29">
      <c r="A22" s="253"/>
      <c r="B22" s="171" t="s">
        <v>31</v>
      </c>
      <c r="C22" s="51"/>
      <c r="D22" s="51"/>
      <c r="E22" s="51"/>
      <c r="F22" s="51"/>
      <c r="G22" s="274"/>
      <c r="H22" s="274"/>
      <c r="I22" s="274"/>
      <c r="J22" s="275"/>
      <c r="K22" s="253"/>
      <c r="L22" s="114" t="s">
        <v>18</v>
      </c>
      <c r="M22" s="3"/>
      <c r="N22" s="3"/>
      <c r="O22" s="63"/>
      <c r="P22" s="118" t="e">
        <f>P18+P21</f>
        <v>#REF!</v>
      </c>
      <c r="Q22" s="256"/>
      <c r="R22" s="114" t="s">
        <v>18</v>
      </c>
      <c r="S22" s="3"/>
      <c r="T22" s="3"/>
      <c r="U22" s="63"/>
      <c r="V22" s="118" t="e">
        <f>V18+V21</f>
        <v>#REF!</v>
      </c>
      <c r="W22" s="253"/>
      <c r="X22" s="114" t="s">
        <v>18</v>
      </c>
      <c r="Y22" s="3"/>
      <c r="Z22" s="3"/>
      <c r="AA22" s="63"/>
      <c r="AB22" s="118" t="e">
        <f>AB18+AB21</f>
        <v>#REF!</v>
      </c>
      <c r="AC22" s="253"/>
    </row>
    <row r="23" spans="1:29">
      <c r="A23" s="253"/>
      <c r="B23" s="48" t="str">
        <f>B14</f>
        <v xml:space="preserve">  Management Supervision</v>
      </c>
      <c r="C23" s="85">
        <v>0.05</v>
      </c>
      <c r="D23" s="85">
        <v>0.05</v>
      </c>
      <c r="E23" s="85">
        <v>0.05</v>
      </c>
      <c r="F23" s="85"/>
      <c r="G23" s="276"/>
      <c r="H23" s="857"/>
      <c r="I23" s="857"/>
      <c r="J23" s="858"/>
      <c r="K23" s="253"/>
      <c r="L23" s="100"/>
      <c r="M23" s="4"/>
      <c r="N23" s="4"/>
      <c r="O23" s="66"/>
      <c r="P23" s="119"/>
      <c r="Q23" s="256"/>
      <c r="R23" s="100"/>
      <c r="S23" s="4"/>
      <c r="T23" s="4"/>
      <c r="U23" s="66"/>
      <c r="V23" s="119"/>
      <c r="W23" s="253"/>
      <c r="X23" s="100"/>
      <c r="Y23" s="4"/>
      <c r="Z23" s="4"/>
      <c r="AA23" s="66"/>
      <c r="AB23" s="119"/>
      <c r="AC23" s="253"/>
    </row>
    <row r="24" spans="1:29">
      <c r="A24" s="253"/>
      <c r="B24" s="48" t="str">
        <f>B15</f>
        <v xml:space="preserve">  Site Manager</v>
      </c>
      <c r="C24" s="85">
        <v>1.1499999999999999</v>
      </c>
      <c r="D24" s="85">
        <v>1.1499999999999999</v>
      </c>
      <c r="E24" s="85">
        <v>1.1499999999999999</v>
      </c>
      <c r="F24" s="85"/>
      <c r="G24" s="276"/>
      <c r="H24" s="857"/>
      <c r="I24" s="857"/>
      <c r="J24" s="858"/>
      <c r="K24" s="253"/>
      <c r="L24" s="81" t="s">
        <v>22</v>
      </c>
      <c r="M24" s="72"/>
      <c r="N24" s="72"/>
      <c r="O24" s="72"/>
      <c r="P24" s="123">
        <f>C34</f>
        <v>6191.6539525126345</v>
      </c>
      <c r="Q24" s="256"/>
      <c r="R24" s="81" t="s">
        <v>22</v>
      </c>
      <c r="S24" s="72"/>
      <c r="T24" s="72"/>
      <c r="U24" s="72"/>
      <c r="V24" s="123">
        <f>C34</f>
        <v>6191.6539525126345</v>
      </c>
      <c r="W24" s="253"/>
      <c r="X24" s="81" t="s">
        <v>22</v>
      </c>
      <c r="Y24" s="72"/>
      <c r="Z24" s="72"/>
      <c r="AA24" s="72"/>
      <c r="AB24" s="123">
        <f>C34</f>
        <v>6191.6539525126345</v>
      </c>
      <c r="AC24" s="253"/>
    </row>
    <row r="25" spans="1:29">
      <c r="A25" s="253"/>
      <c r="B25" s="48" t="str">
        <f>B16</f>
        <v xml:space="preserve">  DC Blended (DC I + II)</v>
      </c>
      <c r="C25" s="85">
        <v>7</v>
      </c>
      <c r="D25" s="85">
        <v>8</v>
      </c>
      <c r="E25" s="85">
        <v>9</v>
      </c>
      <c r="F25" s="85"/>
      <c r="G25" s="276"/>
      <c r="H25" s="857"/>
      <c r="I25" s="857"/>
      <c r="J25" s="858"/>
      <c r="K25" s="253"/>
      <c r="L25" s="109"/>
      <c r="M25" s="72"/>
      <c r="N25" s="864"/>
      <c r="O25" s="72"/>
      <c r="P25" s="186"/>
      <c r="Q25" s="256"/>
      <c r="R25" s="81"/>
      <c r="S25" s="72"/>
      <c r="T25" s="864"/>
      <c r="U25" s="72"/>
      <c r="V25" s="186"/>
      <c r="W25" s="253"/>
      <c r="X25" s="81"/>
      <c r="Y25" s="72"/>
      <c r="Z25" s="864"/>
      <c r="AA25" s="72"/>
      <c r="AB25" s="186"/>
      <c r="AC25" s="253"/>
    </row>
    <row r="26" spans="1:29">
      <c r="A26" s="253"/>
      <c r="B26" s="80" t="str">
        <f>B17</f>
        <v xml:space="preserve">  Relief</v>
      </c>
      <c r="C26" s="85">
        <f>C25*$D$9</f>
        <v>1.0769230769230771</v>
      </c>
      <c r="D26" s="85">
        <f>D25*$D$9</f>
        <v>1.2307692307692308</v>
      </c>
      <c r="E26" s="85">
        <f>E25*$D$9</f>
        <v>1.3846153846153846</v>
      </c>
      <c r="F26" s="85"/>
      <c r="G26" s="285"/>
      <c r="H26" s="274"/>
      <c r="I26" s="274"/>
      <c r="J26" s="275"/>
      <c r="K26" s="253"/>
      <c r="L26" s="104"/>
      <c r="M26" s="72"/>
      <c r="N26" s="72"/>
      <c r="O26" s="66"/>
      <c r="P26" s="125"/>
      <c r="Q26" s="256"/>
      <c r="R26" s="104"/>
      <c r="S26" s="72"/>
      <c r="T26" s="72"/>
      <c r="U26" s="66"/>
      <c r="V26" s="125"/>
      <c r="W26" s="253"/>
      <c r="X26" s="104"/>
      <c r="Y26" s="72"/>
      <c r="Z26" s="72"/>
      <c r="AA26" s="66"/>
      <c r="AB26" s="125"/>
      <c r="AC26" s="253"/>
    </row>
    <row r="27" spans="1:29" ht="12.75" customHeight="1">
      <c r="A27" s="253"/>
      <c r="B27" s="173"/>
      <c r="C27" s="174"/>
      <c r="D27" s="174"/>
      <c r="E27" s="174"/>
      <c r="F27" s="85"/>
      <c r="G27" s="276"/>
      <c r="H27" s="857"/>
      <c r="I27" s="857"/>
      <c r="J27" s="858"/>
      <c r="K27" s="253"/>
      <c r="L27" s="114" t="s">
        <v>23</v>
      </c>
      <c r="M27" s="3"/>
      <c r="N27" s="3"/>
      <c r="O27" s="3"/>
      <c r="P27" s="126" t="e">
        <f>SUM(P22:P26)</f>
        <v>#REF!</v>
      </c>
      <c r="Q27" s="256"/>
      <c r="R27" s="114" t="s">
        <v>23</v>
      </c>
      <c r="S27" s="3"/>
      <c r="T27" s="3"/>
      <c r="U27" s="3"/>
      <c r="V27" s="126" t="e">
        <f>SUM(V22:V26)</f>
        <v>#REF!</v>
      </c>
      <c r="W27" s="253"/>
      <c r="X27" s="114" t="s">
        <v>23</v>
      </c>
      <c r="Y27" s="3"/>
      <c r="Z27" s="3"/>
      <c r="AA27" s="3"/>
      <c r="AB27" s="126" t="e">
        <f>SUM(AB22:AB25)</f>
        <v>#REF!</v>
      </c>
      <c r="AC27" s="253"/>
    </row>
    <row r="28" spans="1:29">
      <c r="A28" s="253"/>
      <c r="B28" s="48"/>
      <c r="C28" s="45"/>
      <c r="D28" s="45"/>
      <c r="E28" s="45"/>
      <c r="F28" s="45"/>
      <c r="G28" s="274"/>
      <c r="H28" s="274"/>
      <c r="I28" s="274"/>
      <c r="J28" s="275"/>
      <c r="K28" s="253"/>
      <c r="L28" s="104"/>
      <c r="M28" s="72"/>
      <c r="N28" s="72"/>
      <c r="O28" s="73"/>
      <c r="P28" s="127"/>
      <c r="Q28" s="256"/>
      <c r="R28" s="104"/>
      <c r="S28" s="72"/>
      <c r="T28" s="72"/>
      <c r="U28" s="73"/>
      <c r="V28" s="127"/>
      <c r="W28" s="253"/>
      <c r="X28" s="104"/>
      <c r="Y28" s="72"/>
      <c r="Z28" s="72"/>
      <c r="AA28" s="73"/>
      <c r="AB28" s="127"/>
      <c r="AC28" s="253"/>
    </row>
    <row r="29" spans="1:29">
      <c r="A29" s="253"/>
      <c r="B29" s="81"/>
      <c r="C29" s="82" t="s">
        <v>42</v>
      </c>
      <c r="D29" s="82"/>
      <c r="E29" s="82"/>
      <c r="F29" s="82"/>
      <c r="G29" s="283"/>
      <c r="H29" s="274"/>
      <c r="I29" s="274"/>
      <c r="J29" s="275"/>
      <c r="K29" s="253"/>
      <c r="L29" s="104" t="s">
        <v>24</v>
      </c>
      <c r="M29" s="72"/>
      <c r="N29" s="187">
        <f>C37</f>
        <v>0.12</v>
      </c>
      <c r="O29" s="72"/>
      <c r="P29" s="117" t="e">
        <f>N29*P27</f>
        <v>#REF!</v>
      </c>
      <c r="Q29" s="256"/>
      <c r="R29" s="104" t="s">
        <v>24</v>
      </c>
      <c r="S29" s="72"/>
      <c r="T29" s="187">
        <f>C37</f>
        <v>0.12</v>
      </c>
      <c r="U29" s="72"/>
      <c r="V29" s="117" t="e">
        <f>T29*V27</f>
        <v>#REF!</v>
      </c>
      <c r="W29" s="253"/>
      <c r="X29" s="104" t="s">
        <v>24</v>
      </c>
      <c r="Y29" s="72"/>
      <c r="Z29" s="187">
        <f>C37</f>
        <v>0.12</v>
      </c>
      <c r="AA29" s="72"/>
      <c r="AB29" s="117" t="e">
        <f>Z29*AB27</f>
        <v>#REF!</v>
      </c>
      <c r="AC29" s="253"/>
    </row>
    <row r="30" spans="1:29">
      <c r="A30" s="253"/>
      <c r="B30" s="81" t="s">
        <v>17</v>
      </c>
      <c r="C30" s="88" t="e">
        <f>'Integrated Team (FY21)'!#REF!</f>
        <v>#REF!</v>
      </c>
      <c r="D30" s="88"/>
      <c r="E30" s="88"/>
      <c r="F30" s="88"/>
      <c r="G30" s="286" t="s">
        <v>553</v>
      </c>
      <c r="H30" s="857"/>
      <c r="I30" s="857"/>
      <c r="J30" s="858"/>
      <c r="K30" s="253"/>
      <c r="L30" s="865" t="str">
        <f>B38</f>
        <v>PFLMA Trust Contribution</v>
      </c>
      <c r="M30" s="72"/>
      <c r="N30" s="187">
        <f>C38</f>
        <v>7.4999999999999997E-3</v>
      </c>
      <c r="O30" s="72"/>
      <c r="P30" s="117" t="e">
        <f>N30*P18</f>
        <v>#REF!</v>
      </c>
      <c r="Q30" s="256"/>
      <c r="R30" s="865" t="str">
        <f>B38</f>
        <v>PFLMA Trust Contribution</v>
      </c>
      <c r="S30" s="72"/>
      <c r="T30" s="187">
        <f>C38</f>
        <v>7.4999999999999997E-3</v>
      </c>
      <c r="U30" s="72"/>
      <c r="V30" s="117" t="e">
        <f>T30*V18</f>
        <v>#REF!</v>
      </c>
      <c r="W30" s="253"/>
      <c r="X30" s="865" t="str">
        <f>B38</f>
        <v>PFLMA Trust Contribution</v>
      </c>
      <c r="Y30" s="72"/>
      <c r="Z30" s="187">
        <f>C38</f>
        <v>7.4999999999999997E-3</v>
      </c>
      <c r="AA30" s="72"/>
      <c r="AB30" s="117" t="e">
        <f>Z30*AB18</f>
        <v>#REF!</v>
      </c>
      <c r="AC30" s="253"/>
    </row>
    <row r="31" spans="1:29">
      <c r="A31" s="253"/>
      <c r="B31" s="81" t="s">
        <v>601</v>
      </c>
      <c r="C31" s="863">
        <f>8.16</f>
        <v>8.16</v>
      </c>
      <c r="D31" s="175"/>
      <c r="E31" s="175"/>
      <c r="G31" s="599" t="s">
        <v>787</v>
      </c>
      <c r="H31" s="274"/>
      <c r="I31" s="274"/>
      <c r="J31" s="275"/>
      <c r="K31" s="253"/>
      <c r="L31" s="104"/>
      <c r="M31" s="72"/>
      <c r="N31" s="72"/>
      <c r="O31" s="72"/>
      <c r="P31" s="128"/>
      <c r="Q31" s="256"/>
      <c r="R31" s="104"/>
      <c r="S31" s="72"/>
      <c r="T31" s="72"/>
      <c r="U31" s="72"/>
      <c r="V31" s="128"/>
      <c r="W31" s="253"/>
      <c r="X31" s="104"/>
      <c r="Y31" s="72"/>
      <c r="Z31" s="72"/>
      <c r="AA31" s="72"/>
      <c r="AB31" s="128"/>
      <c r="AC31" s="253"/>
    </row>
    <row r="32" spans="1:29" ht="13.5" thickBot="1">
      <c r="A32" s="253"/>
      <c r="B32" s="368"/>
      <c r="C32" s="369"/>
      <c r="D32" s="369"/>
      <c r="E32" s="369"/>
      <c r="F32" s="369"/>
      <c r="G32" s="370"/>
      <c r="H32" s="370"/>
      <c r="I32" s="370"/>
      <c r="J32" s="278"/>
      <c r="K32" s="253"/>
      <c r="L32" s="129" t="s">
        <v>25</v>
      </c>
      <c r="M32" s="74"/>
      <c r="N32" s="74"/>
      <c r="O32" s="74"/>
      <c r="P32" s="130" t="e">
        <f>SUM(P27:P31)</f>
        <v>#REF!</v>
      </c>
      <c r="Q32" s="256"/>
      <c r="R32" s="129" t="s">
        <v>25</v>
      </c>
      <c r="S32" s="74"/>
      <c r="T32" s="74"/>
      <c r="U32" s="74"/>
      <c r="V32" s="130" t="e">
        <f>SUM(V27:V31)</f>
        <v>#REF!</v>
      </c>
      <c r="W32" s="253"/>
      <c r="X32" s="129" t="s">
        <v>25</v>
      </c>
      <c r="Y32" s="74"/>
      <c r="Z32" s="74"/>
      <c r="AA32" s="74"/>
      <c r="AB32" s="130" t="e">
        <f>SUM(AB27:AB30)</f>
        <v>#REF!</v>
      </c>
      <c r="AC32" s="253"/>
    </row>
    <row r="33" spans="1:29" ht="13.5" thickTop="1">
      <c r="A33" s="253"/>
      <c r="B33" s="368"/>
      <c r="C33" s="369"/>
      <c r="D33" s="369"/>
      <c r="E33" s="369"/>
      <c r="F33" s="369"/>
      <c r="G33" s="370"/>
      <c r="H33" s="370"/>
      <c r="I33" s="370"/>
      <c r="J33" s="278"/>
      <c r="K33" s="253"/>
      <c r="L33" s="104"/>
      <c r="M33" s="72"/>
      <c r="N33" s="72"/>
      <c r="O33" s="72"/>
      <c r="P33" s="105"/>
      <c r="Q33" s="253"/>
      <c r="R33" s="104"/>
      <c r="S33" s="72"/>
      <c r="T33" s="72"/>
      <c r="U33" s="72"/>
      <c r="V33" s="105"/>
      <c r="W33" s="253"/>
      <c r="X33" s="104"/>
      <c r="Y33" s="72"/>
      <c r="Z33" s="72"/>
      <c r="AA33" s="72"/>
      <c r="AB33" s="105"/>
      <c r="AC33" s="253"/>
    </row>
    <row r="34" spans="1:29">
      <c r="A34" s="253"/>
      <c r="B34" s="81" t="s">
        <v>22</v>
      </c>
      <c r="C34" s="364">
        <f>5750*(1+C40)</f>
        <v>6191.6539525126345</v>
      </c>
      <c r="E34" s="89"/>
      <c r="F34" s="325"/>
      <c r="G34" s="252" t="s">
        <v>476</v>
      </c>
      <c r="H34" s="365"/>
      <c r="I34" s="365"/>
      <c r="J34" s="327"/>
      <c r="K34" s="253"/>
      <c r="L34" s="104" t="s">
        <v>26</v>
      </c>
      <c r="M34" s="72"/>
      <c r="N34" s="883">
        <f>C41</f>
        <v>2.5000000000000001E-2</v>
      </c>
      <c r="O34" s="72"/>
      <c r="P34" s="132" t="e">
        <f>P32*(1+N34)</f>
        <v>#REF!</v>
      </c>
      <c r="Q34" s="253"/>
      <c r="R34" s="104" t="s">
        <v>26</v>
      </c>
      <c r="S34" s="72"/>
      <c r="T34" s="883">
        <f>C41</f>
        <v>2.5000000000000001E-2</v>
      </c>
      <c r="U34" s="72"/>
      <c r="V34" s="132" t="e">
        <f>V32*(1+T34)</f>
        <v>#REF!</v>
      </c>
      <c r="W34" s="253"/>
      <c r="X34" s="104" t="s">
        <v>26</v>
      </c>
      <c r="Y34" s="72"/>
      <c r="Z34" s="883">
        <f>C41</f>
        <v>2.5000000000000001E-2</v>
      </c>
      <c r="AA34" s="72"/>
      <c r="AB34" s="132" t="e">
        <f>AB32*(1+Z34)</f>
        <v>#REF!</v>
      </c>
      <c r="AC34" s="253"/>
    </row>
    <row r="35" spans="1:29">
      <c r="A35" s="253"/>
      <c r="B35" s="92"/>
      <c r="C35" s="93"/>
      <c r="D35" s="93"/>
      <c r="E35" s="93"/>
      <c r="F35" s="295"/>
      <c r="G35" s="279"/>
      <c r="H35" s="274"/>
      <c r="I35" s="274"/>
      <c r="J35" s="275"/>
      <c r="K35" s="253"/>
      <c r="L35" s="109" t="s">
        <v>601</v>
      </c>
      <c r="M35" s="72"/>
      <c r="N35" s="864">
        <f>C31</f>
        <v>8.16</v>
      </c>
      <c r="O35" s="72"/>
      <c r="P35" s="870">
        <f>P10*N35</f>
        <v>14892</v>
      </c>
      <c r="Q35" s="253"/>
      <c r="R35" s="109" t="s">
        <v>601</v>
      </c>
      <c r="S35" s="571"/>
      <c r="T35" s="888">
        <f>C31</f>
        <v>8.16</v>
      </c>
      <c r="U35" s="571"/>
      <c r="V35" s="875">
        <f>T35*V10</f>
        <v>23827.200000000001</v>
      </c>
      <c r="W35" s="571"/>
      <c r="X35" s="109" t="s">
        <v>601</v>
      </c>
      <c r="Y35" s="72"/>
      <c r="Z35" s="864">
        <f>C31</f>
        <v>8.16</v>
      </c>
      <c r="AA35" s="571"/>
      <c r="AB35" s="875">
        <f>Z35*AB10</f>
        <v>32762.400000000001</v>
      </c>
      <c r="AC35" s="253"/>
    </row>
    <row r="36" spans="1:29">
      <c r="A36" s="253"/>
      <c r="B36" s="171"/>
      <c r="C36" s="295"/>
      <c r="D36" s="295"/>
      <c r="E36" s="295"/>
      <c r="F36" s="295"/>
      <c r="G36" s="279"/>
      <c r="H36" s="274"/>
      <c r="I36" s="274"/>
      <c r="J36" s="275"/>
      <c r="K36" s="253"/>
      <c r="L36" s="104"/>
      <c r="M36" s="72"/>
      <c r="N36" s="566"/>
      <c r="O36" s="72"/>
      <c r="P36" s="567" t="e">
        <f>SUM(P34:P35)</f>
        <v>#REF!</v>
      </c>
      <c r="Q36" s="253"/>
      <c r="R36" s="570"/>
      <c r="S36" s="571"/>
      <c r="T36" s="571"/>
      <c r="U36" s="571"/>
      <c r="V36" s="887" t="e">
        <f>SUM(V34:V35)</f>
        <v>#REF!</v>
      </c>
      <c r="W36" s="253"/>
      <c r="X36" s="104"/>
      <c r="Y36" s="72"/>
      <c r="Z36" s="72"/>
      <c r="AA36" s="72"/>
      <c r="AB36" s="573" t="e">
        <f>SUM(AB34:AB35)</f>
        <v>#REF!</v>
      </c>
      <c r="AC36" s="253"/>
    </row>
    <row r="37" spans="1:29">
      <c r="A37" s="253"/>
      <c r="B37" s="81" t="s">
        <v>24</v>
      </c>
      <c r="C37" s="88">
        <f>'Integrated Team (FY21)'!E46</f>
        <v>0.12</v>
      </c>
      <c r="D37" s="88"/>
      <c r="E37" s="88"/>
      <c r="F37" s="88"/>
      <c r="G37" s="370" t="s">
        <v>477</v>
      </c>
      <c r="H37" s="274"/>
      <c r="I37" s="274"/>
      <c r="J37" s="275"/>
      <c r="K37" s="253"/>
      <c r="L37" s="104"/>
      <c r="M37" s="72"/>
      <c r="N37" s="566"/>
      <c r="O37" s="73"/>
      <c r="P37" s="612"/>
      <c r="Q37" s="253"/>
      <c r="R37" s="570"/>
      <c r="S37" s="571"/>
      <c r="T37" s="571"/>
      <c r="U37" s="571"/>
      <c r="V37" s="886"/>
      <c r="W37" s="253"/>
      <c r="X37" s="104"/>
      <c r="Y37" s="72"/>
      <c r="Z37" s="72"/>
      <c r="AA37" s="72"/>
      <c r="AB37" s="105"/>
      <c r="AC37" s="253"/>
    </row>
    <row r="38" spans="1:29" ht="13.5" thickBot="1">
      <c r="A38" s="253"/>
      <c r="B38" s="859" t="s">
        <v>788</v>
      </c>
      <c r="C38" s="88">
        <v>7.4999999999999997E-3</v>
      </c>
      <c r="D38" s="45"/>
      <c r="E38" s="45"/>
      <c r="F38" s="45"/>
      <c r="G38" s="370" t="s">
        <v>782</v>
      </c>
      <c r="H38" s="274"/>
      <c r="I38" s="274"/>
      <c r="J38" s="275"/>
      <c r="K38" s="253"/>
      <c r="L38" s="104" t="s">
        <v>28</v>
      </c>
      <c r="M38" s="72"/>
      <c r="N38" s="566"/>
      <c r="O38" s="73"/>
      <c r="P38" s="568" t="e">
        <f>P36/P10</f>
        <v>#REF!</v>
      </c>
      <c r="Q38" s="253"/>
      <c r="R38" s="104" t="s">
        <v>28</v>
      </c>
      <c r="S38" s="72"/>
      <c r="T38" s="72"/>
      <c r="U38" s="73"/>
      <c r="V38" s="568" t="e">
        <f>V36/V10</f>
        <v>#REF!</v>
      </c>
      <c r="W38" s="253"/>
      <c r="X38" s="550" t="s">
        <v>28</v>
      </c>
      <c r="Y38" s="548"/>
      <c r="Z38" s="548"/>
      <c r="AA38" s="549"/>
      <c r="AB38" s="590" t="e">
        <f>AB36/AB10</f>
        <v>#REF!</v>
      </c>
      <c r="AC38" s="253"/>
    </row>
    <row r="39" spans="1:29" ht="13.5" thickBot="1">
      <c r="A39" s="253"/>
      <c r="B39" s="81"/>
      <c r="C39" s="88"/>
      <c r="D39" s="88"/>
      <c r="E39" s="88"/>
      <c r="F39" s="88"/>
      <c r="G39" s="370"/>
      <c r="H39" s="274"/>
      <c r="I39" s="274"/>
      <c r="J39" s="275"/>
      <c r="K39" s="253"/>
      <c r="L39" s="357"/>
      <c r="M39" s="358"/>
      <c r="N39" s="359"/>
      <c r="O39" s="360"/>
      <c r="P39" s="361"/>
      <c r="Q39" s="253"/>
      <c r="R39" s="357"/>
      <c r="S39" s="358"/>
      <c r="T39" s="359"/>
      <c r="U39" s="360"/>
      <c r="V39" s="361"/>
      <c r="W39" s="253"/>
      <c r="X39" s="872"/>
      <c r="Y39" s="873"/>
      <c r="Z39" s="548"/>
      <c r="AA39" s="549"/>
      <c r="AB39" s="874"/>
      <c r="AC39" s="253"/>
    </row>
    <row r="40" spans="1:29">
      <c r="A40" s="253"/>
      <c r="B40" s="81" t="s">
        <v>37</v>
      </c>
      <c r="C40" s="389">
        <f>'Integrated Team (FY21)'!E47</f>
        <v>7.6809383045675458E-2</v>
      </c>
      <c r="D40" s="45"/>
      <c r="E40" s="45"/>
      <c r="F40" s="45"/>
      <c r="G40" s="302" t="s">
        <v>781</v>
      </c>
      <c r="H40" s="274"/>
      <c r="I40" s="274"/>
      <c r="J40" s="275"/>
      <c r="K40" s="253"/>
      <c r="L40" s="363"/>
      <c r="M40" s="410"/>
      <c r="N40" s="72"/>
      <c r="O40" s="73" t="s">
        <v>783</v>
      </c>
      <c r="P40" s="411">
        <v>241.99</v>
      </c>
      <c r="Q40" s="253"/>
      <c r="R40" s="363"/>
      <c r="S40" s="410"/>
      <c r="T40" s="72"/>
      <c r="U40" s="73" t="s">
        <v>783</v>
      </c>
      <c r="V40" s="411">
        <v>171.08</v>
      </c>
      <c r="W40" s="253"/>
      <c r="X40" s="363"/>
      <c r="Y40" s="410"/>
      <c r="Z40" s="72"/>
      <c r="AA40" s="73" t="s">
        <v>783</v>
      </c>
      <c r="AB40" s="411">
        <v>138.85</v>
      </c>
      <c r="AC40" s="253"/>
    </row>
    <row r="41" spans="1:29" ht="13.5" thickBot="1">
      <c r="A41" s="253"/>
      <c r="B41" s="860" t="s">
        <v>37</v>
      </c>
      <c r="C41" s="96">
        <v>2.5000000000000001E-2</v>
      </c>
      <c r="D41" s="96"/>
      <c r="E41" s="96"/>
      <c r="F41" s="96"/>
      <c r="G41" s="862" t="s">
        <v>780</v>
      </c>
      <c r="H41" s="281"/>
      <c r="I41" s="281"/>
      <c r="J41" s="282"/>
      <c r="K41" s="253"/>
      <c r="L41" s="363"/>
      <c r="M41" s="410"/>
      <c r="N41" s="72"/>
      <c r="O41" s="73"/>
      <c r="P41" s="867" t="e">
        <f>(P38-P40)/P38</f>
        <v>#REF!</v>
      </c>
      <c r="Q41" s="253"/>
      <c r="R41" s="363"/>
      <c r="S41" s="410"/>
      <c r="T41" s="72"/>
      <c r="U41" s="73"/>
      <c r="V41" s="867" t="e">
        <f>(V38-V40)/V40</f>
        <v>#REF!</v>
      </c>
      <c r="W41" s="253"/>
      <c r="X41" s="363"/>
      <c r="Y41" s="410"/>
      <c r="Z41" s="72"/>
      <c r="AA41" s="73"/>
      <c r="AB41" s="867" t="e">
        <f>(AB38-AB40)/AB40</f>
        <v>#REF!</v>
      </c>
      <c r="AC41" s="253"/>
    </row>
    <row r="42" spans="1:29">
      <c r="A42" s="253"/>
      <c r="B42" s="2563" t="s">
        <v>598</v>
      </c>
      <c r="C42" s="2563"/>
      <c r="D42" s="2563"/>
      <c r="E42" s="2563"/>
      <c r="F42" s="2563"/>
      <c r="G42" s="2563"/>
      <c r="H42" s="2563"/>
      <c r="I42" s="2563"/>
      <c r="J42" s="2563"/>
      <c r="K42" s="253"/>
      <c r="L42" s="253"/>
      <c r="M42" s="253"/>
      <c r="N42" s="253"/>
      <c r="O42" s="253"/>
      <c r="P42" s="253"/>
      <c r="Q42" s="253"/>
      <c r="R42" s="253"/>
      <c r="S42" s="253"/>
      <c r="T42" s="253"/>
      <c r="U42" s="253"/>
      <c r="V42" s="253"/>
      <c r="W42" s="253"/>
      <c r="X42" s="253"/>
      <c r="Y42" s="253"/>
      <c r="Z42" s="253"/>
      <c r="AA42" s="253"/>
      <c r="AB42" s="253"/>
      <c r="AC42" s="253"/>
    </row>
    <row r="43" spans="1:29">
      <c r="A43" s="253"/>
      <c r="B43" s="2564"/>
      <c r="C43" s="2564"/>
      <c r="D43" s="2564"/>
      <c r="E43" s="2564"/>
      <c r="F43" s="2564"/>
      <c r="G43" s="2564"/>
      <c r="H43" s="2564"/>
      <c r="I43" s="2564"/>
      <c r="J43" s="2564"/>
      <c r="K43" s="253"/>
      <c r="L43" s="253"/>
      <c r="M43" s="253"/>
      <c r="N43" s="253"/>
      <c r="O43" s="253"/>
      <c r="P43" s="253"/>
      <c r="Q43" s="253"/>
      <c r="R43" s="253"/>
      <c r="S43" s="253"/>
      <c r="T43" s="253"/>
      <c r="U43" s="253"/>
      <c r="V43" s="253"/>
      <c r="W43" s="253"/>
      <c r="X43" s="253"/>
      <c r="Y43" s="253"/>
      <c r="Z43" s="253"/>
      <c r="AA43" s="253"/>
      <c r="AB43" s="253"/>
      <c r="AC43" s="253"/>
    </row>
    <row r="44" spans="1:29">
      <c r="A44" s="253"/>
      <c r="B44" s="253"/>
      <c r="C44" s="253"/>
      <c r="D44" s="253"/>
      <c r="E44" s="253"/>
      <c r="F44" s="253"/>
      <c r="G44" s="253"/>
      <c r="H44" s="253"/>
      <c r="I44" s="253"/>
      <c r="J44" s="253"/>
      <c r="K44" s="253"/>
      <c r="L44" s="868" t="s">
        <v>789</v>
      </c>
      <c r="M44" s="868"/>
      <c r="N44" s="868"/>
      <c r="O44" s="868"/>
      <c r="P44" s="869"/>
      <c r="Q44" s="253"/>
      <c r="R44" s="253"/>
      <c r="S44" s="253"/>
      <c r="T44" s="253"/>
      <c r="U44" s="253"/>
      <c r="V44" s="253"/>
      <c r="W44" s="253"/>
      <c r="X44" s="253"/>
      <c r="Y44" s="253"/>
      <c r="Z44" s="253"/>
      <c r="AA44" s="253"/>
      <c r="AB44" s="253"/>
      <c r="AC44" s="253"/>
    </row>
    <row r="45" spans="1:29">
      <c r="A45" s="253"/>
      <c r="B45" s="336" t="s">
        <v>567</v>
      </c>
      <c r="C45" s="253"/>
      <c r="D45" s="253"/>
      <c r="E45" s="253"/>
      <c r="F45" s="253"/>
      <c r="G45" s="253"/>
      <c r="H45" s="253"/>
      <c r="I45" s="253"/>
      <c r="J45" s="253"/>
      <c r="K45" s="253"/>
      <c r="L45" s="363"/>
      <c r="M45" s="75"/>
      <c r="N45" s="76"/>
      <c r="O45" s="77"/>
      <c r="P45" s="253"/>
      <c r="Q45" s="253"/>
      <c r="R45" s="363"/>
      <c r="S45" s="75"/>
      <c r="T45" s="76"/>
      <c r="U45" s="77"/>
      <c r="V45" s="73"/>
      <c r="W45" s="253"/>
      <c r="X45" s="363"/>
      <c r="Y45" s="75"/>
      <c r="Z45" s="76"/>
      <c r="AA45" s="77"/>
      <c r="AB45" s="73"/>
      <c r="AC45" s="253"/>
    </row>
    <row r="46" spans="1:29">
      <c r="A46" s="253"/>
      <c r="B46" s="334" t="s">
        <v>401</v>
      </c>
      <c r="C46" s="331" t="s">
        <v>400</v>
      </c>
      <c r="D46" s="331" t="s">
        <v>394</v>
      </c>
      <c r="E46" s="331" t="s">
        <v>395</v>
      </c>
      <c r="F46" s="331" t="s">
        <v>396</v>
      </c>
      <c r="G46" s="331" t="s">
        <v>397</v>
      </c>
      <c r="H46" s="331" t="s">
        <v>398</v>
      </c>
      <c r="I46" s="331" t="s">
        <v>399</v>
      </c>
      <c r="J46" s="253"/>
      <c r="K46" s="253"/>
      <c r="L46" s="363"/>
      <c r="M46" s="75"/>
      <c r="N46" s="76"/>
      <c r="O46" s="77"/>
      <c r="P46" s="253"/>
      <c r="Q46" s="253"/>
      <c r="R46" s="363"/>
      <c r="S46" s="75"/>
      <c r="T46" s="76"/>
      <c r="U46" s="77"/>
      <c r="V46" s="73"/>
      <c r="W46" s="253"/>
      <c r="X46" s="363"/>
      <c r="Y46" s="75"/>
      <c r="Z46" s="76"/>
      <c r="AA46" s="77"/>
      <c r="AB46" s="73"/>
      <c r="AC46" s="253"/>
    </row>
    <row r="47" spans="1:29">
      <c r="A47" s="253"/>
      <c r="B47" s="335" t="s">
        <v>391</v>
      </c>
      <c r="C47" s="332">
        <v>16</v>
      </c>
      <c r="D47" s="332">
        <v>16</v>
      </c>
      <c r="E47" s="332">
        <v>16</v>
      </c>
      <c r="F47" s="332">
        <v>16</v>
      </c>
      <c r="G47" s="332">
        <v>16</v>
      </c>
      <c r="H47" s="332">
        <v>16</v>
      </c>
      <c r="I47" s="332">
        <v>16</v>
      </c>
      <c r="J47" s="253"/>
      <c r="K47" s="253"/>
      <c r="L47" s="253"/>
      <c r="M47" s="253"/>
      <c r="N47" s="253"/>
      <c r="O47" s="253" t="s">
        <v>790</v>
      </c>
      <c r="P47" s="253"/>
      <c r="Q47" s="253"/>
      <c r="R47" s="253"/>
      <c r="S47" s="253"/>
      <c r="T47" s="253"/>
      <c r="U47" s="253"/>
      <c r="V47" s="253"/>
      <c r="W47" s="253"/>
      <c r="X47" s="253"/>
      <c r="Y47" s="253"/>
      <c r="Z47" s="253"/>
      <c r="AA47" s="253"/>
      <c r="AB47" s="253"/>
      <c r="AC47" s="253"/>
    </row>
    <row r="48" spans="1:29">
      <c r="A48" s="253"/>
      <c r="B48" s="335" t="s">
        <v>392</v>
      </c>
      <c r="C48" s="332">
        <v>16</v>
      </c>
      <c r="D48" s="332">
        <v>16</v>
      </c>
      <c r="E48" s="332">
        <v>16</v>
      </c>
      <c r="F48" s="332">
        <v>16</v>
      </c>
      <c r="G48" s="332">
        <v>16</v>
      </c>
      <c r="H48" s="332">
        <v>16</v>
      </c>
      <c r="I48" s="332">
        <v>16</v>
      </c>
      <c r="J48" s="253"/>
      <c r="K48" s="253"/>
      <c r="L48" s="330"/>
      <c r="M48" s="253"/>
      <c r="N48" s="253"/>
      <c r="O48" s="253"/>
      <c r="P48" s="253"/>
      <c r="Q48" s="253"/>
      <c r="R48" s="253"/>
      <c r="S48" s="253"/>
      <c r="T48" s="253"/>
      <c r="U48" s="253"/>
      <c r="V48" s="253"/>
      <c r="W48" s="253"/>
      <c r="X48" s="253"/>
      <c r="Y48" s="253"/>
      <c r="Z48" s="253"/>
      <c r="AA48" s="253"/>
      <c r="AB48" s="253"/>
      <c r="AC48" s="253"/>
    </row>
    <row r="49" spans="1:29">
      <c r="A49" s="253"/>
      <c r="B49" s="335" t="s">
        <v>393</v>
      </c>
      <c r="C49" s="332">
        <v>8</v>
      </c>
      <c r="D49" s="332">
        <v>8</v>
      </c>
      <c r="E49" s="332">
        <v>8</v>
      </c>
      <c r="F49" s="332">
        <v>8</v>
      </c>
      <c r="G49" s="332">
        <v>8</v>
      </c>
      <c r="H49" s="332">
        <v>8</v>
      </c>
      <c r="I49" s="332">
        <v>8</v>
      </c>
      <c r="J49" s="253"/>
      <c r="K49" s="253"/>
      <c r="L49" s="330"/>
      <c r="M49" s="253"/>
      <c r="N49" s="253"/>
      <c r="O49" s="253"/>
      <c r="P49" s="253"/>
      <c r="Q49" s="253"/>
      <c r="R49" s="253"/>
      <c r="S49" s="253"/>
      <c r="T49" s="253"/>
      <c r="U49" s="253"/>
      <c r="V49" s="253"/>
      <c r="W49" s="253"/>
      <c r="X49" s="253"/>
      <c r="Y49" s="253"/>
      <c r="Z49" s="253"/>
      <c r="AA49" s="253"/>
      <c r="AB49" s="253"/>
      <c r="AC49" s="253"/>
    </row>
    <row r="50" spans="1:29">
      <c r="A50" s="253"/>
      <c r="B50" s="335" t="str">
        <f>"Total"&amp;" = "&amp;(SUM(C50:I50))</f>
        <v>Total = 280</v>
      </c>
      <c r="C50" s="333">
        <f>SUM(C47:C49)</f>
        <v>40</v>
      </c>
      <c r="D50" s="333">
        <f t="shared" ref="D50:I50" si="0">SUM(D47:D49)</f>
        <v>40</v>
      </c>
      <c r="E50" s="333">
        <f t="shared" si="0"/>
        <v>40</v>
      </c>
      <c r="F50" s="333">
        <f t="shared" si="0"/>
        <v>40</v>
      </c>
      <c r="G50" s="333">
        <f t="shared" si="0"/>
        <v>40</v>
      </c>
      <c r="H50" s="333">
        <f t="shared" si="0"/>
        <v>40</v>
      </c>
      <c r="I50" s="333">
        <f t="shared" si="0"/>
        <v>40</v>
      </c>
      <c r="J50" s="253"/>
      <c r="K50" s="253"/>
      <c r="L50" s="330" t="s">
        <v>561</v>
      </c>
      <c r="M50" s="253"/>
      <c r="N50" s="253"/>
      <c r="O50" s="253"/>
      <c r="P50" s="253"/>
      <c r="Q50" s="253"/>
      <c r="R50" s="253"/>
      <c r="S50" s="253"/>
      <c r="T50" s="253"/>
      <c r="U50" s="253"/>
      <c r="V50" s="253"/>
      <c r="W50" s="253"/>
      <c r="X50" s="253"/>
      <c r="Y50" s="253"/>
      <c r="Z50" s="253"/>
      <c r="AA50" s="253"/>
      <c r="AB50" s="253"/>
      <c r="AC50" s="253"/>
    </row>
    <row r="51" spans="1:29" ht="26.25" customHeight="1" thickBot="1">
      <c r="A51" s="253"/>
      <c r="B51" s="2565" t="s">
        <v>420</v>
      </c>
      <c r="C51" s="2565"/>
      <c r="D51" s="2565"/>
      <c r="E51" s="2565"/>
      <c r="F51" s="2565"/>
      <c r="G51" s="2565"/>
      <c r="H51" s="2565"/>
      <c r="I51" s="2565"/>
      <c r="J51" s="253"/>
      <c r="K51" s="253"/>
      <c r="L51" s="330"/>
      <c r="M51" s="253"/>
      <c r="N51" s="253"/>
      <c r="O51" s="253"/>
      <c r="P51" s="253"/>
      <c r="Q51" s="253"/>
      <c r="R51" s="253"/>
      <c r="S51" s="253"/>
      <c r="T51" s="253"/>
      <c r="U51" s="253"/>
      <c r="V51" s="253"/>
      <c r="W51" s="253"/>
      <c r="X51" s="253"/>
      <c r="Y51" s="253"/>
      <c r="Z51" s="253"/>
      <c r="AA51" s="253"/>
      <c r="AB51" s="253"/>
      <c r="AC51" s="253"/>
    </row>
    <row r="52" spans="1:29" ht="26.25" customHeight="1" thickBot="1">
      <c r="A52" s="253"/>
      <c r="B52" s="404"/>
      <c r="C52" s="404"/>
      <c r="D52" s="404"/>
      <c r="E52" s="404"/>
      <c r="F52" s="404"/>
      <c r="G52" s="404"/>
      <c r="H52" s="404"/>
      <c r="I52" s="404"/>
      <c r="J52" s="253"/>
      <c r="K52" s="253"/>
      <c r="L52" s="2566" t="s">
        <v>562</v>
      </c>
      <c r="M52" s="2567"/>
      <c r="N52" s="2567"/>
      <c r="O52" s="2567"/>
      <c r="P52" s="2568"/>
      <c r="Q52" s="253"/>
      <c r="R52" s="2566" t="s">
        <v>563</v>
      </c>
      <c r="S52" s="2567"/>
      <c r="T52" s="2567"/>
      <c r="U52" s="2567"/>
      <c r="V52" s="2568"/>
      <c r="W52" s="253"/>
      <c r="X52" s="2566" t="s">
        <v>564</v>
      </c>
      <c r="Y52" s="2567"/>
      <c r="Z52" s="2567"/>
      <c r="AA52" s="2567"/>
      <c r="AB52" s="2568"/>
      <c r="AC52" s="253"/>
    </row>
    <row r="53" spans="1:29">
      <c r="A53" s="253"/>
      <c r="B53" s="253"/>
      <c r="C53" s="253"/>
      <c r="D53" s="326"/>
      <c r="E53" s="326"/>
      <c r="F53" s="326"/>
      <c r="G53" s="326"/>
      <c r="H53" s="326"/>
      <c r="I53" s="326"/>
      <c r="J53" s="253"/>
      <c r="K53" s="253"/>
      <c r="L53" s="146" t="s">
        <v>277</v>
      </c>
      <c r="M53" s="147">
        <v>15</v>
      </c>
      <c r="N53" s="148"/>
      <c r="O53" s="149" t="s">
        <v>133</v>
      </c>
      <c r="P53" s="150">
        <f>M53*365</f>
        <v>5475</v>
      </c>
      <c r="Q53" s="253"/>
      <c r="R53" s="146" t="s">
        <v>277</v>
      </c>
      <c r="S53" s="147">
        <v>20</v>
      </c>
      <c r="T53" s="148"/>
      <c r="U53" s="149" t="s">
        <v>133</v>
      </c>
      <c r="V53" s="150">
        <f>S53*365</f>
        <v>7300</v>
      </c>
      <c r="W53" s="253"/>
      <c r="X53" s="146" t="s">
        <v>277</v>
      </c>
      <c r="Y53" s="147">
        <v>30</v>
      </c>
      <c r="Z53" s="148"/>
      <c r="AA53" s="149" t="s">
        <v>133</v>
      </c>
      <c r="AB53" s="150">
        <f>Y53*365</f>
        <v>10950</v>
      </c>
      <c r="AC53" s="253"/>
    </row>
    <row r="54" spans="1:29">
      <c r="A54" s="253"/>
      <c r="B54" s="336"/>
      <c r="C54" s="253"/>
      <c r="D54" s="253"/>
      <c r="E54" s="253"/>
      <c r="F54" s="253"/>
      <c r="G54" s="253"/>
      <c r="H54" s="253"/>
      <c r="I54" s="253"/>
      <c r="J54" s="253"/>
      <c r="K54" s="253"/>
      <c r="L54" s="104"/>
      <c r="M54" s="72"/>
      <c r="N54" s="72"/>
      <c r="O54" s="72"/>
      <c r="P54" s="105"/>
      <c r="R54" s="104"/>
      <c r="S54" s="72"/>
      <c r="T54" s="72"/>
      <c r="U54" s="72"/>
      <c r="V54" s="105"/>
      <c r="X54" s="104"/>
      <c r="Y54" s="72"/>
      <c r="Z54" s="72"/>
      <c r="AA54" s="72"/>
      <c r="AB54" s="105"/>
      <c r="AC54" s="253"/>
    </row>
    <row r="55" spans="1:29">
      <c r="A55" s="253"/>
      <c r="B55" s="329"/>
      <c r="C55" s="253"/>
      <c r="D55" s="253"/>
      <c r="E55" s="253"/>
      <c r="F55" s="253"/>
      <c r="G55" s="253"/>
      <c r="H55" s="253"/>
      <c r="I55" s="253"/>
      <c r="J55" s="253"/>
      <c r="K55" s="253"/>
      <c r="L55" s="106"/>
      <c r="M55" s="53"/>
      <c r="N55" s="54" t="s">
        <v>5</v>
      </c>
      <c r="O55" s="54" t="s">
        <v>6</v>
      </c>
      <c r="P55" s="107" t="s">
        <v>7</v>
      </c>
      <c r="Q55" s="253"/>
      <c r="R55" s="106"/>
      <c r="S55" s="53"/>
      <c r="T55" s="54" t="s">
        <v>5</v>
      </c>
      <c r="U55" s="54" t="s">
        <v>6</v>
      </c>
      <c r="V55" s="107" t="s">
        <v>7</v>
      </c>
      <c r="W55" s="253"/>
      <c r="X55" s="106"/>
      <c r="Y55" s="53"/>
      <c r="Z55" s="54" t="s">
        <v>5</v>
      </c>
      <c r="AA55" s="54" t="s">
        <v>6</v>
      </c>
      <c r="AB55" s="107" t="s">
        <v>7</v>
      </c>
      <c r="AC55" s="253"/>
    </row>
    <row r="56" spans="1:29" ht="13.5" thickBot="1">
      <c r="A56" s="253"/>
      <c r="B56" s="330" t="s">
        <v>565</v>
      </c>
      <c r="C56" s="253"/>
      <c r="D56" s="253"/>
      <c r="E56" s="253"/>
      <c r="F56" s="253"/>
      <c r="G56" s="253"/>
      <c r="H56" s="253"/>
      <c r="I56" s="253"/>
      <c r="J56" s="257"/>
      <c r="K56" s="253"/>
      <c r="L56" s="171" t="s">
        <v>31</v>
      </c>
      <c r="M56" s="55"/>
      <c r="N56" s="56"/>
      <c r="O56" s="56"/>
      <c r="P56" s="108"/>
      <c r="Q56" s="253"/>
      <c r="R56" s="171" t="s">
        <v>31</v>
      </c>
      <c r="S56" s="55"/>
      <c r="T56" s="56"/>
      <c r="U56" s="56"/>
      <c r="V56" s="108"/>
      <c r="W56" s="253"/>
      <c r="X56" s="171" t="s">
        <v>31</v>
      </c>
      <c r="Y56" s="55"/>
      <c r="Z56" s="56"/>
      <c r="AA56" s="56"/>
      <c r="AB56" s="108"/>
      <c r="AC56" s="253"/>
    </row>
    <row r="57" spans="1:29">
      <c r="A57" s="253"/>
      <c r="B57" s="42"/>
      <c r="C57" s="43" t="s">
        <v>41</v>
      </c>
      <c r="D57" s="43"/>
      <c r="E57" s="43"/>
      <c r="F57" s="861"/>
      <c r="G57" s="259" t="s">
        <v>278</v>
      </c>
      <c r="H57" s="258"/>
      <c r="I57" s="258"/>
      <c r="J57" s="337"/>
      <c r="K57" s="253"/>
      <c r="L57" s="109" t="s">
        <v>422</v>
      </c>
      <c r="M57" s="57"/>
      <c r="N57" s="58">
        <f>C59</f>
        <v>92496.84919424048</v>
      </c>
      <c r="O57" s="59">
        <f>C68</f>
        <v>0.05</v>
      </c>
      <c r="P57" s="110">
        <f>N57*O57</f>
        <v>4624.8424597120238</v>
      </c>
      <c r="Q57" s="253"/>
      <c r="R57" s="109" t="s">
        <v>422</v>
      </c>
      <c r="S57" s="57"/>
      <c r="T57" s="58">
        <f>C59</f>
        <v>92496.84919424048</v>
      </c>
      <c r="U57" s="59">
        <f>D68</f>
        <v>0.05</v>
      </c>
      <c r="V57" s="110">
        <f>T57*U57</f>
        <v>4624.8424597120238</v>
      </c>
      <c r="W57" s="253"/>
      <c r="X57" s="109" t="s">
        <v>422</v>
      </c>
      <c r="Y57" s="57"/>
      <c r="Z57" s="58">
        <f>C59</f>
        <v>92496.84919424048</v>
      </c>
      <c r="AA57" s="59">
        <f>E68</f>
        <v>0.05</v>
      </c>
      <c r="AB57" s="110">
        <f>Z57*AA57</f>
        <v>4624.8424597120238</v>
      </c>
      <c r="AC57" s="253"/>
    </row>
    <row r="58" spans="1:29">
      <c r="A58" s="253"/>
      <c r="B58" s="171" t="s">
        <v>31</v>
      </c>
      <c r="C58" s="82"/>
      <c r="D58" s="82"/>
      <c r="E58" s="82"/>
      <c r="F58" s="46"/>
      <c r="G58" s="253"/>
      <c r="H58" s="253"/>
      <c r="I58" s="253"/>
      <c r="J58" s="260"/>
      <c r="K58" s="253"/>
      <c r="L58" s="109" t="s">
        <v>135</v>
      </c>
      <c r="M58" s="57"/>
      <c r="N58" s="58">
        <f>C60</f>
        <v>45124.774005912077</v>
      </c>
      <c r="O58" s="59">
        <f>C69</f>
        <v>1</v>
      </c>
      <c r="P58" s="110">
        <f>N58*O58</f>
        <v>45124.774005912077</v>
      </c>
      <c r="Q58" s="253"/>
      <c r="R58" s="109" t="s">
        <v>135</v>
      </c>
      <c r="S58" s="57"/>
      <c r="T58" s="58">
        <f>C60</f>
        <v>45124.774005912077</v>
      </c>
      <c r="U58" s="59">
        <f>D69</f>
        <v>1</v>
      </c>
      <c r="V58" s="110">
        <f>T58*U58</f>
        <v>45124.774005912077</v>
      </c>
      <c r="W58" s="253"/>
      <c r="X58" s="109" t="s">
        <v>135</v>
      </c>
      <c r="Y58" s="57"/>
      <c r="Z58" s="58">
        <f>C60</f>
        <v>45124.774005912077</v>
      </c>
      <c r="AA58" s="59">
        <f>E69</f>
        <v>1</v>
      </c>
      <c r="AB58" s="110">
        <f>Z58*AA58</f>
        <v>45124.774005912077</v>
      </c>
      <c r="AC58" s="253"/>
    </row>
    <row r="59" spans="1:29">
      <c r="A59" s="253"/>
      <c r="B59" s="48" t="s">
        <v>421</v>
      </c>
      <c r="C59" s="46">
        <f>C14</f>
        <v>92496.84919424048</v>
      </c>
      <c r="D59" s="46"/>
      <c r="E59" s="46"/>
      <c r="F59" s="46"/>
      <c r="G59" s="304" t="str">
        <f>G14</f>
        <v>FY16 UFR, Weighted Average, Program Function Manager</v>
      </c>
      <c r="H59" s="253"/>
      <c r="I59" s="253"/>
      <c r="J59" s="260"/>
      <c r="K59" s="253"/>
      <c r="L59" s="109" t="s">
        <v>131</v>
      </c>
      <c r="M59" s="57"/>
      <c r="N59" s="58" t="e">
        <f>C61</f>
        <v>#REF!</v>
      </c>
      <c r="O59" s="59">
        <f>C70</f>
        <v>4.2</v>
      </c>
      <c r="P59" s="110" t="e">
        <f>N59*O59</f>
        <v>#REF!</v>
      </c>
      <c r="Q59" s="256"/>
      <c r="R59" s="109" t="s">
        <v>131</v>
      </c>
      <c r="S59" s="57"/>
      <c r="T59" s="58" t="e">
        <f>C61</f>
        <v>#REF!</v>
      </c>
      <c r="U59" s="59">
        <f>D70</f>
        <v>4.2</v>
      </c>
      <c r="V59" s="110" t="e">
        <f>T59*U59</f>
        <v>#REF!</v>
      </c>
      <c r="W59" s="253"/>
      <c r="X59" s="109" t="s">
        <v>131</v>
      </c>
      <c r="Y59" s="57"/>
      <c r="Z59" s="58" t="e">
        <f>C61</f>
        <v>#REF!</v>
      </c>
      <c r="AA59" s="59">
        <f>E70</f>
        <v>4.2</v>
      </c>
      <c r="AB59" s="110" t="e">
        <f>Z59*AA59</f>
        <v>#REF!</v>
      </c>
      <c r="AC59" s="253"/>
    </row>
    <row r="60" spans="1:29">
      <c r="A60" s="253"/>
      <c r="B60" s="48" t="s">
        <v>121</v>
      </c>
      <c r="C60" s="46">
        <f>C15</f>
        <v>45124.774005912077</v>
      </c>
      <c r="D60" s="46"/>
      <c r="E60" s="325"/>
      <c r="F60" s="46"/>
      <c r="G60" s="304" t="str">
        <f>G15</f>
        <v>Benchmark 101 CMR 420</v>
      </c>
      <c r="H60" s="253"/>
      <c r="I60" s="253"/>
      <c r="J60" s="260"/>
      <c r="K60" s="253"/>
      <c r="L60" s="182" t="s">
        <v>12</v>
      </c>
      <c r="M60" s="60"/>
      <c r="N60" s="168" t="e">
        <f>C62</f>
        <v>#REF!</v>
      </c>
      <c r="O60" s="62">
        <f>C71</f>
        <v>0.64615384615384619</v>
      </c>
      <c r="P60" s="113" t="e">
        <f>N60*O60</f>
        <v>#REF!</v>
      </c>
      <c r="Q60" s="256"/>
      <c r="R60" s="182" t="s">
        <v>12</v>
      </c>
      <c r="S60" s="60"/>
      <c r="T60" s="168" t="e">
        <f>C62</f>
        <v>#REF!</v>
      </c>
      <c r="U60" s="62">
        <f>D71</f>
        <v>0.64615384615384619</v>
      </c>
      <c r="V60" s="113" t="e">
        <f>T60*U60</f>
        <v>#REF!</v>
      </c>
      <c r="W60" s="253"/>
      <c r="X60" s="182" t="s">
        <v>12</v>
      </c>
      <c r="Y60" s="60"/>
      <c r="Z60" s="168" t="e">
        <f>C62</f>
        <v>#REF!</v>
      </c>
      <c r="AA60" s="62">
        <f>E71</f>
        <v>0.64615384615384619</v>
      </c>
      <c r="AB60" s="113" t="e">
        <f>Z60*AA60</f>
        <v>#REF!</v>
      </c>
      <c r="AC60" s="253"/>
    </row>
    <row r="61" spans="1:29">
      <c r="A61" s="253"/>
      <c r="B61" s="48" t="s">
        <v>130</v>
      </c>
      <c r="C61" s="46" t="e">
        <f>C16</f>
        <v>#REF!</v>
      </c>
      <c r="D61" s="46"/>
      <c r="E61" s="46"/>
      <c r="F61" s="46"/>
      <c r="G61" s="304" t="str">
        <f>G16</f>
        <v>BLS /OES Massachusetts Median 2018</v>
      </c>
      <c r="H61" s="253"/>
      <c r="I61" s="253"/>
      <c r="J61" s="260"/>
      <c r="K61" s="253"/>
      <c r="L61" s="106" t="s">
        <v>13</v>
      </c>
      <c r="M61" s="5"/>
      <c r="N61" s="5"/>
      <c r="O61" s="169">
        <f>SUM(O57:O60)</f>
        <v>5.8961538461538465</v>
      </c>
      <c r="P61" s="183" t="e">
        <f>SUM(P57:P60)</f>
        <v>#REF!</v>
      </c>
      <c r="Q61" s="256"/>
      <c r="R61" s="106" t="s">
        <v>13</v>
      </c>
      <c r="S61" s="5"/>
      <c r="T61" s="5"/>
      <c r="U61" s="169">
        <f>SUM(U57:U60)</f>
        <v>5.8961538461538465</v>
      </c>
      <c r="V61" s="183" t="e">
        <f>SUM(V57:V60)</f>
        <v>#REF!</v>
      </c>
      <c r="W61" s="253"/>
      <c r="X61" s="106" t="s">
        <v>13</v>
      </c>
      <c r="Y61" s="5"/>
      <c r="Z61" s="5"/>
      <c r="AA61" s="169">
        <f>SUM(AA57:AA60)</f>
        <v>5.8961538461538465</v>
      </c>
      <c r="AB61" s="183" t="e">
        <f>SUM(AB57:AB60)</f>
        <v>#REF!</v>
      </c>
      <c r="AC61" s="253"/>
    </row>
    <row r="62" spans="1:29">
      <c r="A62" s="253"/>
      <c r="B62" s="48" t="s">
        <v>49</v>
      </c>
      <c r="C62" s="46" t="e">
        <f>C61</f>
        <v>#REF!</v>
      </c>
      <c r="D62" s="253"/>
      <c r="E62" s="46"/>
      <c r="F62" s="46"/>
      <c r="G62" s="304" t="str">
        <f>G17</f>
        <v>BLS /OES Massachusetts Median 2018</v>
      </c>
      <c r="H62" s="253"/>
      <c r="I62" s="253"/>
      <c r="J62" s="260"/>
      <c r="K62" s="253"/>
      <c r="L62" s="104"/>
      <c r="M62" s="72"/>
      <c r="N62" s="72"/>
      <c r="O62" s="72"/>
      <c r="P62" s="116"/>
      <c r="Q62" s="256"/>
      <c r="R62" s="104"/>
      <c r="S62" s="72"/>
      <c r="T62" s="72"/>
      <c r="U62" s="72"/>
      <c r="V62" s="116"/>
      <c r="W62" s="253"/>
      <c r="X62" s="104"/>
      <c r="Y62" s="72"/>
      <c r="Z62" s="72"/>
      <c r="AA62" s="72"/>
      <c r="AB62" s="116"/>
      <c r="AC62" s="253"/>
    </row>
    <row r="63" spans="1:29">
      <c r="A63" s="253"/>
      <c r="B63" s="48"/>
      <c r="C63" s="46"/>
      <c r="D63" s="46"/>
      <c r="E63" s="46"/>
      <c r="F63" s="46"/>
      <c r="G63" s="46"/>
      <c r="H63" s="253"/>
      <c r="I63" s="253"/>
      <c r="J63" s="260"/>
      <c r="K63" s="253"/>
      <c r="L63" s="100" t="s">
        <v>15</v>
      </c>
      <c r="M63" s="72"/>
      <c r="N63" s="72"/>
      <c r="O63" s="4" t="s">
        <v>16</v>
      </c>
      <c r="P63" s="105"/>
      <c r="Q63" s="256"/>
      <c r="R63" s="100" t="s">
        <v>15</v>
      </c>
      <c r="S63" s="72"/>
      <c r="T63" s="72"/>
      <c r="U63" s="4" t="s">
        <v>16</v>
      </c>
      <c r="V63" s="105"/>
      <c r="W63" s="253"/>
      <c r="X63" s="100" t="s">
        <v>15</v>
      </c>
      <c r="Y63" s="72"/>
      <c r="Z63" s="72"/>
      <c r="AA63" s="4" t="s">
        <v>16</v>
      </c>
      <c r="AB63" s="105"/>
      <c r="AC63" s="253"/>
    </row>
    <row r="64" spans="1:29">
      <c r="A64" s="253"/>
      <c r="B64" s="48"/>
      <c r="C64" s="82" t="s">
        <v>35</v>
      </c>
      <c r="D64" s="82"/>
      <c r="E64" s="82"/>
      <c r="F64" s="82"/>
      <c r="G64" s="82"/>
      <c r="H64" s="82"/>
      <c r="I64" s="82"/>
      <c r="J64" s="260"/>
      <c r="K64" s="253"/>
      <c r="L64" s="104" t="s">
        <v>17</v>
      </c>
      <c r="M64" s="72"/>
      <c r="N64" s="65" t="e">
        <f>C75</f>
        <v>#REF!</v>
      </c>
      <c r="O64" s="72"/>
      <c r="P64" s="117" t="e">
        <f>N64*P61</f>
        <v>#REF!</v>
      </c>
      <c r="Q64" s="256"/>
      <c r="R64" s="104" t="s">
        <v>17</v>
      </c>
      <c r="S64" s="72"/>
      <c r="T64" s="65" t="e">
        <f>C75</f>
        <v>#REF!</v>
      </c>
      <c r="U64" s="72"/>
      <c r="V64" s="117" t="e">
        <f>T64*V61</f>
        <v>#REF!</v>
      </c>
      <c r="W64" s="253"/>
      <c r="X64" s="104" t="s">
        <v>17</v>
      </c>
      <c r="Y64" s="72"/>
      <c r="Z64" s="65" t="e">
        <f>C75</f>
        <v>#REF!</v>
      </c>
      <c r="AA64" s="72"/>
      <c r="AB64" s="117" t="e">
        <f>Z64*AB61</f>
        <v>#REF!</v>
      </c>
      <c r="AC64" s="253"/>
    </row>
    <row r="65" spans="1:29">
      <c r="A65" s="253"/>
      <c r="B65" s="81"/>
      <c r="C65" s="326" t="s">
        <v>282</v>
      </c>
      <c r="D65" s="326" t="s">
        <v>283</v>
      </c>
      <c r="E65" s="326" t="s">
        <v>284</v>
      </c>
      <c r="F65" s="326"/>
      <c r="G65" s="253"/>
      <c r="H65" s="253"/>
      <c r="I65" s="253"/>
      <c r="J65" s="177"/>
      <c r="K65" s="253"/>
      <c r="L65" s="114" t="s">
        <v>18</v>
      </c>
      <c r="M65" s="3"/>
      <c r="N65" s="3"/>
      <c r="O65" s="63"/>
      <c r="P65" s="118" t="e">
        <f>SUM(P61:P64)</f>
        <v>#REF!</v>
      </c>
      <c r="Q65" s="256"/>
      <c r="R65" s="114" t="s">
        <v>18</v>
      </c>
      <c r="S65" s="3"/>
      <c r="T65" s="3"/>
      <c r="U65" s="63"/>
      <c r="V65" s="118" t="e">
        <f>V61+V64</f>
        <v>#REF!</v>
      </c>
      <c r="W65" s="253"/>
      <c r="X65" s="114" t="s">
        <v>18</v>
      </c>
      <c r="Y65" s="3"/>
      <c r="Z65" s="3"/>
      <c r="AA65" s="63"/>
      <c r="AB65" s="118" t="e">
        <f>AB61+AB64</f>
        <v>#REF!</v>
      </c>
      <c r="AC65" s="253"/>
    </row>
    <row r="66" spans="1:29">
      <c r="A66" s="253"/>
      <c r="B66" s="81" t="s">
        <v>140</v>
      </c>
      <c r="C66" s="172" t="s">
        <v>279</v>
      </c>
      <c r="D66" s="178" t="s">
        <v>280</v>
      </c>
      <c r="E66" s="172" t="s">
        <v>281</v>
      </c>
      <c r="F66" s="51"/>
      <c r="G66" s="253"/>
      <c r="H66" s="253"/>
      <c r="I66" s="253"/>
      <c r="J66" s="179"/>
      <c r="K66" s="253"/>
      <c r="L66" s="100"/>
      <c r="M66" s="4"/>
      <c r="N66" s="4"/>
      <c r="O66" s="66"/>
      <c r="P66" s="119"/>
      <c r="Q66" s="256"/>
      <c r="R66" s="100"/>
      <c r="S66" s="4"/>
      <c r="T66" s="4"/>
      <c r="U66" s="66"/>
      <c r="V66" s="119"/>
      <c r="W66" s="253"/>
      <c r="X66" s="100"/>
      <c r="Y66" s="4"/>
      <c r="Z66" s="4"/>
      <c r="AA66" s="66"/>
      <c r="AB66" s="119"/>
      <c r="AC66" s="253"/>
    </row>
    <row r="67" spans="1:29">
      <c r="A67" s="253"/>
      <c r="B67" s="171" t="s">
        <v>31</v>
      </c>
      <c r="C67" s="51"/>
      <c r="D67" s="253"/>
      <c r="E67" s="253"/>
      <c r="F67" s="51"/>
      <c r="G67" s="253"/>
      <c r="H67" s="253"/>
      <c r="I67" s="253"/>
      <c r="J67" s="260"/>
      <c r="K67" s="253"/>
      <c r="L67" s="81" t="s">
        <v>22</v>
      </c>
      <c r="M67" s="72"/>
      <c r="N67" s="72"/>
      <c r="O67" s="72"/>
      <c r="P67" s="184">
        <f>C79</f>
        <v>6191.6539525126345</v>
      </c>
      <c r="Q67" s="256"/>
      <c r="R67" s="81" t="s">
        <v>22</v>
      </c>
      <c r="S67" s="72"/>
      <c r="T67" s="72"/>
      <c r="U67" s="72"/>
      <c r="V67" s="184">
        <f>C79</f>
        <v>6191.6539525126345</v>
      </c>
      <c r="W67" s="253"/>
      <c r="X67" s="81" t="s">
        <v>22</v>
      </c>
      <c r="Y67" s="72"/>
      <c r="Z67" s="72"/>
      <c r="AA67" s="72"/>
      <c r="AB67" s="184">
        <f>C79</f>
        <v>6191.6539525126345</v>
      </c>
      <c r="AC67" s="253"/>
    </row>
    <row r="68" spans="1:29">
      <c r="A68" s="253"/>
      <c r="B68" s="48" t="str">
        <f>B59</f>
        <v xml:space="preserve">  Management Supervision</v>
      </c>
      <c r="C68" s="85">
        <v>0.05</v>
      </c>
      <c r="D68" s="85">
        <v>0.05</v>
      </c>
      <c r="E68" s="85">
        <v>0.05</v>
      </c>
      <c r="F68" s="85"/>
      <c r="G68" s="253"/>
      <c r="H68" s="253"/>
      <c r="I68" s="253"/>
      <c r="J68" s="180"/>
      <c r="K68" s="253"/>
      <c r="L68" s="81"/>
      <c r="M68" s="72"/>
      <c r="N68" s="72"/>
      <c r="O68" s="72"/>
      <c r="P68" s="186">
        <f>P67</f>
        <v>6191.6539525126345</v>
      </c>
      <c r="Q68" s="256"/>
      <c r="R68" s="81"/>
      <c r="S68" s="72"/>
      <c r="T68" s="72"/>
      <c r="U68" s="72"/>
      <c r="V68" s="186">
        <f>V67</f>
        <v>6191.6539525126345</v>
      </c>
      <c r="W68" s="253"/>
      <c r="X68" s="81"/>
      <c r="Y68" s="72"/>
      <c r="Z68" s="72"/>
      <c r="AA68" s="72"/>
      <c r="AB68" s="186">
        <f>AB67</f>
        <v>6191.6539525126345</v>
      </c>
      <c r="AC68" s="253"/>
    </row>
    <row r="69" spans="1:29">
      <c r="A69" s="253"/>
      <c r="B69" s="48" t="str">
        <f>B60</f>
        <v xml:space="preserve">  Site Manager</v>
      </c>
      <c r="C69" s="85">
        <v>1</v>
      </c>
      <c r="D69" s="85">
        <v>1</v>
      </c>
      <c r="E69" s="85">
        <v>1</v>
      </c>
      <c r="F69" s="85"/>
      <c r="G69" s="253"/>
      <c r="H69" s="253"/>
      <c r="I69" s="253"/>
      <c r="J69" s="180"/>
      <c r="K69" s="253"/>
      <c r="L69" s="104"/>
      <c r="M69" s="72"/>
      <c r="N69" s="72"/>
      <c r="O69" s="66"/>
      <c r="P69" s="125"/>
      <c r="Q69" s="256"/>
      <c r="R69" s="104"/>
      <c r="S69" s="72"/>
      <c r="T69" s="72"/>
      <c r="U69" s="66"/>
      <c r="V69" s="125"/>
      <c r="W69" s="253"/>
      <c r="X69" s="104"/>
      <c r="Y69" s="72"/>
      <c r="Z69" s="72"/>
      <c r="AA69" s="66"/>
      <c r="AB69" s="125"/>
      <c r="AC69" s="253"/>
    </row>
    <row r="70" spans="1:29">
      <c r="A70" s="253"/>
      <c r="B70" s="48" t="str">
        <f>B61</f>
        <v xml:space="preserve">  DC Blended (DC I + II)</v>
      </c>
      <c r="C70" s="85">
        <v>4.2</v>
      </c>
      <c r="D70" s="85">
        <v>4.2</v>
      </c>
      <c r="E70" s="85">
        <v>4.2</v>
      </c>
      <c r="F70" s="85"/>
      <c r="G70" s="253"/>
      <c r="H70" s="253"/>
      <c r="I70" s="253"/>
      <c r="J70" s="180"/>
      <c r="K70" s="253"/>
      <c r="L70" s="114" t="s">
        <v>23</v>
      </c>
      <c r="M70" s="3"/>
      <c r="N70" s="3"/>
      <c r="O70" s="3"/>
      <c r="P70" s="126" t="e">
        <f>SUM(P65,P68)</f>
        <v>#REF!</v>
      </c>
      <c r="Q70" s="256"/>
      <c r="R70" s="114" t="s">
        <v>23</v>
      </c>
      <c r="S70" s="3"/>
      <c r="T70" s="3"/>
      <c r="U70" s="3"/>
      <c r="V70" s="126" t="e">
        <f>SUM(V65,V68)</f>
        <v>#REF!</v>
      </c>
      <c r="W70" s="253"/>
      <c r="X70" s="114" t="s">
        <v>23</v>
      </c>
      <c r="Y70" s="3"/>
      <c r="Z70" s="3"/>
      <c r="AA70" s="3"/>
      <c r="AB70" s="126" t="e">
        <f>SUM(AB65, AB68)</f>
        <v>#REF!</v>
      </c>
      <c r="AC70" s="253"/>
    </row>
    <row r="71" spans="1:29">
      <c r="A71" s="253"/>
      <c r="B71" s="80" t="str">
        <f>B62</f>
        <v xml:space="preserve">  Relief</v>
      </c>
      <c r="C71" s="85">
        <f>C70*$D$9</f>
        <v>0.64615384615384619</v>
      </c>
      <c r="D71" s="85">
        <f>D70*$D$9</f>
        <v>0.64615384615384619</v>
      </c>
      <c r="E71" s="85">
        <f>E70*$D$9</f>
        <v>0.64615384615384619</v>
      </c>
      <c r="F71" s="85"/>
      <c r="G71" s="253"/>
      <c r="H71" s="253"/>
      <c r="I71" s="253"/>
      <c r="J71" s="180"/>
      <c r="K71" s="253"/>
      <c r="L71" s="104"/>
      <c r="M71" s="72"/>
      <c r="N71" s="72"/>
      <c r="O71" s="73"/>
      <c r="P71" s="127"/>
      <c r="Q71" s="256"/>
      <c r="R71" s="104"/>
      <c r="S71" s="72"/>
      <c r="T71" s="72"/>
      <c r="U71" s="73"/>
      <c r="V71" s="127"/>
      <c r="W71" s="253"/>
      <c r="X71" s="104"/>
      <c r="Y71" s="72"/>
      <c r="Z71" s="72"/>
      <c r="AA71" s="73"/>
      <c r="AB71" s="127"/>
      <c r="AC71" s="253"/>
    </row>
    <row r="72" spans="1:29">
      <c r="A72" s="253"/>
      <c r="B72" s="173"/>
      <c r="C72" s="174"/>
      <c r="D72" s="174"/>
      <c r="E72" s="174"/>
      <c r="F72" s="85"/>
      <c r="G72" s="85"/>
      <c r="H72" s="253"/>
      <c r="I72" s="253"/>
      <c r="J72" s="260"/>
      <c r="K72" s="253"/>
      <c r="L72" s="104"/>
      <c r="M72" s="72"/>
      <c r="N72" s="72"/>
      <c r="O72" s="72"/>
      <c r="P72" s="105"/>
      <c r="Q72" s="256"/>
      <c r="R72" s="104"/>
      <c r="S72" s="72"/>
      <c r="T72" s="72"/>
      <c r="U72" s="72"/>
      <c r="V72" s="105"/>
      <c r="W72" s="253"/>
      <c r="X72" s="104"/>
      <c r="Y72" s="72"/>
      <c r="Z72" s="72"/>
      <c r="AA72" s="72"/>
      <c r="AB72" s="105"/>
      <c r="AC72" s="253"/>
    </row>
    <row r="73" spans="1:29">
      <c r="A73" s="253"/>
      <c r="B73" s="48"/>
      <c r="C73" s="45"/>
      <c r="D73" s="45"/>
      <c r="E73" s="45"/>
      <c r="F73" s="45"/>
      <c r="G73" s="45"/>
      <c r="H73" s="253"/>
      <c r="I73" s="253"/>
      <c r="J73" s="260"/>
      <c r="K73" s="253"/>
      <c r="L73" s="104" t="s">
        <v>24</v>
      </c>
      <c r="M73" s="72"/>
      <c r="N73" s="187">
        <f>C84</f>
        <v>0.12</v>
      </c>
      <c r="O73" s="72"/>
      <c r="P73" s="117" t="e">
        <f>N73*P70</f>
        <v>#REF!</v>
      </c>
      <c r="Q73" s="256"/>
      <c r="R73" s="104" t="s">
        <v>24</v>
      </c>
      <c r="S73" s="72"/>
      <c r="T73" s="187">
        <f>C84</f>
        <v>0.12</v>
      </c>
      <c r="U73" s="72"/>
      <c r="V73" s="117" t="e">
        <f>T73*V70</f>
        <v>#REF!</v>
      </c>
      <c r="W73" s="253"/>
      <c r="X73" s="104" t="s">
        <v>24</v>
      </c>
      <c r="Y73" s="72"/>
      <c r="Z73" s="187">
        <f>C84</f>
        <v>0.12</v>
      </c>
      <c r="AA73" s="72"/>
      <c r="AB73" s="117" t="e">
        <f>Z73*AB70</f>
        <v>#REF!</v>
      </c>
      <c r="AC73" s="253"/>
    </row>
    <row r="74" spans="1:29">
      <c r="A74" s="253"/>
      <c r="B74" s="81"/>
      <c r="C74" s="82" t="s">
        <v>42</v>
      </c>
      <c r="D74" s="82"/>
      <c r="E74" s="82"/>
      <c r="F74" s="82"/>
      <c r="G74" s="82"/>
      <c r="H74" s="253"/>
      <c r="I74" s="253"/>
      <c r="J74" s="260"/>
      <c r="K74" s="253"/>
      <c r="L74" s="890" t="s">
        <v>788</v>
      </c>
      <c r="M74" s="72"/>
      <c r="N74" s="187">
        <f>C85</f>
        <v>7.4999999999999997E-3</v>
      </c>
      <c r="O74" s="72"/>
      <c r="P74" s="117" t="e">
        <f>N74*P61</f>
        <v>#REF!</v>
      </c>
      <c r="Q74" s="256"/>
      <c r="R74" s="890" t="s">
        <v>788</v>
      </c>
      <c r="S74" s="72"/>
      <c r="T74" s="187">
        <f>C85</f>
        <v>7.4999999999999997E-3</v>
      </c>
      <c r="U74" s="72"/>
      <c r="V74" s="117" t="e">
        <f>V61*T74</f>
        <v>#REF!</v>
      </c>
      <c r="W74" s="253"/>
      <c r="X74" s="890" t="s">
        <v>788</v>
      </c>
      <c r="Y74" s="72"/>
      <c r="Z74" s="187">
        <f>C85</f>
        <v>7.4999999999999997E-3</v>
      </c>
      <c r="AA74" s="72"/>
      <c r="AB74" s="117" t="e">
        <f>AB61*Z74</f>
        <v>#REF!</v>
      </c>
      <c r="AC74" s="253"/>
    </row>
    <row r="75" spans="1:29">
      <c r="A75" s="253"/>
      <c r="B75" s="81" t="s">
        <v>17</v>
      </c>
      <c r="C75" s="88" t="e">
        <f>C30</f>
        <v>#REF!</v>
      </c>
      <c r="D75" s="88"/>
      <c r="E75" s="88"/>
      <c r="F75" s="88"/>
      <c r="G75" s="286" t="s">
        <v>553</v>
      </c>
      <c r="H75" s="253"/>
      <c r="I75" s="253"/>
      <c r="J75" s="260"/>
      <c r="K75" s="253"/>
      <c r="L75" s="104"/>
      <c r="M75" s="72"/>
      <c r="N75" s="72"/>
      <c r="O75" s="72"/>
      <c r="P75" s="128"/>
      <c r="Q75" s="256"/>
      <c r="R75" s="104"/>
      <c r="S75" s="72"/>
      <c r="T75" s="72"/>
      <c r="U75" s="72"/>
      <c r="V75" s="128"/>
      <c r="W75" s="253"/>
      <c r="X75" s="104"/>
      <c r="Y75" s="72"/>
      <c r="Z75" s="72"/>
      <c r="AA75" s="72"/>
      <c r="AB75" s="128"/>
      <c r="AC75" s="253"/>
    </row>
    <row r="76" spans="1:29" ht="13.5" thickBot="1">
      <c r="A76" s="253"/>
      <c r="B76" s="81"/>
      <c r="C76" s="175"/>
      <c r="D76" s="175"/>
      <c r="E76" s="175"/>
      <c r="F76" s="175"/>
      <c r="G76" s="274"/>
      <c r="H76" s="253"/>
      <c r="I76" s="253"/>
      <c r="J76" s="260"/>
      <c r="K76" s="253"/>
      <c r="L76" s="129" t="s">
        <v>25</v>
      </c>
      <c r="M76" s="74"/>
      <c r="N76" s="74"/>
      <c r="O76" s="74"/>
      <c r="P76" s="130" t="e">
        <f>SUM(P70:P75)</f>
        <v>#REF!</v>
      </c>
      <c r="Q76" s="256"/>
      <c r="R76" s="129" t="s">
        <v>25</v>
      </c>
      <c r="S76" s="74"/>
      <c r="T76" s="74"/>
      <c r="U76" s="74"/>
      <c r="V76" s="130" t="e">
        <f>SUM(V70:V75)</f>
        <v>#REF!</v>
      </c>
      <c r="W76" s="253"/>
      <c r="X76" s="129" t="s">
        <v>25</v>
      </c>
      <c r="Y76" s="74"/>
      <c r="Z76" s="74"/>
      <c r="AA76" s="74"/>
      <c r="AB76" s="130" t="e">
        <f>SUM(AB70:AB75)</f>
        <v>#REF!</v>
      </c>
      <c r="AC76" s="253"/>
    </row>
    <row r="77" spans="1:29" ht="13.5" thickTop="1">
      <c r="A77" s="253"/>
      <c r="B77" s="81" t="s">
        <v>601</v>
      </c>
      <c r="C77" s="565"/>
      <c r="D77" s="175"/>
      <c r="E77" s="175"/>
      <c r="F77" s="602">
        <v>8.16</v>
      </c>
      <c r="G77" s="599" t="s">
        <v>599</v>
      </c>
      <c r="H77" s="274"/>
      <c r="I77" s="274"/>
      <c r="J77" s="275"/>
      <c r="K77" s="253"/>
      <c r="L77" s="104"/>
      <c r="M77" s="72"/>
      <c r="N77" s="72"/>
      <c r="O77" s="72"/>
      <c r="P77" s="105"/>
      <c r="Q77" s="256"/>
      <c r="R77" s="104"/>
      <c r="S77" s="72"/>
      <c r="T77" s="72"/>
      <c r="U77" s="72"/>
      <c r="V77" s="105"/>
      <c r="W77" s="253"/>
      <c r="X77" s="104"/>
      <c r="Y77" s="72"/>
      <c r="Z77" s="72"/>
      <c r="AA77" s="72"/>
      <c r="AB77" s="105"/>
      <c r="AC77" s="253"/>
    </row>
    <row r="78" spans="1:29">
      <c r="A78" s="253"/>
      <c r="B78" s="368"/>
      <c r="C78" s="369"/>
      <c r="D78" s="369"/>
      <c r="E78" s="369"/>
      <c r="F78" s="369"/>
      <c r="G78" s="370"/>
      <c r="H78" s="253"/>
      <c r="I78" s="253"/>
      <c r="J78" s="367"/>
      <c r="K78" s="253"/>
      <c r="L78" s="104" t="s">
        <v>26</v>
      </c>
      <c r="M78" s="72"/>
      <c r="N78" s="883">
        <f>C88</f>
        <v>2.5000000000000001E-2</v>
      </c>
      <c r="O78" s="72"/>
      <c r="P78" s="132" t="e">
        <f>P76*(1+N78)</f>
        <v>#REF!</v>
      </c>
      <c r="Q78" s="256"/>
      <c r="R78" s="104" t="s">
        <v>26</v>
      </c>
      <c r="S78" s="72"/>
      <c r="T78" s="883">
        <f>C88</f>
        <v>2.5000000000000001E-2</v>
      </c>
      <c r="U78" s="72"/>
      <c r="V78" s="132" t="e">
        <f>V76*(1+T78)</f>
        <v>#REF!</v>
      </c>
      <c r="W78" s="253"/>
      <c r="X78" s="104" t="s">
        <v>26</v>
      </c>
      <c r="Y78" s="72"/>
      <c r="Z78" s="883">
        <f>C88</f>
        <v>2.5000000000000001E-2</v>
      </c>
      <c r="AA78" s="72"/>
      <c r="AB78" s="132" t="e">
        <f>AB76*(1+Z78)</f>
        <v>#REF!</v>
      </c>
      <c r="AC78" s="253"/>
    </row>
    <row r="79" spans="1:29" ht="13.5" thickBot="1">
      <c r="A79" s="253"/>
      <c r="B79" s="81" t="s">
        <v>22</v>
      </c>
      <c r="C79" s="364">
        <f>5750*(1+C87)</f>
        <v>6191.6539525126345</v>
      </c>
      <c r="E79" s="89"/>
      <c r="F79" s="325"/>
      <c r="G79" s="252" t="s">
        <v>473</v>
      </c>
      <c r="H79" s="253"/>
      <c r="I79" s="253"/>
      <c r="J79" s="327"/>
      <c r="K79" s="253"/>
      <c r="L79" s="570" t="str">
        <f>B77</f>
        <v>Meals / Food***</v>
      </c>
      <c r="M79" s="571"/>
      <c r="N79" s="877">
        <f>F77</f>
        <v>8.16</v>
      </c>
      <c r="O79" s="571"/>
      <c r="P79" s="575">
        <f>N79*P53</f>
        <v>44676</v>
      </c>
      <c r="Q79" s="253"/>
      <c r="R79" s="570" t="str">
        <f>B77</f>
        <v>Meals / Food***</v>
      </c>
      <c r="S79" s="571"/>
      <c r="T79" s="877">
        <f>F77</f>
        <v>8.16</v>
      </c>
      <c r="U79" s="571"/>
      <c r="V79" s="575">
        <f>T79*V53</f>
        <v>59568</v>
      </c>
      <c r="W79" s="253"/>
      <c r="X79" s="570" t="str">
        <f>B77</f>
        <v>Meals / Food***</v>
      </c>
      <c r="Y79" s="571"/>
      <c r="Z79" s="877">
        <f>F77</f>
        <v>8.16</v>
      </c>
      <c r="AA79" s="571"/>
      <c r="AB79" s="575">
        <f>Z79*AB53</f>
        <v>89352</v>
      </c>
      <c r="AC79" s="253"/>
    </row>
    <row r="80" spans="1:29" ht="13.5" thickTop="1">
      <c r="A80" s="253"/>
      <c r="B80" s="81"/>
      <c r="C80" s="89"/>
      <c r="D80" s="364"/>
      <c r="E80" s="89"/>
      <c r="F80" s="325"/>
      <c r="G80" s="252"/>
      <c r="H80" s="253"/>
      <c r="I80" s="253"/>
      <c r="J80" s="327"/>
      <c r="K80" s="253"/>
      <c r="L80" s="104"/>
      <c r="M80" s="72"/>
      <c r="N80" s="131"/>
      <c r="O80" s="72"/>
      <c r="P80" s="132" t="e">
        <f>P78+P79</f>
        <v>#REF!</v>
      </c>
      <c r="Q80" s="253"/>
      <c r="R80" s="104"/>
      <c r="S80" s="72"/>
      <c r="T80" s="131"/>
      <c r="U80" s="72"/>
      <c r="V80" s="132" t="e">
        <f>V78+V79</f>
        <v>#REF!</v>
      </c>
      <c r="W80" s="253"/>
      <c r="X80" s="104"/>
      <c r="Y80" s="72"/>
      <c r="Z80" s="131"/>
      <c r="AA80" s="72"/>
      <c r="AB80" s="132" t="e">
        <f>AB78+AB79</f>
        <v>#REF!</v>
      </c>
      <c r="AC80" s="253"/>
    </row>
    <row r="81" spans="1:33">
      <c r="A81" s="253"/>
      <c r="B81" s="81"/>
      <c r="C81" s="89"/>
      <c r="D81" s="364"/>
      <c r="E81" s="89"/>
      <c r="F81" s="325"/>
      <c r="G81" s="252"/>
      <c r="H81" s="253"/>
      <c r="I81" s="253"/>
      <c r="J81" s="327"/>
      <c r="K81" s="253"/>
      <c r="L81" s="104"/>
      <c r="M81" s="72"/>
      <c r="N81" s="72"/>
      <c r="O81" s="72"/>
      <c r="P81" s="105"/>
      <c r="Q81" s="571"/>
      <c r="R81" s="104"/>
      <c r="S81" s="72"/>
      <c r="T81" s="72"/>
      <c r="U81" s="72"/>
      <c r="V81" s="105"/>
      <c r="W81" s="571"/>
      <c r="X81" s="104"/>
      <c r="Y81" s="72"/>
      <c r="Z81" s="72"/>
      <c r="AA81" s="72"/>
      <c r="AB81" s="105"/>
      <c r="AC81" s="253"/>
    </row>
    <row r="82" spans="1:33">
      <c r="A82" s="253"/>
      <c r="B82" s="92"/>
      <c r="C82" s="93"/>
      <c r="D82" s="93"/>
      <c r="E82" s="93"/>
      <c r="F82" s="295"/>
      <c r="G82" s="279"/>
      <c r="H82" s="253"/>
      <c r="I82" s="253"/>
      <c r="J82" s="260"/>
      <c r="K82" s="253"/>
      <c r="L82" s="104"/>
      <c r="M82" s="72"/>
      <c r="N82" s="72"/>
      <c r="O82" s="72"/>
      <c r="P82" s="136"/>
      <c r="Q82" s="253"/>
      <c r="R82" s="104"/>
      <c r="S82" s="72"/>
      <c r="T82" s="72"/>
      <c r="U82" s="72"/>
      <c r="V82" s="136"/>
      <c r="W82" s="253"/>
      <c r="X82" s="104"/>
      <c r="Y82" s="72"/>
      <c r="Z82" s="72"/>
      <c r="AA82" s="72"/>
      <c r="AB82" s="136"/>
      <c r="AC82" s="253"/>
    </row>
    <row r="83" spans="1:33">
      <c r="A83" s="253"/>
      <c r="B83" s="81"/>
      <c r="C83" s="45"/>
      <c r="D83" s="45"/>
      <c r="E83" s="45"/>
      <c r="F83" s="45"/>
      <c r="G83" s="274"/>
      <c r="H83" s="253"/>
      <c r="I83" s="253"/>
      <c r="J83" s="260"/>
      <c r="K83" s="253"/>
      <c r="L83" s="104"/>
      <c r="M83" s="72"/>
      <c r="N83" s="72"/>
      <c r="O83" s="73"/>
      <c r="P83" s="568" t="e">
        <f>P80/P53</f>
        <v>#REF!</v>
      </c>
      <c r="Q83" s="253"/>
      <c r="R83" s="104"/>
      <c r="S83" s="72"/>
      <c r="T83" s="72"/>
      <c r="U83" s="73"/>
      <c r="V83" s="568" t="e">
        <f>V80/V53</f>
        <v>#REF!</v>
      </c>
      <c r="W83" s="253"/>
      <c r="X83" s="104" t="s">
        <v>28</v>
      </c>
      <c r="Y83" s="72"/>
      <c r="Z83" s="72"/>
      <c r="AA83" s="73"/>
      <c r="AB83" s="568" t="e">
        <f>AB80/AB53</f>
        <v>#REF!</v>
      </c>
      <c r="AC83" s="253"/>
    </row>
    <row r="84" spans="1:33" ht="20.100000000000001" customHeight="1" thickBot="1">
      <c r="A84" s="253"/>
      <c r="B84" s="81" t="s">
        <v>24</v>
      </c>
      <c r="C84" s="88">
        <f>C37</f>
        <v>0.12</v>
      </c>
      <c r="D84" s="88"/>
      <c r="E84" s="88"/>
      <c r="F84" s="88"/>
      <c r="G84" s="2558" t="s">
        <v>472</v>
      </c>
      <c r="H84" s="2558"/>
      <c r="I84" s="2558"/>
      <c r="J84" s="2559"/>
      <c r="K84" s="253"/>
      <c r="L84" s="576"/>
      <c r="M84" s="358"/>
      <c r="N84" s="359"/>
      <c r="O84" s="360"/>
      <c r="P84" s="891"/>
      <c r="Q84" s="253"/>
      <c r="R84" s="576"/>
      <c r="S84" s="358"/>
      <c r="T84" s="359"/>
      <c r="U84" s="360"/>
      <c r="V84" s="891"/>
      <c r="W84" s="253"/>
      <c r="X84" s="576" t="s">
        <v>600</v>
      </c>
      <c r="Y84" s="358"/>
      <c r="Z84" s="359"/>
      <c r="AA84" s="360"/>
      <c r="AB84" s="891"/>
      <c r="AC84" s="253"/>
    </row>
    <row r="85" spans="1:33">
      <c r="A85" s="253"/>
      <c r="B85" s="859" t="s">
        <v>788</v>
      </c>
      <c r="C85" s="88">
        <v>7.4999999999999997E-3</v>
      </c>
      <c r="D85" s="45"/>
      <c r="E85" s="45"/>
      <c r="F85" s="45"/>
      <c r="G85" s="370" t="s">
        <v>782</v>
      </c>
      <c r="H85" s="274"/>
      <c r="I85" s="253"/>
      <c r="J85" s="260"/>
      <c r="K85" s="253"/>
      <c r="L85" s="253"/>
      <c r="M85" s="253"/>
      <c r="N85" s="253"/>
      <c r="O85" s="73" t="s">
        <v>783</v>
      </c>
      <c r="P85" s="411">
        <v>59.37</v>
      </c>
      <c r="Q85" s="253"/>
      <c r="R85" s="363"/>
      <c r="S85" s="410"/>
      <c r="T85" s="72"/>
      <c r="U85" s="73" t="s">
        <v>783</v>
      </c>
      <c r="V85" s="411">
        <v>46.57</v>
      </c>
      <c r="W85" s="253"/>
      <c r="X85" s="363"/>
      <c r="Y85" s="410"/>
      <c r="Z85" s="72"/>
      <c r="AA85" s="73" t="s">
        <v>783</v>
      </c>
      <c r="AB85" s="411">
        <v>33.76</v>
      </c>
      <c r="AC85" s="253"/>
    </row>
    <row r="86" spans="1:33">
      <c r="A86" s="253"/>
      <c r="B86" s="889"/>
      <c r="C86" s="45"/>
      <c r="D86" s="45"/>
      <c r="E86" s="45"/>
      <c r="F86" s="45"/>
      <c r="G86" s="45"/>
      <c r="H86" s="253"/>
      <c r="I86" s="253"/>
      <c r="J86" s="260"/>
      <c r="K86" s="253"/>
      <c r="L86" s="253"/>
      <c r="M86" s="253"/>
      <c r="N86" s="253"/>
      <c r="O86" s="253"/>
      <c r="P86" s="482" t="e">
        <f>P83-P85</f>
        <v>#REF!</v>
      </c>
      <c r="Q86" s="253"/>
      <c r="R86" s="253"/>
      <c r="S86" s="253"/>
      <c r="T86" s="253"/>
      <c r="U86" s="253"/>
      <c r="V86" s="482" t="e">
        <f>V83-V85</f>
        <v>#REF!</v>
      </c>
      <c r="W86" s="253"/>
      <c r="X86" s="253"/>
      <c r="Y86" s="253"/>
      <c r="Z86" s="253"/>
      <c r="AA86" s="253"/>
      <c r="AB86" s="482" t="e">
        <f>AB83-AB85</f>
        <v>#REF!</v>
      </c>
      <c r="AC86" s="253"/>
    </row>
    <row r="87" spans="1:33">
      <c r="A87" s="253"/>
      <c r="B87" s="81" t="s">
        <v>37</v>
      </c>
      <c r="C87" s="389">
        <f>C40</f>
        <v>7.6809383045675458E-2</v>
      </c>
      <c r="D87" s="45"/>
      <c r="E87" s="45"/>
      <c r="F87" s="45"/>
      <c r="G87" s="302" t="s">
        <v>781</v>
      </c>
      <c r="H87" s="274"/>
      <c r="I87" s="274"/>
      <c r="J87" s="275"/>
      <c r="K87" s="253"/>
      <c r="L87" s="253"/>
      <c r="M87" s="253"/>
      <c r="N87" s="253"/>
      <c r="O87" s="253"/>
      <c r="P87" s="593" t="e">
        <f>P86/P85</f>
        <v>#REF!</v>
      </c>
      <c r="Q87" s="253"/>
      <c r="R87" s="253"/>
      <c r="S87" s="253"/>
      <c r="T87" s="253"/>
      <c r="U87" s="253"/>
      <c r="V87" s="593" t="e">
        <f>V86/V85</f>
        <v>#REF!</v>
      </c>
      <c r="W87" s="253"/>
      <c r="X87" s="253"/>
      <c r="Y87" s="253"/>
      <c r="Z87" s="253"/>
      <c r="AA87" s="253"/>
      <c r="AB87" s="593" t="e">
        <f>AB86/AB85</f>
        <v>#REF!</v>
      </c>
      <c r="AC87" s="253"/>
    </row>
    <row r="88" spans="1:33" ht="13.5" thickBot="1">
      <c r="A88" s="253"/>
      <c r="B88" s="860" t="s">
        <v>37</v>
      </c>
      <c r="C88" s="96">
        <v>2.5000000000000001E-2</v>
      </c>
      <c r="D88" s="96"/>
      <c r="E88" s="96"/>
      <c r="F88" s="96"/>
      <c r="G88" s="862" t="s">
        <v>780</v>
      </c>
      <c r="H88" s="281"/>
      <c r="I88" s="281"/>
      <c r="J88" s="282"/>
      <c r="K88" s="253"/>
      <c r="L88" s="253"/>
      <c r="M88" s="253"/>
      <c r="N88" s="253"/>
      <c r="O88" s="253"/>
      <c r="P88" s="253"/>
      <c r="Q88" s="253"/>
      <c r="R88" s="253"/>
      <c r="S88" s="253"/>
      <c r="T88" s="253"/>
      <c r="U88" s="253"/>
      <c r="V88" s="253"/>
      <c r="W88" s="253"/>
      <c r="X88" s="253"/>
      <c r="Y88" s="253"/>
      <c r="Z88" s="253"/>
      <c r="AA88" s="253"/>
      <c r="AB88" s="253"/>
      <c r="AC88" s="253"/>
    </row>
    <row r="89" spans="1:33">
      <c r="A89" s="253"/>
      <c r="B89" s="253"/>
      <c r="C89" s="253"/>
      <c r="D89" s="253"/>
      <c r="E89" s="253"/>
      <c r="F89" s="253"/>
      <c r="G89" s="253"/>
      <c r="H89" s="253"/>
      <c r="I89" s="253"/>
      <c r="J89" s="253"/>
      <c r="K89" s="253"/>
      <c r="L89" s="253"/>
      <c r="M89" s="253"/>
      <c r="N89" s="253"/>
      <c r="O89" s="253"/>
      <c r="P89" s="253"/>
      <c r="Q89" s="253"/>
      <c r="R89" s="253"/>
      <c r="S89" s="253"/>
      <c r="T89" s="253"/>
      <c r="U89" s="253"/>
      <c r="V89" s="253"/>
      <c r="W89" s="253"/>
      <c r="X89" s="253"/>
      <c r="Y89" s="253"/>
      <c r="Z89" s="253"/>
      <c r="AA89" s="253"/>
      <c r="AB89" s="253"/>
      <c r="AC89" s="253"/>
    </row>
    <row r="90" spans="1:33">
      <c r="A90" s="253"/>
      <c r="B90" s="336" t="s">
        <v>568</v>
      </c>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3"/>
      <c r="AC90" s="253"/>
    </row>
    <row r="91" spans="1:33">
      <c r="A91" s="253"/>
      <c r="B91" s="334" t="s">
        <v>401</v>
      </c>
      <c r="C91" s="331" t="s">
        <v>400</v>
      </c>
      <c r="D91" s="331" t="s">
        <v>394</v>
      </c>
      <c r="E91" s="331" t="s">
        <v>395</v>
      </c>
      <c r="F91" s="331" t="s">
        <v>396</v>
      </c>
      <c r="G91" s="331" t="s">
        <v>397</v>
      </c>
      <c r="H91" s="331" t="s">
        <v>398</v>
      </c>
      <c r="I91" s="331" t="s">
        <v>399</v>
      </c>
      <c r="J91" s="253"/>
      <c r="K91" s="253"/>
      <c r="L91" s="253"/>
      <c r="M91" s="253"/>
      <c r="N91" s="253"/>
      <c r="O91" s="253"/>
      <c r="P91" s="253"/>
      <c r="Q91" s="253"/>
      <c r="R91" s="253"/>
      <c r="S91" s="253"/>
      <c r="T91" s="253"/>
      <c r="U91" s="253"/>
      <c r="V91" s="253"/>
      <c r="W91" s="253"/>
      <c r="X91" s="253"/>
      <c r="Y91" s="253"/>
      <c r="Z91" s="253"/>
      <c r="AA91" s="253"/>
      <c r="AB91" s="253"/>
      <c r="AC91" s="253"/>
    </row>
    <row r="92" spans="1:33" s="255" customFormat="1">
      <c r="A92" s="253"/>
      <c r="B92" s="335" t="s">
        <v>391</v>
      </c>
      <c r="C92" s="332">
        <v>8</v>
      </c>
      <c r="D92" s="332">
        <v>8</v>
      </c>
      <c r="E92" s="332">
        <v>8</v>
      </c>
      <c r="F92" s="332">
        <v>8</v>
      </c>
      <c r="G92" s="332">
        <v>8</v>
      </c>
      <c r="H92" s="332">
        <v>8</v>
      </c>
      <c r="I92" s="332">
        <v>8</v>
      </c>
      <c r="J92" s="253"/>
      <c r="K92" s="253"/>
      <c r="L92" s="253"/>
      <c r="M92" s="253"/>
      <c r="N92" s="253"/>
      <c r="O92" s="253"/>
      <c r="P92" s="253"/>
      <c r="Q92" s="253"/>
      <c r="R92" s="253"/>
      <c r="S92" s="253"/>
      <c r="T92" s="253"/>
      <c r="U92" s="253"/>
      <c r="V92" s="253"/>
      <c r="W92" s="253"/>
      <c r="X92" s="253"/>
      <c r="Y92" s="253"/>
      <c r="Z92" s="253"/>
      <c r="AA92" s="253"/>
      <c r="AB92" s="253"/>
      <c r="AC92" s="253"/>
    </row>
    <row r="93" spans="1:33" s="255" customFormat="1">
      <c r="A93" s="253"/>
      <c r="B93" s="335" t="s">
        <v>392</v>
      </c>
      <c r="C93" s="332">
        <v>8</v>
      </c>
      <c r="D93" s="332">
        <v>8</v>
      </c>
      <c r="E93" s="332">
        <v>8</v>
      </c>
      <c r="F93" s="332">
        <v>8</v>
      </c>
      <c r="G93" s="332">
        <v>8</v>
      </c>
      <c r="H93" s="332">
        <v>8</v>
      </c>
      <c r="I93" s="332">
        <v>8</v>
      </c>
      <c r="J93" s="253"/>
      <c r="K93" s="253"/>
      <c r="L93" s="253"/>
      <c r="M93" s="253"/>
      <c r="N93" s="253"/>
      <c r="O93" s="253"/>
      <c r="P93" s="253"/>
      <c r="Q93" s="253"/>
      <c r="R93" s="253"/>
      <c r="S93" s="253"/>
      <c r="T93" s="253"/>
      <c r="U93" s="253"/>
      <c r="V93" s="253"/>
      <c r="W93" s="253"/>
      <c r="X93" s="253"/>
      <c r="Y93" s="253"/>
      <c r="Z93" s="253"/>
      <c r="AA93" s="253"/>
      <c r="AB93" s="253"/>
      <c r="AC93" s="253"/>
    </row>
    <row r="94" spans="1:33" s="255" customFormat="1">
      <c r="A94" s="253"/>
      <c r="B94" s="335" t="s">
        <v>393</v>
      </c>
      <c r="C94" s="332">
        <v>8</v>
      </c>
      <c r="D94" s="332">
        <v>8</v>
      </c>
      <c r="E94" s="332">
        <v>8</v>
      </c>
      <c r="F94" s="332">
        <v>8</v>
      </c>
      <c r="G94" s="332">
        <v>8</v>
      </c>
      <c r="H94" s="332">
        <v>8</v>
      </c>
      <c r="I94" s="332">
        <v>8</v>
      </c>
      <c r="J94" s="253"/>
      <c r="K94" s="253"/>
      <c r="L94" s="253"/>
      <c r="M94" s="253"/>
      <c r="N94" s="253"/>
      <c r="O94" s="253"/>
      <c r="P94" s="253"/>
      <c r="Q94" s="253"/>
      <c r="R94" s="253"/>
      <c r="S94" s="253"/>
      <c r="T94" s="253"/>
      <c r="U94" s="253"/>
      <c r="V94" s="253"/>
      <c r="W94" s="253"/>
      <c r="X94" s="253"/>
      <c r="Y94" s="253"/>
      <c r="Z94" s="253"/>
      <c r="AA94" s="253"/>
      <c r="AB94" s="253"/>
      <c r="AC94" s="253"/>
    </row>
    <row r="95" spans="1:33" s="255" customFormat="1">
      <c r="B95" s="335" t="str">
        <f>"Total"&amp;" = "&amp;(SUM(C95:I95))</f>
        <v>Total = 168</v>
      </c>
      <c r="C95" s="333">
        <f>SUM(C92:C94)</f>
        <v>24</v>
      </c>
      <c r="D95" s="333">
        <f t="shared" ref="D95:I95" si="1">SUM(D92:D94)</f>
        <v>24</v>
      </c>
      <c r="E95" s="333">
        <f t="shared" si="1"/>
        <v>24</v>
      </c>
      <c r="F95" s="333">
        <f t="shared" si="1"/>
        <v>24</v>
      </c>
      <c r="G95" s="333">
        <f t="shared" si="1"/>
        <v>24</v>
      </c>
      <c r="H95" s="333">
        <f t="shared" si="1"/>
        <v>24</v>
      </c>
      <c r="I95" s="333">
        <f t="shared" si="1"/>
        <v>24</v>
      </c>
      <c r="J95" s="253"/>
      <c r="K95" s="253"/>
      <c r="L95" s="253"/>
      <c r="M95" s="253"/>
      <c r="N95" s="253"/>
      <c r="O95" s="253"/>
      <c r="P95" s="253"/>
      <c r="Q95" s="253"/>
      <c r="R95" s="253"/>
      <c r="S95" s="253"/>
      <c r="T95" s="253"/>
      <c r="U95" s="253"/>
      <c r="V95" s="253"/>
      <c r="W95" s="253"/>
      <c r="X95" s="253"/>
      <c r="Y95" s="253"/>
      <c r="Z95" s="253"/>
      <c r="AA95" s="253"/>
      <c r="AB95" s="253"/>
      <c r="AC95" s="253"/>
    </row>
    <row r="96" spans="1:33" s="255" customFormat="1">
      <c r="B96" s="253"/>
      <c r="C96" s="253"/>
      <c r="D96" s="326"/>
      <c r="E96" s="326"/>
      <c r="F96" s="326"/>
      <c r="G96" s="326"/>
      <c r="H96" s="326"/>
      <c r="I96" s="326"/>
      <c r="J96" s="253"/>
      <c r="K96" s="253"/>
      <c r="L96" s="253"/>
      <c r="M96" s="253"/>
      <c r="N96" s="253"/>
      <c r="O96" s="253"/>
      <c r="P96" s="253"/>
      <c r="Q96" s="253"/>
      <c r="R96" s="253"/>
      <c r="S96" s="253"/>
      <c r="T96" s="253"/>
      <c r="U96" s="253"/>
      <c r="V96" s="253"/>
      <c r="W96" s="253"/>
      <c r="X96" s="253"/>
      <c r="Y96" s="253"/>
      <c r="Z96" s="253"/>
      <c r="AA96" s="253"/>
      <c r="AB96" s="253"/>
      <c r="AC96" s="253"/>
      <c r="AD96" s="407"/>
      <c r="AE96" s="407"/>
      <c r="AF96" s="407"/>
      <c r="AG96" s="407"/>
    </row>
    <row r="97" spans="16:33" s="255" customFormat="1">
      <c r="Q97" s="407"/>
      <c r="W97" s="407"/>
    </row>
    <row r="98" spans="16:33" s="255" customFormat="1"/>
    <row r="99" spans="16:33" s="255" customFormat="1"/>
    <row r="100" spans="16:33" s="255" customFormat="1"/>
    <row r="101" spans="16:33" s="255" customFormat="1"/>
    <row r="102" spans="16:33" s="255" customFormat="1">
      <c r="P102" s="407"/>
      <c r="R102" s="407"/>
      <c r="S102" s="407"/>
      <c r="T102" s="407"/>
      <c r="U102" s="407"/>
      <c r="V102" s="407"/>
      <c r="X102" s="407"/>
      <c r="Y102" s="407"/>
      <c r="Z102" s="407"/>
      <c r="AA102" s="407"/>
      <c r="AB102" s="407"/>
    </row>
    <row r="103" spans="16:33" s="255" customFormat="1">
      <c r="AC103" s="407"/>
      <c r="AD103" s="407"/>
      <c r="AE103" s="407"/>
      <c r="AF103" s="407"/>
      <c r="AG103" s="407"/>
    </row>
    <row r="104" spans="16:33" s="255" customFormat="1">
      <c r="Q104" s="407"/>
      <c r="W104" s="407"/>
    </row>
    <row r="105" spans="16:33" s="255" customFormat="1"/>
    <row r="106" spans="16:33" s="255" customFormat="1"/>
    <row r="107" spans="16:33" s="255" customFormat="1"/>
    <row r="108" spans="16:33" s="255" customFormat="1"/>
    <row r="109" spans="16:33" s="255" customFormat="1"/>
    <row r="110" spans="16:33" s="255" customFormat="1"/>
    <row r="111" spans="16:33" s="255" customFormat="1"/>
    <row r="112" spans="16:33" s="255" customFormat="1"/>
    <row r="113" s="255" customFormat="1"/>
    <row r="114" s="255" customFormat="1"/>
    <row r="115" s="255" customFormat="1"/>
    <row r="116" s="255" customFormat="1"/>
    <row r="117" s="255" customFormat="1"/>
    <row r="118" s="255" customFormat="1"/>
    <row r="119" s="255" customFormat="1"/>
    <row r="120" s="255" customFormat="1"/>
    <row r="121" s="255" customFormat="1"/>
    <row r="122" s="255" customFormat="1"/>
    <row r="123" s="255" customFormat="1"/>
    <row r="124" s="255" customFormat="1"/>
    <row r="125" s="255" customFormat="1"/>
    <row r="126" s="255" customFormat="1"/>
    <row r="127" s="255" customFormat="1"/>
    <row r="128" s="255" customFormat="1"/>
    <row r="129" s="255" customFormat="1"/>
    <row r="130" s="255" customFormat="1"/>
    <row r="131" s="255" customFormat="1"/>
    <row r="132" s="255" customFormat="1"/>
    <row r="133" s="255" customFormat="1"/>
    <row r="134" s="255" customFormat="1"/>
    <row r="135" s="255" customFormat="1"/>
    <row r="136" s="255" customFormat="1"/>
    <row r="137" s="255" customFormat="1"/>
    <row r="138" s="255" customFormat="1"/>
    <row r="139" s="255" customFormat="1"/>
    <row r="140" s="255" customFormat="1"/>
    <row r="141" s="255" customFormat="1"/>
    <row r="142" s="255" customFormat="1"/>
    <row r="143" s="255" customFormat="1"/>
    <row r="144" s="255" customFormat="1"/>
    <row r="145" s="255" customFormat="1"/>
    <row r="146" s="255" customFormat="1"/>
    <row r="147" s="255" customFormat="1"/>
    <row r="148" s="255" customFormat="1"/>
    <row r="149" s="255" customFormat="1"/>
    <row r="150" s="255" customFormat="1"/>
    <row r="151" s="255" customFormat="1"/>
    <row r="152" s="255" customFormat="1"/>
    <row r="153" s="255" customFormat="1"/>
    <row r="154" s="255" customFormat="1"/>
    <row r="155" s="255" customFormat="1"/>
    <row r="156" s="255" customFormat="1"/>
    <row r="157" s="255" customFormat="1"/>
    <row r="158" s="255" customFormat="1"/>
    <row r="159" s="255" customFormat="1"/>
    <row r="160" s="255" customFormat="1"/>
    <row r="161" s="255" customFormat="1"/>
    <row r="162" s="255" customFormat="1"/>
    <row r="163" s="255" customFormat="1"/>
    <row r="164" s="255" customFormat="1"/>
    <row r="165" s="255" customFormat="1"/>
    <row r="166" s="255" customFormat="1"/>
    <row r="167" s="255" customFormat="1"/>
    <row r="168" s="255" customFormat="1"/>
    <row r="169" s="255" customFormat="1"/>
    <row r="170" s="255" customFormat="1"/>
    <row r="171" s="255" customFormat="1"/>
    <row r="172" s="255" customFormat="1"/>
    <row r="173" s="255" customFormat="1"/>
    <row r="174" s="255" customFormat="1"/>
    <row r="175" s="255" customFormat="1"/>
    <row r="176" s="255" customFormat="1"/>
    <row r="177" s="255" customFormat="1"/>
    <row r="178" s="255" customFormat="1"/>
    <row r="179" s="255" customFormat="1"/>
    <row r="180" s="255" customFormat="1"/>
    <row r="181" s="255" customFormat="1"/>
    <row r="182" s="255" customFormat="1"/>
    <row r="183" s="255" customFormat="1"/>
    <row r="184" s="255" customFormat="1"/>
    <row r="185" s="255" customFormat="1"/>
    <row r="186" s="255" customFormat="1"/>
    <row r="187" s="255" customFormat="1"/>
    <row r="188" s="255" customFormat="1"/>
    <row r="189" s="255" customFormat="1"/>
    <row r="190" s="255" customFormat="1"/>
    <row r="191" s="255" customFormat="1"/>
    <row r="192" s="255" customFormat="1"/>
    <row r="193" s="255" customFormat="1"/>
    <row r="194" s="255" customFormat="1"/>
    <row r="195" s="255" customFormat="1"/>
    <row r="196" s="255" customFormat="1"/>
    <row r="197" s="255" customFormat="1"/>
    <row r="198" s="255" customFormat="1"/>
    <row r="199" s="255" customFormat="1"/>
    <row r="200" s="255" customFormat="1"/>
    <row r="201" s="255" customFormat="1"/>
    <row r="202" s="255" customFormat="1"/>
    <row r="203" s="255" customFormat="1"/>
    <row r="204" s="255" customFormat="1"/>
    <row r="205" s="255" customFormat="1"/>
    <row r="206" s="255" customFormat="1"/>
    <row r="207" s="255" customFormat="1"/>
    <row r="208" s="255" customFormat="1"/>
    <row r="209" s="255" customFormat="1"/>
    <row r="210" s="255" customFormat="1"/>
    <row r="211" s="255" customFormat="1"/>
    <row r="212" s="255" customFormat="1"/>
    <row r="213" s="255" customFormat="1"/>
    <row r="214" s="255" customFormat="1"/>
    <row r="215" s="255" customFormat="1"/>
    <row r="216" s="255" customFormat="1"/>
    <row r="217" s="255" customFormat="1"/>
    <row r="218" s="255" customFormat="1"/>
    <row r="219" s="255" customFormat="1"/>
    <row r="220" s="255" customFormat="1"/>
    <row r="221" s="255" customFormat="1"/>
    <row r="222" s="255" customFormat="1"/>
    <row r="223" s="255" customFormat="1"/>
    <row r="224" s="255" customFormat="1"/>
    <row r="225" s="255" customFormat="1"/>
    <row r="226" s="255" customFormat="1"/>
    <row r="227" s="255" customFormat="1"/>
    <row r="228" s="255" customFormat="1"/>
    <row r="229" s="255" customFormat="1"/>
    <row r="230" s="255" customFormat="1"/>
    <row r="231" s="255" customFormat="1"/>
    <row r="232" s="255" customFormat="1"/>
    <row r="233" s="255" customFormat="1"/>
    <row r="234" s="255" customFormat="1"/>
    <row r="235" s="255" customFormat="1"/>
    <row r="236" s="255" customFormat="1"/>
    <row r="237" s="255" customFormat="1"/>
    <row r="238" s="255" customFormat="1"/>
    <row r="239" s="255" customFormat="1"/>
    <row r="240" s="255" customFormat="1"/>
    <row r="241" s="255" customFormat="1"/>
    <row r="242" s="255" customFormat="1"/>
    <row r="243" s="255" customFormat="1"/>
    <row r="244" s="255" customFormat="1"/>
    <row r="245" s="255" customFormat="1"/>
    <row r="246" s="255" customFormat="1"/>
    <row r="247" s="255" customFormat="1"/>
    <row r="248" s="255" customFormat="1"/>
    <row r="249" s="255" customFormat="1"/>
    <row r="250" s="255" customFormat="1"/>
    <row r="251" s="255" customFormat="1"/>
    <row r="252" s="255" customFormat="1"/>
    <row r="253" s="255" customFormat="1"/>
    <row r="254" s="255" customFormat="1"/>
    <row r="255" s="255" customFormat="1"/>
    <row r="256" s="255" customFormat="1"/>
    <row r="257" s="255" customFormat="1"/>
    <row r="258" s="255" customFormat="1"/>
    <row r="259" s="255" customFormat="1"/>
    <row r="260" s="255" customFormat="1"/>
    <row r="261" s="255" customFormat="1"/>
    <row r="262" s="255" customFormat="1"/>
    <row r="263" s="255" customFormat="1"/>
    <row r="264" s="255" customFormat="1"/>
    <row r="265" s="255" customFormat="1"/>
    <row r="266" s="255" customFormat="1"/>
    <row r="267" s="255" customFormat="1"/>
    <row r="268" s="255" customFormat="1"/>
    <row r="269" s="255" customFormat="1"/>
    <row r="270" s="255" customFormat="1"/>
    <row r="271" s="255" customFormat="1"/>
    <row r="272" s="255" customFormat="1"/>
    <row r="273" s="255" customFormat="1"/>
    <row r="274" s="255" customFormat="1"/>
    <row r="275" s="255" customFormat="1"/>
    <row r="276" s="255" customFormat="1"/>
    <row r="277" s="255" customFormat="1"/>
    <row r="278" s="255" customFormat="1"/>
    <row r="279" s="255" customFormat="1"/>
    <row r="280" s="255" customFormat="1"/>
    <row r="281" s="255" customFormat="1"/>
    <row r="282" s="255" customFormat="1"/>
    <row r="283" s="255" customFormat="1"/>
    <row r="284" s="255" customFormat="1"/>
    <row r="285" s="255" customFormat="1"/>
    <row r="286" s="255" customFormat="1"/>
    <row r="287" s="255" customFormat="1"/>
    <row r="288" s="255" customFormat="1"/>
    <row r="289" s="255" customFormat="1"/>
    <row r="290" s="255" customFormat="1"/>
    <row r="291" s="255" customFormat="1"/>
    <row r="292" s="255" customFormat="1"/>
    <row r="293" s="255" customFormat="1"/>
    <row r="294" s="255" customFormat="1"/>
    <row r="295" s="255" customFormat="1"/>
    <row r="296" s="255" customFormat="1"/>
    <row r="297" s="255" customFormat="1"/>
    <row r="298" s="255" customFormat="1"/>
    <row r="299" s="255" customFormat="1"/>
    <row r="300" s="255" customFormat="1"/>
    <row r="301" s="255" customFormat="1"/>
    <row r="302" s="255" customFormat="1"/>
    <row r="303" s="255" customFormat="1"/>
    <row r="304" s="255" customFormat="1"/>
    <row r="305" s="255" customFormat="1"/>
    <row r="306" s="255" customFormat="1"/>
    <row r="307" s="255" customFormat="1"/>
    <row r="308" s="255" customFormat="1"/>
    <row r="309" s="255" customFormat="1"/>
    <row r="310" s="255" customFormat="1"/>
    <row r="311" s="255" customFormat="1"/>
    <row r="312" s="255" customFormat="1"/>
    <row r="313" s="255" customFormat="1"/>
    <row r="314" s="255" customFormat="1"/>
    <row r="315" s="255" customFormat="1"/>
    <row r="316" s="255" customFormat="1"/>
    <row r="317" s="255" customFormat="1"/>
    <row r="318" s="255" customFormat="1"/>
    <row r="319" s="255" customFormat="1"/>
    <row r="320" s="255" customFormat="1"/>
    <row r="321" s="255" customFormat="1"/>
    <row r="322" s="255" customFormat="1"/>
    <row r="323" s="255" customFormat="1"/>
    <row r="324" s="255" customFormat="1"/>
    <row r="325" s="255" customFormat="1"/>
    <row r="326" s="255" customFormat="1"/>
    <row r="327" s="255" customFormat="1"/>
    <row r="328" s="255" customFormat="1"/>
    <row r="329" s="255" customFormat="1"/>
    <row r="330" s="255" customFormat="1"/>
    <row r="331" s="255" customFormat="1"/>
    <row r="332" s="255" customFormat="1"/>
    <row r="333" s="255" customFormat="1"/>
    <row r="334" s="255" customFormat="1"/>
    <row r="335" s="255" customFormat="1"/>
    <row r="336" s="255" customFormat="1"/>
    <row r="337" s="255" customFormat="1"/>
    <row r="338" s="255" customFormat="1"/>
    <row r="339" s="255" customFormat="1"/>
    <row r="340" s="255" customFormat="1"/>
    <row r="341" s="255" customFormat="1"/>
    <row r="342" s="255" customFormat="1"/>
    <row r="343" s="255" customFormat="1"/>
    <row r="344" s="255" customFormat="1"/>
    <row r="345" s="255" customFormat="1"/>
    <row r="346" s="255" customFormat="1"/>
    <row r="347" s="255" customFormat="1"/>
    <row r="348" s="255" customFormat="1"/>
    <row r="349" s="255" customFormat="1"/>
    <row r="350" s="255" customFormat="1"/>
    <row r="351" s="255" customFormat="1"/>
    <row r="352" s="255" customFormat="1"/>
    <row r="353" s="255" customFormat="1"/>
    <row r="354" s="255" customFormat="1"/>
    <row r="355" s="255" customFormat="1"/>
    <row r="356" s="255" customFormat="1"/>
    <row r="357" s="255" customFormat="1"/>
    <row r="358" s="255" customFormat="1"/>
    <row r="359" s="255" customFormat="1"/>
    <row r="360" s="255" customFormat="1"/>
    <row r="361" s="255" customFormat="1"/>
    <row r="362" s="255" customFormat="1"/>
    <row r="363" s="255" customFormat="1"/>
    <row r="364" s="255" customFormat="1"/>
    <row r="365" s="255" customFormat="1"/>
    <row r="366" s="255" customFormat="1"/>
    <row r="367" s="255" customFormat="1"/>
    <row r="368" s="255" customFormat="1"/>
    <row r="369" s="255" customFormat="1"/>
    <row r="370" s="255" customFormat="1"/>
    <row r="371" s="255" customFormat="1"/>
    <row r="372" s="255" customFormat="1"/>
    <row r="373" s="255" customFormat="1"/>
    <row r="374" s="255" customFormat="1"/>
    <row r="375" s="255" customFormat="1"/>
    <row r="376" s="255" customFormat="1"/>
    <row r="377" s="255" customFormat="1"/>
    <row r="378" s="255" customFormat="1"/>
    <row r="379" s="255" customFormat="1"/>
    <row r="380" s="255" customFormat="1"/>
    <row r="381" s="255" customFormat="1"/>
    <row r="382" s="255" customFormat="1"/>
    <row r="383" s="255" customFormat="1"/>
    <row r="384" s="255" customFormat="1"/>
    <row r="385" s="255" customFormat="1"/>
    <row r="386" s="255" customFormat="1"/>
    <row r="387" s="255" customFormat="1"/>
    <row r="388" s="255" customFormat="1"/>
    <row r="389" s="255" customFormat="1"/>
    <row r="390" s="255" customFormat="1"/>
    <row r="391" s="255" customFormat="1"/>
    <row r="392" s="255" customFormat="1"/>
    <row r="393" s="255" customFormat="1"/>
    <row r="394" s="255" customFormat="1"/>
    <row r="395" s="255" customFormat="1"/>
    <row r="396" s="255" customFormat="1"/>
    <row r="397" s="255" customFormat="1"/>
    <row r="398" s="255" customFormat="1"/>
    <row r="399" s="255" customFormat="1"/>
    <row r="400" s="255" customFormat="1"/>
    <row r="401" s="255" customFormat="1"/>
    <row r="402" s="255" customFormat="1"/>
    <row r="403" s="255" customFormat="1"/>
    <row r="404" s="255" customFormat="1"/>
    <row r="405" s="255" customFormat="1"/>
    <row r="406" s="255" customFormat="1"/>
    <row r="407" s="255" customFormat="1"/>
    <row r="408" s="255" customFormat="1"/>
    <row r="409" s="255" customFormat="1"/>
    <row r="410" s="255" customFormat="1"/>
    <row r="411" s="255" customFormat="1"/>
    <row r="412" s="255" customFormat="1"/>
    <row r="413" s="255" customFormat="1"/>
    <row r="414" s="255" customFormat="1"/>
    <row r="415" s="255" customFormat="1"/>
    <row r="416" s="255" customFormat="1"/>
    <row r="417" s="255" customFormat="1"/>
    <row r="418" s="255" customFormat="1"/>
    <row r="419" s="255" customFormat="1"/>
    <row r="420" s="255" customFormat="1"/>
    <row r="421" s="255" customFormat="1"/>
    <row r="422" s="255" customFormat="1"/>
    <row r="423" s="255" customFormat="1"/>
    <row r="424" s="255" customFormat="1"/>
    <row r="425" s="255" customFormat="1"/>
    <row r="426" s="255" customFormat="1"/>
    <row r="427" s="255" customFormat="1"/>
    <row r="428" s="255" customFormat="1"/>
    <row r="429" s="255" customFormat="1"/>
    <row r="430" s="255" customFormat="1"/>
    <row r="431" s="255" customFormat="1"/>
    <row r="432" s="255" customFormat="1"/>
    <row r="433" s="255" customFormat="1"/>
    <row r="434" s="255" customFormat="1"/>
    <row r="435" s="255" customFormat="1"/>
    <row r="436" s="255" customFormat="1"/>
    <row r="437" s="255" customFormat="1"/>
    <row r="438" s="255" customFormat="1"/>
    <row r="439" s="255" customFormat="1"/>
    <row r="440" s="255" customFormat="1"/>
    <row r="441" s="255" customFormat="1"/>
    <row r="442" s="255" customFormat="1"/>
    <row r="443" s="255" customFormat="1"/>
    <row r="444" s="255" customFormat="1"/>
    <row r="445" s="255" customFormat="1"/>
    <row r="446" s="255" customFormat="1"/>
    <row r="447" s="255" customFormat="1"/>
    <row r="448" s="255" customFormat="1"/>
    <row r="449" spans="2:28" s="255" customFormat="1"/>
    <row r="450" spans="2:28" s="255" customFormat="1"/>
    <row r="451" spans="2:28" s="255" customFormat="1"/>
    <row r="452" spans="2:28" s="255" customFormat="1"/>
    <row r="453" spans="2:28" s="255" customFormat="1"/>
    <row r="454" spans="2:28" s="255" customFormat="1"/>
    <row r="455" spans="2:28" s="255" customFormat="1"/>
    <row r="456" spans="2:28" s="255" customFormat="1"/>
    <row r="457" spans="2:28" s="255" customFormat="1"/>
    <row r="458" spans="2:28" s="255" customFormat="1"/>
    <row r="459" spans="2:28" s="255" customFormat="1"/>
    <row r="460" spans="2:28" s="255" customFormat="1"/>
    <row r="461" spans="2:28" s="255" customFormat="1"/>
    <row r="462" spans="2:28" s="255" customFormat="1">
      <c r="L462" s="8"/>
      <c r="M462" s="8"/>
      <c r="N462" s="8"/>
      <c r="O462" s="8"/>
      <c r="P462" s="8"/>
      <c r="R462" s="8"/>
      <c r="S462" s="8"/>
      <c r="T462" s="8"/>
      <c r="U462" s="8"/>
      <c r="V462" s="8"/>
      <c r="X462" s="8"/>
      <c r="Y462" s="8"/>
      <c r="Z462" s="8"/>
      <c r="AA462" s="8"/>
      <c r="AB462" s="8"/>
    </row>
    <row r="463" spans="2:28">
      <c r="B463" s="255"/>
      <c r="C463" s="255"/>
      <c r="D463" s="255"/>
      <c r="E463" s="255"/>
      <c r="F463" s="255"/>
      <c r="G463" s="255"/>
      <c r="H463" s="255"/>
      <c r="I463" s="255"/>
      <c r="J463" s="255"/>
      <c r="Q463" s="255"/>
      <c r="W463" s="255"/>
    </row>
    <row r="464" spans="2:28">
      <c r="B464" s="255"/>
      <c r="C464" s="255"/>
      <c r="D464" s="255"/>
      <c r="E464" s="255"/>
      <c r="F464" s="255"/>
      <c r="G464" s="255"/>
      <c r="H464" s="255"/>
      <c r="I464" s="255"/>
      <c r="J464" s="255"/>
    </row>
  </sheetData>
  <mergeCells count="11">
    <mergeCell ref="G84:J84"/>
    <mergeCell ref="L1:AB1"/>
    <mergeCell ref="B1:J1"/>
    <mergeCell ref="L52:P52"/>
    <mergeCell ref="X52:AB52"/>
    <mergeCell ref="R52:V52"/>
    <mergeCell ref="L9:P9"/>
    <mergeCell ref="R9:V9"/>
    <mergeCell ref="X9:AB9"/>
    <mergeCell ref="B51:I51"/>
    <mergeCell ref="B42:J43"/>
  </mergeCells>
  <printOptions horizontalCentered="1"/>
  <pageMargins left="0.2" right="0.2" top="1" bottom="1" header="0.3" footer="0.3"/>
  <pageSetup scale="64" fitToHeight="0" orientation="landscape" r:id="rId1"/>
  <headerFooter>
    <oddFooter>&amp;R&amp;P of &amp;N</oddFooter>
  </headerFooter>
  <rowBreaks count="1" manualBreakCount="1">
    <brk id="51" min="11" max="27" man="1"/>
  </rowBreaks>
  <colBreaks count="1" manualBreakCount="1">
    <brk id="10" max="8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F469"/>
  <sheetViews>
    <sheetView zoomScale="80" zoomScaleNormal="80" workbookViewId="0">
      <selection activeCell="Q55" sqref="Q55"/>
    </sheetView>
  </sheetViews>
  <sheetFormatPr defaultColWidth="9.42578125" defaultRowHeight="12.75"/>
  <cols>
    <col min="1" max="1" width="3" style="985" customWidth="1"/>
    <col min="2" max="2" width="28.42578125" style="985" customWidth="1"/>
    <col min="3" max="5" width="10.42578125" style="985" customWidth="1"/>
    <col min="6" max="6" width="10.42578125" style="985" hidden="1" customWidth="1"/>
    <col min="7" max="10" width="10.42578125" style="985" customWidth="1"/>
    <col min="11" max="11" width="32.85546875" style="985" customWidth="1"/>
    <col min="12" max="12" width="2.5703125" style="985" customWidth="1"/>
    <col min="13" max="13" width="21.42578125" style="985" customWidth="1"/>
    <col min="14" max="14" width="6.5703125" style="985" bestFit="1" customWidth="1"/>
    <col min="15" max="15" width="14.5703125" style="985" customWidth="1"/>
    <col min="16" max="16" width="11.5703125" style="985" customWidth="1"/>
    <col min="17" max="17" width="14.7109375" style="985" customWidth="1"/>
    <col min="18" max="18" width="6.42578125" style="985" customWidth="1"/>
    <col min="19" max="19" width="22.42578125" style="985" customWidth="1"/>
    <col min="20" max="20" width="14" style="985" customWidth="1"/>
    <col min="21" max="21" width="15.5703125" style="985" customWidth="1"/>
    <col min="22" max="22" width="12.42578125" style="985" customWidth="1"/>
    <col min="23" max="23" width="12" style="985" customWidth="1"/>
    <col min="24" max="24" width="5.7109375" style="985" customWidth="1"/>
    <col min="25" max="25" width="23" style="985" bestFit="1" customWidth="1"/>
    <col min="26" max="26" width="11.42578125" style="985" customWidth="1"/>
    <col min="27" max="27" width="15.5703125" style="985" customWidth="1"/>
    <col min="28" max="28" width="12.42578125" style="985" customWidth="1"/>
    <col min="29" max="29" width="12" style="985" customWidth="1"/>
    <col min="30" max="30" width="6" style="985" customWidth="1"/>
    <col min="31" max="31" width="11.28515625" style="984" customWidth="1"/>
    <col min="32" max="33" width="9.42578125" style="984"/>
    <col min="34" max="34" width="12" style="984" customWidth="1"/>
    <col min="35" max="36" width="9.42578125" style="984"/>
    <col min="37" max="37" width="12.85546875" style="984" customWidth="1"/>
    <col min="38" max="336" width="9.42578125" style="984"/>
    <col min="337" max="16384" width="9.42578125" style="985"/>
  </cols>
  <sheetData>
    <row r="1" spans="1:52" ht="15.75" customHeight="1" thickBot="1">
      <c r="A1" s="156"/>
      <c r="B1" s="2554" t="s">
        <v>546</v>
      </c>
      <c r="C1" s="2554"/>
      <c r="D1" s="2554"/>
      <c r="E1" s="2554"/>
      <c r="F1" s="2554"/>
      <c r="G1" s="2554"/>
      <c r="H1" s="2554"/>
      <c r="I1" s="2554"/>
      <c r="J1" s="2554"/>
      <c r="K1" s="2554"/>
      <c r="L1" s="156"/>
      <c r="M1" s="2554" t="s">
        <v>554</v>
      </c>
      <c r="N1" s="2554"/>
      <c r="O1" s="2554"/>
      <c r="P1" s="2554"/>
      <c r="Q1" s="2554"/>
      <c r="R1" s="2554"/>
      <c r="S1" s="2554"/>
      <c r="T1" s="2554"/>
      <c r="U1" s="2554"/>
      <c r="V1" s="2554"/>
      <c r="W1" s="2554"/>
      <c r="X1" s="2554"/>
      <c r="Y1" s="2554"/>
      <c r="Z1" s="2554"/>
      <c r="AA1" s="2554"/>
      <c r="AB1" s="2554"/>
      <c r="AC1" s="2554"/>
      <c r="AD1" s="156"/>
      <c r="AE1" s="363"/>
      <c r="AF1" s="75"/>
      <c r="AG1" s="76"/>
      <c r="AH1" s="77"/>
      <c r="AI1" s="1031"/>
      <c r="AJ1" s="156"/>
      <c r="AK1" s="363"/>
      <c r="AL1" s="75"/>
      <c r="AM1" s="76"/>
      <c r="AN1" s="363"/>
      <c r="AO1" s="75"/>
      <c r="AP1" s="76"/>
      <c r="AQ1" s="77"/>
      <c r="AR1" s="1031"/>
      <c r="AS1" s="156"/>
      <c r="AT1" s="363"/>
      <c r="AU1" s="75"/>
      <c r="AV1" s="76"/>
      <c r="AW1" s="363"/>
      <c r="AX1" s="75"/>
      <c r="AY1" s="76"/>
      <c r="AZ1" s="77"/>
    </row>
    <row r="2" spans="1:52" ht="9.75" customHeight="1" thickBot="1">
      <c r="A2" s="156"/>
      <c r="B2" s="35"/>
      <c r="C2" s="35"/>
      <c r="D2" s="35"/>
      <c r="E2" s="35"/>
      <c r="F2" s="35"/>
      <c r="G2" s="35"/>
      <c r="H2" s="35"/>
      <c r="I2" s="35"/>
      <c r="J2" s="35"/>
      <c r="K2" s="35"/>
      <c r="L2" s="156"/>
      <c r="M2" s="35"/>
      <c r="N2" s="35"/>
      <c r="O2" s="35"/>
      <c r="P2" s="35"/>
      <c r="Q2" s="35"/>
      <c r="R2" s="35"/>
      <c r="S2" s="35"/>
      <c r="T2" s="35"/>
      <c r="U2" s="35"/>
      <c r="V2" s="35"/>
      <c r="W2" s="35"/>
      <c r="X2" s="35"/>
      <c r="Y2" s="35"/>
      <c r="Z2" s="35"/>
      <c r="AA2" s="35"/>
      <c r="AB2" s="35"/>
      <c r="AC2" s="35"/>
      <c r="AD2" s="156"/>
      <c r="AE2" s="363"/>
      <c r="AF2" s="75"/>
      <c r="AG2" s="76"/>
      <c r="AH2" s="77"/>
      <c r="AI2" s="1031"/>
      <c r="AJ2" s="156"/>
      <c r="AK2" s="363"/>
      <c r="AL2" s="75"/>
      <c r="AM2" s="76"/>
      <c r="AN2" s="363"/>
      <c r="AO2" s="75"/>
      <c r="AP2" s="76"/>
      <c r="AQ2" s="77"/>
      <c r="AR2" s="1031"/>
      <c r="AS2" s="156"/>
      <c r="AT2" s="363"/>
      <c r="AU2" s="75"/>
      <c r="AV2" s="76"/>
      <c r="AW2" s="363"/>
      <c r="AX2" s="75"/>
      <c r="AY2" s="76"/>
      <c r="AZ2" s="77"/>
    </row>
    <row r="3" spans="1:52">
      <c r="A3" s="156"/>
      <c r="B3" s="138" t="s">
        <v>0</v>
      </c>
      <c r="C3" s="139" t="s">
        <v>1</v>
      </c>
      <c r="D3" s="163" t="s">
        <v>2</v>
      </c>
      <c r="E3" s="156"/>
      <c r="F3" s="156"/>
      <c r="G3" s="156"/>
      <c r="H3" s="156"/>
      <c r="I3" s="156"/>
      <c r="J3" s="156"/>
      <c r="K3" s="156"/>
      <c r="L3" s="156"/>
      <c r="M3" s="986"/>
      <c r="N3" s="156"/>
      <c r="O3" s="156"/>
      <c r="P3" s="156"/>
      <c r="Q3" s="156"/>
      <c r="R3" s="156"/>
      <c r="S3" s="156"/>
      <c r="T3" s="156"/>
      <c r="U3" s="156"/>
      <c r="V3" s="156"/>
      <c r="W3" s="156"/>
      <c r="X3" s="156"/>
      <c r="Y3" s="156"/>
      <c r="Z3" s="156"/>
      <c r="AA3" s="156"/>
      <c r="AB3" s="156"/>
      <c r="AC3" s="156"/>
      <c r="AD3" s="156"/>
      <c r="AE3" s="363"/>
      <c r="AF3" s="75"/>
      <c r="AG3" s="76"/>
      <c r="AH3" s="77"/>
      <c r="AI3" s="1031"/>
      <c r="AJ3" s="156"/>
      <c r="AK3" s="363"/>
      <c r="AL3" s="75"/>
      <c r="AM3" s="76"/>
      <c r="AN3" s="363"/>
      <c r="AO3" s="75"/>
      <c r="AP3" s="76"/>
      <c r="AQ3" s="77"/>
      <c r="AR3" s="1031"/>
      <c r="AS3" s="156"/>
      <c r="AT3" s="363"/>
      <c r="AU3" s="75"/>
      <c r="AV3" s="76"/>
      <c r="AW3" s="363"/>
      <c r="AX3" s="75"/>
      <c r="AY3" s="76"/>
      <c r="AZ3" s="77"/>
    </row>
    <row r="4" spans="1:52">
      <c r="A4" s="156"/>
      <c r="B4" s="140" t="s">
        <v>370</v>
      </c>
      <c r="C4" s="854">
        <v>15</v>
      </c>
      <c r="D4" s="164">
        <f>C4*8</f>
        <v>120</v>
      </c>
      <c r="E4" s="38"/>
      <c r="F4" s="38"/>
      <c r="G4" s="38"/>
      <c r="H4" s="156"/>
      <c r="I4" s="156"/>
      <c r="J4" s="156"/>
      <c r="K4" s="156"/>
      <c r="L4" s="156"/>
      <c r="M4" s="156"/>
      <c r="N4" s="156"/>
      <c r="O4" s="156"/>
      <c r="P4" s="156"/>
      <c r="Q4" s="156"/>
      <c r="R4" s="156"/>
      <c r="S4" s="156"/>
      <c r="T4" s="156"/>
      <c r="U4" s="156"/>
      <c r="V4" s="156"/>
      <c r="W4" s="156"/>
      <c r="X4" s="156"/>
      <c r="Y4" s="156"/>
      <c r="Z4" s="156"/>
      <c r="AA4" s="156"/>
      <c r="AB4" s="156"/>
      <c r="AC4" s="156"/>
      <c r="AD4" s="156"/>
      <c r="AE4" s="363"/>
      <c r="AF4" s="75"/>
      <c r="AG4" s="76"/>
      <c r="AH4" s="77"/>
      <c r="AI4" s="1031"/>
      <c r="AJ4" s="156"/>
      <c r="AK4" s="363"/>
      <c r="AL4" s="75"/>
      <c r="AM4" s="76"/>
      <c r="AN4" s="363"/>
      <c r="AO4" s="75"/>
      <c r="AP4" s="76"/>
      <c r="AQ4" s="77"/>
      <c r="AR4" s="1031"/>
      <c r="AS4" s="156"/>
      <c r="AT4" s="363"/>
      <c r="AU4" s="75"/>
      <c r="AV4" s="76"/>
      <c r="AW4" s="363"/>
      <c r="AX4" s="75"/>
      <c r="AY4" s="76"/>
      <c r="AZ4" s="77"/>
    </row>
    <row r="5" spans="1:52">
      <c r="A5" s="156"/>
      <c r="B5" s="140" t="s">
        <v>378</v>
      </c>
      <c r="C5" s="854">
        <v>8</v>
      </c>
      <c r="D5" s="164">
        <f>C5*8</f>
        <v>64</v>
      </c>
      <c r="E5" s="39"/>
      <c r="F5" s="39"/>
      <c r="G5" s="39"/>
      <c r="H5" s="156"/>
      <c r="I5" s="156"/>
      <c r="J5" s="156"/>
      <c r="K5" s="156"/>
      <c r="L5" s="156"/>
      <c r="M5" s="156"/>
      <c r="N5" s="156"/>
      <c r="O5" s="156"/>
      <c r="P5" s="156"/>
      <c r="Q5" s="156"/>
      <c r="R5" s="156"/>
      <c r="S5" s="156"/>
      <c r="T5" s="156"/>
      <c r="U5" s="156"/>
      <c r="V5" s="156"/>
      <c r="W5" s="156"/>
      <c r="X5" s="156"/>
      <c r="Y5" s="156"/>
      <c r="Z5" s="156"/>
      <c r="AA5" s="156"/>
      <c r="AB5" s="156"/>
      <c r="AC5" s="156"/>
      <c r="AD5" s="156"/>
      <c r="AE5" s="363"/>
      <c r="AF5" s="75"/>
      <c r="AG5" s="76"/>
      <c r="AH5" s="77"/>
      <c r="AI5" s="1031"/>
      <c r="AJ5" s="156"/>
      <c r="AK5" s="363"/>
      <c r="AL5" s="75"/>
      <c r="AM5" s="76"/>
      <c r="AN5" s="363"/>
      <c r="AO5" s="75"/>
      <c r="AP5" s="76"/>
      <c r="AQ5" s="77"/>
      <c r="AR5" s="1031"/>
      <c r="AS5" s="156"/>
      <c r="AT5" s="363"/>
      <c r="AU5" s="75"/>
      <c r="AV5" s="76"/>
      <c r="AW5" s="363"/>
      <c r="AX5" s="75"/>
      <c r="AY5" s="76"/>
      <c r="AZ5" s="77"/>
    </row>
    <row r="6" spans="1:52">
      <c r="A6" s="156"/>
      <c r="B6" s="140" t="s">
        <v>372</v>
      </c>
      <c r="C6" s="854">
        <v>11</v>
      </c>
      <c r="D6" s="164">
        <f>C6*8</f>
        <v>88</v>
      </c>
      <c r="E6" s="39"/>
      <c r="F6" s="39"/>
      <c r="G6" s="39"/>
      <c r="H6" s="156"/>
      <c r="I6" s="156"/>
      <c r="J6" s="156"/>
      <c r="K6" s="156"/>
      <c r="L6" s="156"/>
      <c r="M6" s="156"/>
      <c r="N6" s="156"/>
      <c r="O6" s="156"/>
      <c r="P6" s="156"/>
      <c r="Q6" s="156"/>
      <c r="R6" s="156"/>
      <c r="S6" s="156"/>
      <c r="T6" s="156"/>
      <c r="U6" s="156"/>
      <c r="V6" s="156"/>
      <c r="W6" s="156"/>
      <c r="X6" s="156"/>
      <c r="Y6" s="156"/>
      <c r="Z6" s="156"/>
      <c r="AA6" s="156"/>
      <c r="AB6" s="156"/>
      <c r="AC6" s="156"/>
      <c r="AD6" s="156"/>
      <c r="AE6" s="363"/>
      <c r="AF6" s="75"/>
      <c r="AG6" s="76"/>
      <c r="AH6" s="77"/>
      <c r="AI6" s="1031"/>
      <c r="AJ6" s="156"/>
      <c r="AK6" s="363"/>
      <c r="AL6" s="75"/>
      <c r="AM6" s="76"/>
      <c r="AN6" s="363"/>
      <c r="AO6" s="75"/>
      <c r="AP6" s="76"/>
      <c r="AQ6" s="77"/>
      <c r="AR6" s="1031"/>
      <c r="AS6" s="156"/>
      <c r="AT6" s="363"/>
      <c r="AU6" s="75"/>
      <c r="AV6" s="76"/>
      <c r="AW6" s="363"/>
      <c r="AX6" s="75"/>
      <c r="AY6" s="76"/>
      <c r="AZ6" s="77"/>
    </row>
    <row r="7" spans="1:52">
      <c r="A7" s="156"/>
      <c r="B7" s="142" t="s">
        <v>902</v>
      </c>
      <c r="C7" s="854">
        <v>5</v>
      </c>
      <c r="D7" s="165">
        <f>C7*8</f>
        <v>40</v>
      </c>
      <c r="E7" s="39"/>
      <c r="F7" s="39"/>
      <c r="G7" s="39"/>
      <c r="H7" s="156"/>
      <c r="I7" s="156"/>
      <c r="J7" s="156"/>
      <c r="K7" s="156"/>
      <c r="L7" s="156"/>
      <c r="M7" s="156"/>
      <c r="N7" s="156"/>
      <c r="O7" s="156"/>
      <c r="P7" s="156"/>
      <c r="Q7" s="156"/>
      <c r="R7" s="156"/>
      <c r="S7" s="156"/>
      <c r="T7" s="156"/>
      <c r="U7" s="156"/>
      <c r="V7" s="156"/>
      <c r="W7" s="156"/>
      <c r="X7" s="156"/>
      <c r="Y7" s="156"/>
      <c r="Z7" s="156"/>
      <c r="AA7" s="156"/>
      <c r="AB7" s="156"/>
      <c r="AC7" s="156"/>
      <c r="AD7" s="156"/>
      <c r="AE7" s="363"/>
      <c r="AF7" s="75"/>
      <c r="AG7" s="76"/>
      <c r="AH7" s="77"/>
      <c r="AI7" s="1031"/>
      <c r="AJ7" s="156"/>
      <c r="AK7" s="363"/>
      <c r="AL7" s="75"/>
      <c r="AM7" s="76"/>
      <c r="AN7" s="363"/>
      <c r="AO7" s="75"/>
      <c r="AP7" s="76"/>
      <c r="AQ7" s="77"/>
      <c r="AR7" s="1031"/>
      <c r="AS7" s="156"/>
      <c r="AT7" s="363"/>
      <c r="AU7" s="75"/>
      <c r="AV7" s="76"/>
      <c r="AW7" s="363"/>
      <c r="AX7" s="75"/>
      <c r="AY7" s="76"/>
      <c r="AZ7" s="77"/>
    </row>
    <row r="8" spans="1:52">
      <c r="A8" s="156"/>
      <c r="B8" s="140"/>
      <c r="C8" s="143" t="s">
        <v>3</v>
      </c>
      <c r="D8" s="164">
        <f>SUM(D4:D7)</f>
        <v>312</v>
      </c>
      <c r="E8" s="39"/>
      <c r="F8" s="39"/>
      <c r="G8" s="39"/>
      <c r="H8" s="156"/>
      <c r="I8" s="156"/>
      <c r="J8" s="156"/>
      <c r="K8" s="156"/>
      <c r="L8" s="156"/>
      <c r="M8" s="156"/>
      <c r="N8" s="156"/>
      <c r="O8" s="156"/>
      <c r="P8" s="156"/>
      <c r="Q8" s="156"/>
      <c r="R8" s="156"/>
      <c r="S8" s="156"/>
      <c r="T8" s="156"/>
      <c r="U8" s="156"/>
      <c r="V8" s="156"/>
      <c r="W8" s="156"/>
      <c r="X8" s="156"/>
      <c r="Y8" s="156"/>
      <c r="Z8" s="156"/>
      <c r="AA8" s="156"/>
      <c r="AB8" s="156"/>
      <c r="AC8" s="156"/>
      <c r="AD8" s="156"/>
      <c r="AE8" s="363"/>
      <c r="AF8" s="75"/>
      <c r="AG8" s="76"/>
      <c r="AH8" s="77"/>
      <c r="AI8" s="1031"/>
      <c r="AJ8" s="156"/>
      <c r="AK8" s="363"/>
      <c r="AL8" s="75"/>
      <c r="AM8" s="76"/>
      <c r="AN8" s="363"/>
      <c r="AO8" s="75"/>
      <c r="AP8" s="76"/>
      <c r="AQ8" s="77"/>
      <c r="AR8" s="1031"/>
      <c r="AS8" s="156"/>
      <c r="AT8" s="363"/>
      <c r="AU8" s="75"/>
      <c r="AV8" s="76"/>
      <c r="AW8" s="363"/>
      <c r="AX8" s="75"/>
      <c r="AY8" s="76"/>
      <c r="AZ8" s="77"/>
    </row>
    <row r="9" spans="1:52" ht="13.5" customHeight="1" thickBot="1">
      <c r="A9" s="156"/>
      <c r="B9" s="144"/>
      <c r="C9" s="145" t="s">
        <v>4</v>
      </c>
      <c r="D9" s="1385">
        <f>D8/(52*40)</f>
        <v>0.15</v>
      </c>
      <c r="E9" s="39"/>
      <c r="F9" s="39"/>
      <c r="G9" s="39"/>
      <c r="H9" s="156"/>
      <c r="I9" s="156"/>
      <c r="J9" s="156"/>
      <c r="K9" s="156"/>
      <c r="L9" s="156"/>
      <c r="M9" s="156"/>
      <c r="N9" s="156"/>
      <c r="O9" s="156"/>
      <c r="P9" s="156"/>
      <c r="Q9" s="156"/>
      <c r="R9" s="156"/>
      <c r="S9" s="156"/>
      <c r="T9" s="156"/>
      <c r="U9" s="156"/>
      <c r="V9" s="156"/>
      <c r="W9" s="156"/>
      <c r="X9" s="156"/>
      <c r="Y9" s="156"/>
      <c r="Z9" s="156"/>
      <c r="AA9" s="156"/>
      <c r="AB9" s="156"/>
      <c r="AC9" s="156"/>
      <c r="AD9" s="156"/>
      <c r="AE9" s="363"/>
      <c r="AF9" s="75"/>
      <c r="AG9" s="76"/>
      <c r="AH9" s="77"/>
      <c r="AI9" s="1031"/>
      <c r="AJ9" s="156"/>
      <c r="AK9" s="363"/>
      <c r="AL9" s="75"/>
      <c r="AM9" s="76"/>
      <c r="AN9" s="363"/>
      <c r="AO9" s="75"/>
      <c r="AP9" s="76"/>
      <c r="AQ9" s="77"/>
      <c r="AR9" s="1031"/>
      <c r="AS9" s="156"/>
      <c r="AT9" s="363"/>
      <c r="AU9" s="75"/>
      <c r="AV9" s="76"/>
      <c r="AW9" s="363"/>
      <c r="AX9" s="75"/>
      <c r="AY9" s="76"/>
      <c r="AZ9" s="77"/>
    </row>
    <row r="10" spans="1:52">
      <c r="A10" s="156"/>
      <c r="B10" s="156"/>
      <c r="C10" s="156"/>
      <c r="D10" s="156"/>
      <c r="E10" s="40"/>
      <c r="F10" s="40"/>
      <c r="G10" s="40"/>
      <c r="H10" s="156"/>
      <c r="I10" s="156"/>
      <c r="J10" s="156"/>
      <c r="K10" s="156"/>
      <c r="L10" s="156"/>
      <c r="M10" s="269" t="s">
        <v>557</v>
      </c>
      <c r="N10" s="156"/>
      <c r="O10" s="156"/>
      <c r="P10" s="156"/>
      <c r="Q10" s="156"/>
      <c r="R10" s="156"/>
      <c r="S10" s="156"/>
      <c r="T10" s="156"/>
      <c r="U10" s="156"/>
      <c r="V10" s="156"/>
      <c r="W10" s="156"/>
      <c r="X10" s="156"/>
      <c r="Y10" s="156"/>
      <c r="Z10" s="156"/>
      <c r="AA10" s="156"/>
      <c r="AB10" s="156"/>
      <c r="AC10" s="156"/>
      <c r="AD10" s="156"/>
      <c r="AE10" s="363"/>
      <c r="AF10" s="75"/>
      <c r="AG10" s="76"/>
      <c r="AH10" s="77"/>
      <c r="AI10" s="1031"/>
      <c r="AJ10" s="156"/>
      <c r="AK10" s="363"/>
      <c r="AL10" s="75"/>
      <c r="AM10" s="76"/>
      <c r="AN10" s="363"/>
      <c r="AO10" s="75"/>
      <c r="AP10" s="76"/>
      <c r="AQ10" s="77"/>
      <c r="AR10" s="1031"/>
      <c r="AS10" s="156"/>
      <c r="AT10" s="363"/>
      <c r="AU10" s="75"/>
      <c r="AV10" s="76"/>
      <c r="AW10" s="363"/>
      <c r="AX10" s="75"/>
      <c r="AY10" s="76"/>
      <c r="AZ10" s="77"/>
    </row>
    <row r="11" spans="1:52" ht="13.5" thickBot="1">
      <c r="A11" s="156"/>
      <c r="B11" s="269" t="s">
        <v>566</v>
      </c>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363"/>
      <c r="AF11" s="75"/>
      <c r="AG11" s="76"/>
      <c r="AH11" s="77"/>
      <c r="AI11" s="1031"/>
      <c r="AJ11" s="156"/>
      <c r="AK11" s="363"/>
      <c r="AL11" s="75"/>
      <c r="AM11" s="76"/>
      <c r="AN11" s="363"/>
      <c r="AO11" s="75"/>
      <c r="AP11" s="76"/>
      <c r="AQ11" s="77"/>
      <c r="AR11" s="1031"/>
      <c r="AS11" s="156"/>
      <c r="AT11" s="363"/>
      <c r="AU11" s="75"/>
      <c r="AV11" s="76"/>
      <c r="AW11" s="363"/>
      <c r="AX11" s="75"/>
      <c r="AY11" s="76"/>
      <c r="AZ11" s="77"/>
    </row>
    <row r="12" spans="1:52" ht="13.5" thickBot="1">
      <c r="A12" s="156"/>
      <c r="B12" s="992"/>
      <c r="C12" s="993" t="s">
        <v>41</v>
      </c>
      <c r="D12" s="993"/>
      <c r="E12" s="1883"/>
      <c r="F12" s="1883" t="s">
        <v>1164</v>
      </c>
      <c r="G12" s="994"/>
      <c r="H12" s="287" t="s">
        <v>278</v>
      </c>
      <c r="I12" s="272"/>
      <c r="J12" s="272"/>
      <c r="K12" s="273"/>
      <c r="L12" s="156"/>
      <c r="M12" s="2575" t="s">
        <v>558</v>
      </c>
      <c r="N12" s="2576"/>
      <c r="O12" s="2576"/>
      <c r="P12" s="2576"/>
      <c r="Q12" s="2577"/>
      <c r="S12" s="2575" t="s">
        <v>559</v>
      </c>
      <c r="T12" s="2576"/>
      <c r="U12" s="2576"/>
      <c r="V12" s="2576"/>
      <c r="W12" s="2577"/>
      <c r="Y12" s="2575" t="s">
        <v>560</v>
      </c>
      <c r="Z12" s="2576"/>
      <c r="AA12" s="2576"/>
      <c r="AB12" s="2576"/>
      <c r="AC12" s="2577"/>
      <c r="AD12" s="156"/>
      <c r="AE12" s="363"/>
      <c r="AF12" s="75"/>
      <c r="AG12" s="76"/>
      <c r="AH12" s="77"/>
      <c r="AI12" s="1031"/>
      <c r="AJ12" s="156"/>
      <c r="AK12" s="363"/>
      <c r="AL12" s="75"/>
      <c r="AM12" s="76"/>
      <c r="AN12" s="363"/>
      <c r="AO12" s="75"/>
      <c r="AP12" s="76"/>
      <c r="AQ12" s="77"/>
      <c r="AR12" s="1031"/>
      <c r="AS12" s="156"/>
      <c r="AT12" s="363"/>
      <c r="AU12" s="75"/>
      <c r="AV12" s="76"/>
      <c r="AW12" s="363"/>
      <c r="AX12" s="75"/>
      <c r="AY12" s="76"/>
      <c r="AZ12" s="77"/>
    </row>
    <row r="13" spans="1:52">
      <c r="A13" s="156"/>
      <c r="B13" s="44" t="s">
        <v>31</v>
      </c>
      <c r="C13" s="297"/>
      <c r="D13" s="297"/>
      <c r="E13" s="297"/>
      <c r="F13" s="297"/>
      <c r="G13" s="999"/>
      <c r="H13" s="283"/>
      <c r="I13" s="274"/>
      <c r="J13" s="274"/>
      <c r="K13" s="275"/>
      <c r="L13" s="156"/>
      <c r="M13" s="987" t="s">
        <v>277</v>
      </c>
      <c r="N13" s="147">
        <v>5</v>
      </c>
      <c r="O13" s="988"/>
      <c r="P13" s="989" t="s">
        <v>133</v>
      </c>
      <c r="Q13" s="990">
        <f>N13*365</f>
        <v>1825</v>
      </c>
      <c r="R13" s="156"/>
      <c r="S13" s="987" t="s">
        <v>277</v>
      </c>
      <c r="T13" s="147">
        <v>8</v>
      </c>
      <c r="U13" s="988"/>
      <c r="V13" s="989" t="s">
        <v>133</v>
      </c>
      <c r="W13" s="990">
        <f>T13*365</f>
        <v>2920</v>
      </c>
      <c r="X13" s="156"/>
      <c r="Y13" s="987" t="s">
        <v>36</v>
      </c>
      <c r="Z13" s="147">
        <v>11</v>
      </c>
      <c r="AA13" s="988"/>
      <c r="AB13" s="989" t="s">
        <v>133</v>
      </c>
      <c r="AC13" s="990">
        <f>Z13*365</f>
        <v>4015</v>
      </c>
      <c r="AD13" s="156"/>
      <c r="AE13" s="363"/>
      <c r="AF13" s="75"/>
      <c r="AG13" s="76"/>
      <c r="AH13" s="77"/>
      <c r="AI13" s="1031"/>
      <c r="AJ13" s="156"/>
      <c r="AK13" s="363"/>
      <c r="AL13" s="75"/>
      <c r="AM13" s="76"/>
      <c r="AN13" s="363"/>
      <c r="AO13" s="75"/>
      <c r="AP13" s="76"/>
      <c r="AQ13" s="77"/>
      <c r="AR13" s="1031"/>
      <c r="AS13" s="156"/>
      <c r="AT13" s="363"/>
      <c r="AU13" s="75"/>
      <c r="AV13" s="76"/>
      <c r="AW13" s="363"/>
      <c r="AX13" s="75"/>
      <c r="AY13" s="76"/>
      <c r="AZ13" s="77"/>
    </row>
    <row r="14" spans="1:52">
      <c r="A14" s="156"/>
      <c r="B14" s="48" t="str">
        <f>'Integrated Team '!B15</f>
        <v xml:space="preserve">Program Functional Oversight </v>
      </c>
      <c r="C14" s="1409">
        <f>'Integrated Team '!E15</f>
        <v>74264</v>
      </c>
      <c r="D14" s="999"/>
      <c r="E14" s="1198"/>
      <c r="F14" s="1198">
        <v>92496.84919424048</v>
      </c>
      <c r="G14" s="999"/>
      <c r="H14" s="1446" t="str">
        <f>'Integrated Team '!H15</f>
        <v>FY20 UFR Average for Line 101 Prg Functional Mgr</v>
      </c>
      <c r="I14" s="2030"/>
      <c r="J14" s="2030"/>
      <c r="K14" s="1438"/>
      <c r="L14" s="156"/>
      <c r="M14" s="109"/>
      <c r="N14" s="156"/>
      <c r="O14" s="156"/>
      <c r="P14" s="156"/>
      <c r="Q14" s="991" t="s">
        <v>1262</v>
      </c>
      <c r="R14" s="156"/>
      <c r="S14" s="109"/>
      <c r="T14" s="156"/>
      <c r="U14" s="156"/>
      <c r="V14" s="156"/>
      <c r="W14" s="991"/>
      <c r="X14" s="156"/>
      <c r="Y14" s="109"/>
      <c r="Z14" s="156"/>
      <c r="AA14" s="156"/>
      <c r="AB14" s="156"/>
      <c r="AC14" s="991"/>
      <c r="AD14" s="156"/>
      <c r="AE14" s="363"/>
      <c r="AF14" s="75"/>
      <c r="AG14" s="76"/>
      <c r="AH14" s="77"/>
      <c r="AI14" s="1031"/>
      <c r="AJ14" s="156"/>
      <c r="AK14" s="363"/>
      <c r="AL14" s="75"/>
      <c r="AM14" s="76"/>
      <c r="AN14" s="363"/>
      <c r="AO14" s="75"/>
      <c r="AP14" s="76"/>
      <c r="AQ14" s="77"/>
      <c r="AR14" s="1031"/>
      <c r="AS14" s="156"/>
      <c r="AT14" s="363"/>
      <c r="AU14" s="75"/>
      <c r="AV14" s="76"/>
      <c r="AW14" s="363"/>
      <c r="AX14" s="75"/>
      <c r="AY14" s="76"/>
      <c r="AZ14" s="77"/>
    </row>
    <row r="15" spans="1:52" ht="12.95" customHeight="1">
      <c r="A15" s="156"/>
      <c r="B15" s="48" t="s">
        <v>1256</v>
      </c>
      <c r="C15" s="999">
        <f>'M2022 BLS SALARY CHART (53_PCT)'!C12</f>
        <v>58616.063999999998</v>
      </c>
      <c r="D15" s="999"/>
      <c r="E15" s="1198"/>
      <c r="F15" s="1198">
        <v>45124.774005912077</v>
      </c>
      <c r="G15" s="1007"/>
      <c r="H15" s="1446" t="s">
        <v>1401</v>
      </c>
      <c r="I15" s="2030"/>
      <c r="J15" s="2030"/>
      <c r="K15" s="1438"/>
      <c r="L15" s="156"/>
      <c r="M15" s="995"/>
      <c r="N15" s="996"/>
      <c r="O15" s="997" t="s">
        <v>5</v>
      </c>
      <c r="P15" s="997" t="s">
        <v>6</v>
      </c>
      <c r="Q15" s="998" t="s">
        <v>7</v>
      </c>
      <c r="R15" s="156"/>
      <c r="S15" s="995"/>
      <c r="T15" s="996"/>
      <c r="U15" s="997" t="s">
        <v>5</v>
      </c>
      <c r="V15" s="997" t="s">
        <v>6</v>
      </c>
      <c r="W15" s="998" t="s">
        <v>7</v>
      </c>
      <c r="X15" s="156"/>
      <c r="Y15" s="995"/>
      <c r="Z15" s="996"/>
      <c r="AA15" s="997" t="s">
        <v>5</v>
      </c>
      <c r="AB15" s="997" t="s">
        <v>6</v>
      </c>
      <c r="AC15" s="998" t="s">
        <v>7</v>
      </c>
      <c r="AD15" s="156"/>
      <c r="AE15" s="363"/>
      <c r="AF15" s="75"/>
      <c r="AG15" s="76"/>
      <c r="AH15" s="77"/>
      <c r="AI15" s="1031"/>
      <c r="AJ15" s="156"/>
      <c r="AK15" s="363"/>
      <c r="AL15" s="75"/>
      <c r="AM15" s="76"/>
      <c r="AN15" s="363"/>
      <c r="AO15" s="75"/>
      <c r="AP15" s="76"/>
      <c r="AQ15" s="77"/>
      <c r="AR15" s="1031"/>
      <c r="AS15" s="156"/>
      <c r="AT15" s="363"/>
      <c r="AU15" s="75"/>
      <c r="AV15" s="76"/>
      <c r="AW15" s="363"/>
      <c r="AX15" s="75"/>
      <c r="AY15" s="76"/>
      <c r="AZ15" s="77"/>
    </row>
    <row r="16" spans="1:52" ht="12.95" customHeight="1">
      <c r="A16" s="156"/>
      <c r="B16" s="48" t="s">
        <v>875</v>
      </c>
      <c r="C16" s="999">
        <f>'Integrated Team '!E22</f>
        <v>53206.566400000003</v>
      </c>
      <c r="D16" s="999"/>
      <c r="E16" s="1198"/>
      <c r="F16" s="1198"/>
      <c r="G16" s="1007"/>
      <c r="H16" s="1446" t="s">
        <v>1401</v>
      </c>
      <c r="I16" s="2030"/>
      <c r="J16" s="2030"/>
      <c r="K16" s="1438"/>
      <c r="L16" s="156"/>
      <c r="M16" s="44" t="s">
        <v>31</v>
      </c>
      <c r="N16" s="1000"/>
      <c r="O16" s="101"/>
      <c r="P16" s="101"/>
      <c r="Q16" s="1001"/>
      <c r="R16" s="156"/>
      <c r="S16" s="44" t="s">
        <v>31</v>
      </c>
      <c r="T16" s="1000"/>
      <c r="U16" s="101"/>
      <c r="V16" s="101"/>
      <c r="W16" s="1001"/>
      <c r="X16" s="156"/>
      <c r="Y16" s="44" t="s">
        <v>31</v>
      </c>
      <c r="Z16" s="1000"/>
      <c r="AA16" s="101"/>
      <c r="AB16" s="101"/>
      <c r="AC16" s="1001"/>
      <c r="AD16" s="156"/>
      <c r="AE16" s="363"/>
      <c r="AF16" s="75"/>
      <c r="AG16" s="76"/>
      <c r="AH16" s="77"/>
      <c r="AI16" s="1031"/>
      <c r="AJ16" s="156"/>
      <c r="AK16" s="363"/>
      <c r="AL16" s="75"/>
      <c r="AM16" s="76"/>
      <c r="AN16" s="363"/>
      <c r="AO16" s="75"/>
      <c r="AP16" s="76"/>
      <c r="AQ16" s="77"/>
      <c r="AR16" s="1031"/>
      <c r="AS16" s="156"/>
      <c r="AT16" s="363"/>
      <c r="AU16" s="75"/>
      <c r="AV16" s="76"/>
      <c r="AW16" s="363"/>
      <c r="AX16" s="75"/>
      <c r="AY16" s="76"/>
      <c r="AZ16" s="77"/>
    </row>
    <row r="17" spans="1:52">
      <c r="A17" s="156"/>
      <c r="B17" s="48" t="s">
        <v>973</v>
      </c>
      <c r="C17" s="999">
        <f>'Integrated Team '!E23</f>
        <v>41600</v>
      </c>
      <c r="D17" s="999"/>
      <c r="E17" s="1198"/>
      <c r="F17" s="1198">
        <v>32198.400000000001</v>
      </c>
      <c r="G17" s="999"/>
      <c r="H17" s="1446" t="s">
        <v>1401</v>
      </c>
      <c r="I17" s="2030"/>
      <c r="J17" s="2030"/>
      <c r="K17" s="1438"/>
      <c r="L17" s="156"/>
      <c r="M17" s="109" t="str">
        <f>B14</f>
        <v xml:space="preserve">Program Functional Oversight </v>
      </c>
      <c r="N17" s="1002"/>
      <c r="O17" s="1003">
        <f>C14</f>
        <v>74264</v>
      </c>
      <c r="P17" s="1004">
        <f>C24</f>
        <v>0.05</v>
      </c>
      <c r="Q17" s="1005">
        <f>O17*P17</f>
        <v>3713.2000000000003</v>
      </c>
      <c r="R17" s="1006"/>
      <c r="S17" s="109" t="str">
        <f>M17</f>
        <v xml:space="preserve">Program Functional Oversight </v>
      </c>
      <c r="T17" s="1002"/>
      <c r="U17" s="1003">
        <f>C14</f>
        <v>74264</v>
      </c>
      <c r="V17" s="1004">
        <f>D24</f>
        <v>0.05</v>
      </c>
      <c r="W17" s="1005">
        <f>U17*V17</f>
        <v>3713.2000000000003</v>
      </c>
      <c r="X17" s="156"/>
      <c r="Y17" s="109" t="str">
        <f>S17</f>
        <v xml:space="preserve">Program Functional Oversight </v>
      </c>
      <c r="Z17" s="1002"/>
      <c r="AA17" s="1003">
        <f>C14</f>
        <v>74264</v>
      </c>
      <c r="AB17" s="1004">
        <f>E24</f>
        <v>0.05</v>
      </c>
      <c r="AC17" s="1005">
        <f>AA17*AB17</f>
        <v>3713.2000000000003</v>
      </c>
      <c r="AD17" s="156"/>
      <c r="AE17" s="363"/>
      <c r="AF17" s="75"/>
      <c r="AG17" s="76"/>
      <c r="AH17" s="77"/>
      <c r="AI17" s="1031"/>
      <c r="AJ17" s="156"/>
      <c r="AK17" s="363"/>
      <c r="AL17" s="75"/>
      <c r="AM17" s="76"/>
      <c r="AN17" s="363"/>
      <c r="AO17" s="75"/>
      <c r="AP17" s="76"/>
      <c r="AQ17" s="77"/>
      <c r="AR17" s="1031"/>
      <c r="AS17" s="156"/>
      <c r="AT17" s="363"/>
      <c r="AU17" s="75"/>
      <c r="AV17" s="76"/>
      <c r="AW17" s="363"/>
      <c r="AX17" s="75"/>
      <c r="AY17" s="76"/>
      <c r="AZ17" s="77"/>
    </row>
    <row r="18" spans="1:52">
      <c r="A18" s="156"/>
      <c r="B18" s="48" t="s">
        <v>349</v>
      </c>
      <c r="C18" s="999">
        <f>'Integrated Team '!E27</f>
        <v>47403.283200000005</v>
      </c>
      <c r="D18" s="999"/>
      <c r="E18" s="1198"/>
      <c r="F18" s="1198">
        <v>32198.400000000001</v>
      </c>
      <c r="G18" s="999"/>
      <c r="H18" s="1446" t="s">
        <v>1402</v>
      </c>
      <c r="I18" s="2030"/>
      <c r="J18" s="2030"/>
      <c r="K18" s="1438"/>
      <c r="L18" s="156"/>
      <c r="M18" s="109" t="str">
        <f>B15</f>
        <v xml:space="preserve">  Site Supervisor </v>
      </c>
      <c r="N18" s="1002"/>
      <c r="O18" s="1003">
        <f>C15</f>
        <v>58616.063999999998</v>
      </c>
      <c r="P18" s="1004">
        <v>1</v>
      </c>
      <c r="Q18" s="1005">
        <f>O18*P18</f>
        <v>58616.063999999998</v>
      </c>
      <c r="R18" s="1006"/>
      <c r="S18" s="109" t="str">
        <f>M18</f>
        <v xml:space="preserve">  Site Supervisor </v>
      </c>
      <c r="T18" s="1002"/>
      <c r="U18" s="1003">
        <f>C15</f>
        <v>58616.063999999998</v>
      </c>
      <c r="V18" s="1004">
        <v>1</v>
      </c>
      <c r="W18" s="1005">
        <f>U18*V18</f>
        <v>58616.063999999998</v>
      </c>
      <c r="X18" s="156"/>
      <c r="Y18" s="109" t="str">
        <f>S18</f>
        <v xml:space="preserve">  Site Supervisor </v>
      </c>
      <c r="Z18" s="1002"/>
      <c r="AA18" s="1003">
        <f>C15</f>
        <v>58616.063999999998</v>
      </c>
      <c r="AB18" s="1004">
        <v>1</v>
      </c>
      <c r="AC18" s="1005">
        <f>AA18*AB18</f>
        <v>58616.063999999998</v>
      </c>
      <c r="AD18" s="156"/>
      <c r="AE18" s="363"/>
      <c r="AF18" s="75"/>
      <c r="AG18" s="76"/>
      <c r="AH18" s="77"/>
      <c r="AI18" s="1031"/>
      <c r="AJ18" s="156"/>
      <c r="AK18" s="363"/>
      <c r="AL18" s="75"/>
      <c r="AM18" s="76"/>
      <c r="AN18" s="363"/>
      <c r="AO18" s="75"/>
      <c r="AP18" s="76"/>
      <c r="AQ18" s="77"/>
      <c r="AR18" s="1031"/>
      <c r="AS18" s="156"/>
      <c r="AT18" s="363"/>
      <c r="AU18" s="75"/>
      <c r="AV18" s="76"/>
      <c r="AW18" s="363"/>
      <c r="AX18" s="75"/>
      <c r="AY18" s="76"/>
      <c r="AZ18" s="77"/>
    </row>
    <row r="19" spans="1:52">
      <c r="A19" s="156"/>
      <c r="B19" s="48"/>
      <c r="C19" s="999"/>
      <c r="D19" s="999"/>
      <c r="E19" s="297"/>
      <c r="F19" s="297"/>
      <c r="G19" s="999"/>
      <c r="H19" s="2393"/>
      <c r="I19" s="2030"/>
      <c r="J19" s="2030"/>
      <c r="K19" s="1438"/>
      <c r="L19" s="156"/>
      <c r="M19" s="1091" t="str">
        <f>B16</f>
        <v xml:space="preserve">  Direct Care III</v>
      </c>
      <c r="N19" s="1410"/>
      <c r="O19" s="1411">
        <f>C16</f>
        <v>53206.566400000003</v>
      </c>
      <c r="P19" s="1412">
        <f>C26</f>
        <v>3.5</v>
      </c>
      <c r="Q19" s="1413">
        <f>O19*P19</f>
        <v>186222.98240000001</v>
      </c>
      <c r="R19" s="2174"/>
      <c r="S19" s="1091" t="str">
        <f>M19</f>
        <v xml:space="preserve">  Direct Care III</v>
      </c>
      <c r="T19" s="1410"/>
      <c r="U19" s="1411">
        <f>O19</f>
        <v>53206.566400000003</v>
      </c>
      <c r="V19" s="1412">
        <f>D26</f>
        <v>4</v>
      </c>
      <c r="W19" s="1413">
        <f>U19*V19</f>
        <v>212826.26560000001</v>
      </c>
      <c r="Y19" s="1091" t="str">
        <f>M19</f>
        <v xml:space="preserve">  Direct Care III</v>
      </c>
      <c r="Z19" s="1410"/>
      <c r="AA19" s="1411">
        <f>O19</f>
        <v>53206.566400000003</v>
      </c>
      <c r="AB19" s="1412">
        <f>E26</f>
        <v>4.5</v>
      </c>
      <c r="AC19" s="1413">
        <f>AA19*AB19</f>
        <v>239429.54880000002</v>
      </c>
      <c r="AD19" s="156"/>
      <c r="AE19" s="363"/>
      <c r="AF19" s="75"/>
      <c r="AG19" s="76"/>
      <c r="AH19" s="77"/>
      <c r="AI19" s="1031"/>
      <c r="AJ19" s="156"/>
      <c r="AK19" s="363"/>
      <c r="AL19" s="75"/>
      <c r="AM19" s="76"/>
      <c r="AN19" s="363"/>
      <c r="AO19" s="75"/>
      <c r="AP19" s="76"/>
      <c r="AQ19" s="77"/>
      <c r="AR19" s="1031"/>
      <c r="AS19" s="156"/>
      <c r="AT19" s="363"/>
      <c r="AU19" s="75"/>
      <c r="AV19" s="76"/>
      <c r="AW19" s="363"/>
      <c r="AX19" s="75"/>
      <c r="AY19" s="76"/>
      <c r="AZ19" s="77"/>
    </row>
    <row r="20" spans="1:52">
      <c r="A20" s="156"/>
      <c r="B20" s="48"/>
      <c r="C20" s="999"/>
      <c r="D20" s="999"/>
      <c r="E20" s="999"/>
      <c r="F20" s="999"/>
      <c r="G20" s="999"/>
      <c r="H20" s="2393"/>
      <c r="I20" s="2030"/>
      <c r="J20" s="2030"/>
      <c r="K20" s="1438"/>
      <c r="L20" s="156"/>
      <c r="M20" s="109" t="str">
        <f>B17</f>
        <v xml:space="preserve">  Direct Care</v>
      </c>
      <c r="N20" s="1002"/>
      <c r="O20" s="1003">
        <f>C17</f>
        <v>41600</v>
      </c>
      <c r="P20" s="1412">
        <f>C27</f>
        <v>3.5</v>
      </c>
      <c r="Q20" s="1005">
        <f>O20*P20</f>
        <v>145600</v>
      </c>
      <c r="R20" s="1006"/>
      <c r="S20" s="109" t="str">
        <f>M20</f>
        <v xml:space="preserve">  Direct Care</v>
      </c>
      <c r="T20" s="1002"/>
      <c r="U20" s="1003">
        <f>C17</f>
        <v>41600</v>
      </c>
      <c r="V20" s="1004">
        <f>D27</f>
        <v>4</v>
      </c>
      <c r="W20" s="1005">
        <f>U20*V20</f>
        <v>166400</v>
      </c>
      <c r="X20" s="156"/>
      <c r="Y20" s="109" t="str">
        <f>S20</f>
        <v xml:space="preserve">  Direct Care</v>
      </c>
      <c r="Z20" s="1002"/>
      <c r="AA20" s="1003">
        <f>C17</f>
        <v>41600</v>
      </c>
      <c r="AB20" s="1004">
        <f>E27</f>
        <v>4.5</v>
      </c>
      <c r="AC20" s="1005">
        <f>AA20*AB20</f>
        <v>187200</v>
      </c>
      <c r="AD20" s="156"/>
      <c r="AE20" s="363"/>
      <c r="AF20" s="75"/>
      <c r="AG20" s="76"/>
      <c r="AH20" s="77"/>
      <c r="AI20" s="1031"/>
      <c r="AJ20" s="156"/>
      <c r="AK20" s="363"/>
      <c r="AL20" s="75"/>
      <c r="AM20" s="76"/>
      <c r="AN20" s="363"/>
      <c r="AO20" s="75"/>
      <c r="AP20" s="76"/>
      <c r="AQ20" s="77"/>
      <c r="AR20" s="1031"/>
      <c r="AS20" s="156"/>
      <c r="AT20" s="363"/>
      <c r="AU20" s="75"/>
      <c r="AV20" s="76"/>
      <c r="AW20" s="363"/>
      <c r="AX20" s="75"/>
      <c r="AY20" s="76"/>
      <c r="AZ20" s="77"/>
    </row>
    <row r="21" spans="1:52">
      <c r="A21" s="156"/>
      <c r="B21" s="48"/>
      <c r="C21" s="297" t="s">
        <v>35</v>
      </c>
      <c r="D21" s="297"/>
      <c r="E21" s="297"/>
      <c r="F21" s="297"/>
      <c r="G21" s="328"/>
      <c r="H21" s="2394"/>
      <c r="I21" s="2030"/>
      <c r="J21" s="2030"/>
      <c r="K21" s="1438"/>
      <c r="L21" s="156"/>
      <c r="M21" s="109" t="str">
        <f>B18</f>
        <v xml:space="preserve">  Relief</v>
      </c>
      <c r="N21" s="1009"/>
      <c r="O21" s="1810">
        <f>C18</f>
        <v>47403.283200000005</v>
      </c>
      <c r="P21" s="1010">
        <f>C28</f>
        <v>1</v>
      </c>
      <c r="Q21" s="1011">
        <f>O21*P21</f>
        <v>47403.283200000005</v>
      </c>
      <c r="R21" s="1006"/>
      <c r="S21" s="109" t="s">
        <v>349</v>
      </c>
      <c r="T21" s="1009"/>
      <c r="U21" s="1810">
        <f>C18</f>
        <v>47403.283200000005</v>
      </c>
      <c r="V21" s="1010">
        <f>D28</f>
        <v>1.1000000000000001</v>
      </c>
      <c r="W21" s="1011">
        <f>U21*V21</f>
        <v>52143.611520000013</v>
      </c>
      <c r="X21" s="156"/>
      <c r="Y21" s="182" t="s">
        <v>349</v>
      </c>
      <c r="Z21" s="1009"/>
      <c r="AA21" s="1810">
        <f>C18</f>
        <v>47403.283200000005</v>
      </c>
      <c r="AB21" s="1010">
        <f>E28</f>
        <v>1.2</v>
      </c>
      <c r="AC21" s="1011">
        <f>AA21*AB21</f>
        <v>56883.939840000006</v>
      </c>
      <c r="AD21" s="156"/>
      <c r="AE21" s="363"/>
      <c r="AF21" s="75"/>
      <c r="AG21" s="76"/>
      <c r="AH21" s="77"/>
      <c r="AI21" s="1031"/>
      <c r="AJ21" s="156"/>
      <c r="AK21" s="363"/>
      <c r="AL21" s="75"/>
      <c r="AM21" s="76"/>
      <c r="AN21" s="363"/>
      <c r="AO21" s="75"/>
      <c r="AP21" s="76"/>
      <c r="AQ21" s="77"/>
      <c r="AR21" s="1031"/>
      <c r="AS21" s="156"/>
      <c r="AT21" s="363"/>
      <c r="AU21" s="75"/>
      <c r="AV21" s="76"/>
      <c r="AW21" s="363"/>
      <c r="AX21" s="75"/>
      <c r="AY21" s="76"/>
      <c r="AZ21" s="77"/>
    </row>
    <row r="22" spans="1:52">
      <c r="A22" s="156"/>
      <c r="B22" s="48" t="s">
        <v>36</v>
      </c>
      <c r="C22" s="1016" t="s">
        <v>118</v>
      </c>
      <c r="D22" s="1016" t="s">
        <v>119</v>
      </c>
      <c r="E22" s="1016" t="s">
        <v>120</v>
      </c>
      <c r="F22" s="398"/>
      <c r="G22" s="398"/>
      <c r="H22" s="2393"/>
      <c r="I22" s="2030"/>
      <c r="J22" s="2030"/>
      <c r="K22" s="1438"/>
      <c r="L22" s="156"/>
      <c r="M22" s="995" t="s">
        <v>13</v>
      </c>
      <c r="N22" s="1012"/>
      <c r="O22" s="1013"/>
      <c r="P22" s="1014">
        <f>SUM(P17:P21)</f>
        <v>9.0500000000000007</v>
      </c>
      <c r="Q22" s="1015">
        <f>SUM(Q17:Q21)</f>
        <v>441555.52960000001</v>
      </c>
      <c r="R22" s="1006"/>
      <c r="S22" s="995" t="s">
        <v>13</v>
      </c>
      <c r="T22" s="1012"/>
      <c r="U22" s="1013"/>
      <c r="V22" s="1014">
        <f>SUM(V17:V21)</f>
        <v>10.15</v>
      </c>
      <c r="W22" s="1015">
        <f>SUM(W17:W21)</f>
        <v>493699.14112000004</v>
      </c>
      <c r="X22" s="156"/>
      <c r="Y22" s="995" t="s">
        <v>13</v>
      </c>
      <c r="Z22" s="1012"/>
      <c r="AA22" s="1812"/>
      <c r="AB22" s="1014">
        <f>SUM(AB17:AB21)</f>
        <v>11.25</v>
      </c>
      <c r="AC22" s="1015">
        <f>SUM(AC17:AC21)</f>
        <v>545842.75264000008</v>
      </c>
      <c r="AD22" s="156"/>
      <c r="AE22" s="363"/>
      <c r="AF22" s="75"/>
      <c r="AG22" s="76"/>
      <c r="AH22" s="77"/>
      <c r="AI22" s="1031"/>
      <c r="AJ22" s="156"/>
      <c r="AK22" s="363"/>
      <c r="AL22" s="75"/>
      <c r="AM22" s="76"/>
      <c r="AN22" s="363"/>
      <c r="AO22" s="75"/>
      <c r="AP22" s="76"/>
      <c r="AQ22" s="77"/>
      <c r="AR22" s="1031"/>
      <c r="AS22" s="156"/>
      <c r="AT22" s="363"/>
      <c r="AU22" s="75"/>
      <c r="AV22" s="76"/>
      <c r="AW22" s="363"/>
      <c r="AX22" s="75"/>
      <c r="AY22" s="76"/>
      <c r="AZ22" s="77"/>
    </row>
    <row r="23" spans="1:52">
      <c r="A23" s="156"/>
      <c r="B23" s="44" t="s">
        <v>31</v>
      </c>
      <c r="C23" s="398"/>
      <c r="D23" s="398"/>
      <c r="E23" s="398"/>
      <c r="F23" s="398"/>
      <c r="G23" s="398"/>
      <c r="H23" s="2030"/>
      <c r="I23" s="2030"/>
      <c r="J23" s="2030"/>
      <c r="K23" s="1438"/>
      <c r="L23" s="156"/>
      <c r="M23" s="109"/>
      <c r="N23" s="156"/>
      <c r="O23" s="156"/>
      <c r="P23" s="156"/>
      <c r="Q23" s="991"/>
      <c r="R23" s="1006"/>
      <c r="S23" s="109"/>
      <c r="T23" s="156"/>
      <c r="U23" s="156"/>
      <c r="V23" s="156"/>
      <c r="W23" s="991"/>
      <c r="X23" s="156"/>
      <c r="Y23" s="109"/>
      <c r="Z23" s="156"/>
      <c r="AA23" s="156"/>
      <c r="AB23" s="156"/>
      <c r="AC23" s="991"/>
      <c r="AD23" s="156"/>
      <c r="AE23" s="363"/>
      <c r="AF23" s="75"/>
      <c r="AG23" s="76"/>
      <c r="AH23" s="77"/>
      <c r="AI23" s="1031"/>
      <c r="AJ23" s="156"/>
      <c r="AK23" s="363"/>
      <c r="AL23" s="75"/>
      <c r="AM23" s="76"/>
      <c r="AN23" s="363"/>
      <c r="AO23" s="75"/>
      <c r="AP23" s="76"/>
      <c r="AQ23" s="77"/>
      <c r="AR23" s="1031"/>
      <c r="AS23" s="156"/>
      <c r="AT23" s="363"/>
      <c r="AU23" s="75"/>
      <c r="AV23" s="76"/>
      <c r="AW23" s="363"/>
      <c r="AX23" s="75"/>
      <c r="AY23" s="76"/>
      <c r="AZ23" s="77"/>
    </row>
    <row r="24" spans="1:52">
      <c r="A24" s="156"/>
      <c r="B24" s="48" t="str">
        <f>B14</f>
        <v xml:space="preserve">Program Functional Oversight </v>
      </c>
      <c r="C24" s="1022">
        <v>0.05</v>
      </c>
      <c r="D24" s="1022">
        <v>0.05</v>
      </c>
      <c r="E24" s="1022">
        <v>0.05</v>
      </c>
      <c r="F24" s="1022"/>
      <c r="G24" s="1022"/>
      <c r="H24" s="2395"/>
      <c r="I24" s="2396"/>
      <c r="J24" s="2396"/>
      <c r="K24" s="2392"/>
      <c r="L24" s="156"/>
      <c r="M24" s="111" t="s">
        <v>15</v>
      </c>
      <c r="N24" s="156"/>
      <c r="O24" s="156"/>
      <c r="P24" s="269" t="s">
        <v>16</v>
      </c>
      <c r="Q24" s="991"/>
      <c r="R24" s="1006"/>
      <c r="S24" s="111" t="s">
        <v>15</v>
      </c>
      <c r="T24" s="156"/>
      <c r="U24" s="156"/>
      <c r="V24" s="269" t="s">
        <v>16</v>
      </c>
      <c r="W24" s="991"/>
      <c r="X24" s="156"/>
      <c r="Y24" s="111" t="s">
        <v>15</v>
      </c>
      <c r="Z24" s="156"/>
      <c r="AA24" s="156"/>
      <c r="AB24" s="269" t="s">
        <v>16</v>
      </c>
      <c r="AC24" s="991"/>
      <c r="AD24" s="156"/>
      <c r="AE24" s="363"/>
      <c r="AF24" s="75"/>
      <c r="AG24" s="76"/>
      <c r="AH24" s="77"/>
      <c r="AI24" s="1031"/>
      <c r="AJ24" s="156"/>
      <c r="AK24" s="363"/>
      <c r="AL24" s="75"/>
      <c r="AM24" s="76"/>
      <c r="AN24" s="363"/>
      <c r="AO24" s="75"/>
      <c r="AP24" s="76"/>
      <c r="AQ24" s="77"/>
      <c r="AR24" s="1031"/>
      <c r="AS24" s="156"/>
      <c r="AT24" s="363"/>
      <c r="AU24" s="75"/>
      <c r="AV24" s="76"/>
      <c r="AW24" s="363"/>
      <c r="AX24" s="75"/>
      <c r="AY24" s="76"/>
      <c r="AZ24" s="77"/>
    </row>
    <row r="25" spans="1:52">
      <c r="A25" s="156"/>
      <c r="B25" s="48" t="str">
        <f>B15</f>
        <v xml:space="preserve">  Site Supervisor </v>
      </c>
      <c r="C25" s="1022">
        <v>1</v>
      </c>
      <c r="D25" s="1022">
        <v>1</v>
      </c>
      <c r="E25" s="1022">
        <v>1</v>
      </c>
      <c r="F25" s="1022"/>
      <c r="G25" s="1022"/>
      <c r="H25" s="2395"/>
      <c r="I25" s="2396"/>
      <c r="J25" s="2396"/>
      <c r="K25" s="2392"/>
      <c r="L25" s="156"/>
      <c r="M25" s="109" t="s">
        <v>17</v>
      </c>
      <c r="N25" s="156"/>
      <c r="O25" s="1811">
        <f>C32</f>
        <v>0.27379999999999999</v>
      </c>
      <c r="P25" s="156"/>
      <c r="Q25" s="1017">
        <f>O25*Q22</f>
        <v>120897.90400447999</v>
      </c>
      <c r="R25" s="1006"/>
      <c r="S25" s="109" t="s">
        <v>17</v>
      </c>
      <c r="T25" s="156"/>
      <c r="U25" s="1811">
        <f>C32</f>
        <v>0.27379999999999999</v>
      </c>
      <c r="V25" s="156"/>
      <c r="W25" s="1017">
        <f>U25*W22</f>
        <v>135174.824838656</v>
      </c>
      <c r="X25" s="156"/>
      <c r="Y25" s="109" t="s">
        <v>17</v>
      </c>
      <c r="Z25" s="156"/>
      <c r="AA25" s="1811">
        <f>C32</f>
        <v>0.27379999999999999</v>
      </c>
      <c r="AB25" s="156"/>
      <c r="AC25" s="1017">
        <f>AA25*AC22</f>
        <v>149451.74567283201</v>
      </c>
      <c r="AD25" s="156"/>
      <c r="AE25" s="363"/>
      <c r="AF25" s="75"/>
      <c r="AG25" s="76"/>
      <c r="AH25" s="77"/>
      <c r="AI25" s="1031"/>
      <c r="AJ25" s="156"/>
      <c r="AK25" s="363"/>
      <c r="AL25" s="75"/>
      <c r="AM25" s="76"/>
      <c r="AN25" s="363"/>
      <c r="AO25" s="75"/>
      <c r="AP25" s="76"/>
      <c r="AQ25" s="77"/>
      <c r="AR25" s="1031"/>
      <c r="AS25" s="156"/>
      <c r="AT25" s="363"/>
      <c r="AU25" s="75"/>
      <c r="AV25" s="76"/>
      <c r="AW25" s="363"/>
      <c r="AX25" s="75"/>
      <c r="AY25" s="76"/>
      <c r="AZ25" s="77"/>
    </row>
    <row r="26" spans="1:52" ht="12.75" customHeight="1">
      <c r="A26" s="156"/>
      <c r="B26" s="48" t="str">
        <f>B16</f>
        <v xml:space="preserve">  Direct Care III</v>
      </c>
      <c r="C26" s="1022">
        <f>7/2</f>
        <v>3.5</v>
      </c>
      <c r="D26" s="1022">
        <f>8/2</f>
        <v>4</v>
      </c>
      <c r="E26" s="1022">
        <f>9/2</f>
        <v>4.5</v>
      </c>
      <c r="F26" s="1022"/>
      <c r="G26" s="1022"/>
      <c r="H26" s="2395"/>
      <c r="I26" s="2396"/>
      <c r="J26" s="2396"/>
      <c r="K26" s="2392"/>
      <c r="L26" s="156"/>
      <c r="M26" s="1018" t="s">
        <v>18</v>
      </c>
      <c r="N26" s="1019"/>
      <c r="O26" s="1019"/>
      <c r="P26" s="1020"/>
      <c r="Q26" s="1021">
        <f>Q22+Q25</f>
        <v>562453.43360448</v>
      </c>
      <c r="R26" s="1006"/>
      <c r="S26" s="1018" t="s">
        <v>18</v>
      </c>
      <c r="T26" s="1019"/>
      <c r="U26" s="1019"/>
      <c r="V26" s="1020"/>
      <c r="W26" s="1021">
        <f>W22+W25</f>
        <v>628873.96595865604</v>
      </c>
      <c r="X26" s="156"/>
      <c r="Y26" s="1018" t="s">
        <v>18</v>
      </c>
      <c r="Z26" s="1019"/>
      <c r="AA26" s="1019"/>
      <c r="AB26" s="1020"/>
      <c r="AC26" s="1021">
        <f>AC22+AC25</f>
        <v>695294.49831283209</v>
      </c>
      <c r="AD26" s="156"/>
      <c r="AE26" s="363"/>
      <c r="AF26" s="75"/>
      <c r="AG26" s="76"/>
      <c r="AH26" s="77"/>
      <c r="AI26" s="1031"/>
      <c r="AJ26" s="156"/>
      <c r="AK26" s="363"/>
      <c r="AL26" s="75"/>
      <c r="AM26" s="76"/>
      <c r="AN26" s="363"/>
      <c r="AO26" s="75"/>
      <c r="AP26" s="76"/>
      <c r="AQ26" s="77"/>
      <c r="AR26" s="1031"/>
      <c r="AS26" s="156"/>
      <c r="AT26" s="363"/>
      <c r="AU26" s="75"/>
      <c r="AV26" s="76"/>
      <c r="AW26" s="363"/>
      <c r="AX26" s="75"/>
      <c r="AY26" s="76"/>
      <c r="AZ26" s="77"/>
    </row>
    <row r="27" spans="1:52">
      <c r="A27" s="156"/>
      <c r="B27" s="48" t="str">
        <f>B17</f>
        <v xml:space="preserve">  Direct Care</v>
      </c>
      <c r="C27" s="1022">
        <f>7/2</f>
        <v>3.5</v>
      </c>
      <c r="D27" s="1022">
        <f>8/2</f>
        <v>4</v>
      </c>
      <c r="E27" s="1022">
        <f>9/2</f>
        <v>4.5</v>
      </c>
      <c r="F27" s="1022"/>
      <c r="G27" s="1022"/>
      <c r="H27" s="2396"/>
      <c r="I27" s="2396"/>
      <c r="J27" s="2396"/>
      <c r="K27" s="2392"/>
      <c r="L27" s="156"/>
      <c r="M27" s="111"/>
      <c r="N27" s="269"/>
      <c r="O27" s="269"/>
      <c r="P27" s="1023"/>
      <c r="Q27" s="1024"/>
      <c r="R27" s="1006"/>
      <c r="S27" s="111"/>
      <c r="T27" s="269"/>
      <c r="U27" s="269"/>
      <c r="V27" s="1023"/>
      <c r="W27" s="1024"/>
      <c r="X27" s="156"/>
      <c r="Y27" s="111"/>
      <c r="Z27" s="269"/>
      <c r="AA27" s="269"/>
      <c r="AB27" s="1023"/>
      <c r="AC27" s="1024"/>
      <c r="AD27" s="156"/>
      <c r="AE27" s="363"/>
      <c r="AF27" s="75"/>
      <c r="AG27" s="76"/>
      <c r="AH27" s="77"/>
      <c r="AI27" s="1031"/>
      <c r="AJ27" s="156"/>
      <c r="AK27" s="363"/>
      <c r="AL27" s="75"/>
      <c r="AM27" s="76"/>
      <c r="AN27" s="363"/>
      <c r="AO27" s="75"/>
      <c r="AP27" s="76"/>
      <c r="AQ27" s="77"/>
      <c r="AR27" s="1031"/>
      <c r="AS27" s="156"/>
      <c r="AT27" s="363"/>
      <c r="AU27" s="75"/>
      <c r="AV27" s="76"/>
      <c r="AW27" s="363"/>
      <c r="AX27" s="75"/>
      <c r="AY27" s="76"/>
      <c r="AZ27" s="77"/>
    </row>
    <row r="28" spans="1:52">
      <c r="A28" s="156"/>
      <c r="B28" s="80" t="str">
        <f>B18</f>
        <v xml:space="preserve">  Relief</v>
      </c>
      <c r="C28" s="1022">
        <v>1</v>
      </c>
      <c r="D28" s="1022">
        <v>1.1000000000000001</v>
      </c>
      <c r="E28" s="1022">
        <v>1.2</v>
      </c>
      <c r="F28" s="1022"/>
      <c r="G28" s="1022"/>
      <c r="H28" s="2396"/>
      <c r="I28" s="2396"/>
      <c r="J28" s="2396"/>
      <c r="K28" s="1438"/>
      <c r="L28" s="156"/>
      <c r="M28" s="48" t="s">
        <v>22</v>
      </c>
      <c r="N28" s="156"/>
      <c r="O28" s="884">
        <f>C36</f>
        <v>2.0190812303224459</v>
      </c>
      <c r="P28" s="156"/>
      <c r="Q28" s="1025">
        <f>Q13*O28</f>
        <v>3684.8232453384639</v>
      </c>
      <c r="R28" s="1006"/>
      <c r="S28" s="48" t="s">
        <v>22</v>
      </c>
      <c r="T28" s="156"/>
      <c r="U28" s="884">
        <f>O28</f>
        <v>2.0190812303224459</v>
      </c>
      <c r="V28" s="156"/>
      <c r="W28" s="1025">
        <f>U28*W13</f>
        <v>5895.7171925415423</v>
      </c>
      <c r="X28" s="156"/>
      <c r="Y28" s="48" t="s">
        <v>22</v>
      </c>
      <c r="Z28" s="156"/>
      <c r="AA28" s="884">
        <f>U28</f>
        <v>2.0190812303224459</v>
      </c>
      <c r="AB28" s="156"/>
      <c r="AC28" s="1025">
        <f>AA28*AC13</f>
        <v>8106.6111397446202</v>
      </c>
      <c r="AD28" s="156"/>
      <c r="AE28" s="363"/>
      <c r="AF28" s="75"/>
      <c r="AG28" s="76"/>
      <c r="AH28" s="77"/>
      <c r="AI28" s="1031"/>
      <c r="AJ28" s="156"/>
      <c r="AK28" s="363"/>
      <c r="AL28" s="75"/>
      <c r="AM28" s="76"/>
      <c r="AN28" s="363"/>
      <c r="AO28" s="75"/>
      <c r="AP28" s="76"/>
      <c r="AQ28" s="77"/>
      <c r="AR28" s="1031"/>
      <c r="AS28" s="156"/>
      <c r="AT28" s="363"/>
      <c r="AU28" s="75"/>
      <c r="AV28" s="76"/>
      <c r="AW28" s="363"/>
      <c r="AX28" s="75"/>
      <c r="AY28" s="76"/>
      <c r="AZ28" s="77"/>
    </row>
    <row r="29" spans="1:52">
      <c r="A29" s="156"/>
      <c r="B29" s="173"/>
      <c r="C29" s="1029"/>
      <c r="D29" s="1029"/>
      <c r="E29" s="1029"/>
      <c r="F29" s="339"/>
      <c r="G29" s="1022"/>
      <c r="H29" s="2395"/>
      <c r="I29" s="2396"/>
      <c r="J29" s="2396"/>
      <c r="K29" s="2392"/>
      <c r="L29" s="156"/>
      <c r="M29" s="109" t="s">
        <v>1103</v>
      </c>
      <c r="N29" s="156"/>
      <c r="O29" s="1215">
        <f>C33</f>
        <v>10.004761904761907</v>
      </c>
      <c r="P29" s="156"/>
      <c r="Q29" s="1025">
        <f>O29*Q13</f>
        <v>18258.690476190481</v>
      </c>
      <c r="R29" s="1006"/>
      <c r="S29" s="48" t="s">
        <v>1103</v>
      </c>
      <c r="T29" s="156"/>
      <c r="U29" s="1215">
        <f>C33</f>
        <v>10.004761904761907</v>
      </c>
      <c r="V29" s="156"/>
      <c r="W29" s="1025">
        <f>U29*W13</f>
        <v>29213.904761904767</v>
      </c>
      <c r="X29" s="156"/>
      <c r="Y29" s="48" t="s">
        <v>1103</v>
      </c>
      <c r="Z29" s="156"/>
      <c r="AA29" s="1215">
        <f>C33</f>
        <v>10.004761904761907</v>
      </c>
      <c r="AB29" s="156"/>
      <c r="AC29" s="1025">
        <f>AA29*AC13</f>
        <v>40169.119047619053</v>
      </c>
      <c r="AD29" s="156"/>
      <c r="AE29" s="363"/>
      <c r="AF29" s="75"/>
      <c r="AG29" s="76"/>
      <c r="AH29" s="77"/>
      <c r="AI29" s="1031"/>
      <c r="AJ29" s="156"/>
      <c r="AK29" s="363"/>
      <c r="AL29" s="75"/>
      <c r="AM29" s="76"/>
      <c r="AN29" s="363"/>
      <c r="AO29" s="75"/>
      <c r="AP29" s="76"/>
      <c r="AQ29" s="77"/>
      <c r="AR29" s="1031"/>
      <c r="AS29" s="156"/>
      <c r="AT29" s="363"/>
      <c r="AU29" s="75"/>
      <c r="AV29" s="76"/>
      <c r="AW29" s="363"/>
      <c r="AX29" s="75"/>
      <c r="AY29" s="76"/>
      <c r="AZ29" s="77"/>
    </row>
    <row r="30" spans="1:52" ht="26.1" customHeight="1">
      <c r="A30" s="156"/>
      <c r="B30" s="48"/>
      <c r="C30" s="339"/>
      <c r="D30" s="339"/>
      <c r="E30" s="339"/>
      <c r="F30" s="297"/>
      <c r="G30" s="339"/>
      <c r="H30" s="2030"/>
      <c r="I30" s="2030"/>
      <c r="J30" s="2030"/>
      <c r="K30" s="1438"/>
      <c r="L30" s="156"/>
      <c r="M30" s="109"/>
      <c r="N30" s="156"/>
      <c r="O30" s="156"/>
      <c r="P30" s="1023"/>
      <c r="Q30" s="1028"/>
      <c r="R30" s="1006"/>
      <c r="S30" s="109"/>
      <c r="T30" s="156"/>
      <c r="U30" s="156"/>
      <c r="V30" s="1023"/>
      <c r="W30" s="1028"/>
      <c r="X30" s="156"/>
      <c r="Y30" s="109"/>
      <c r="Z30" s="156"/>
      <c r="AA30" s="156"/>
      <c r="AB30" s="1023"/>
      <c r="AC30" s="1028"/>
      <c r="AD30" s="156"/>
      <c r="AE30" s="363"/>
      <c r="AF30" s="75"/>
      <c r="AG30" s="76"/>
      <c r="AH30" s="77"/>
      <c r="AI30" s="1031"/>
      <c r="AJ30" s="156"/>
      <c r="AK30" s="363"/>
      <c r="AL30" s="75"/>
      <c r="AM30" s="76"/>
      <c r="AN30" s="363"/>
      <c r="AO30" s="75"/>
      <c r="AP30" s="76"/>
      <c r="AQ30" s="77"/>
      <c r="AR30" s="1031"/>
      <c r="AS30" s="156"/>
      <c r="AT30" s="363"/>
      <c r="AU30" s="75"/>
      <c r="AV30" s="76"/>
      <c r="AW30" s="363"/>
      <c r="AX30" s="75"/>
      <c r="AY30" s="76"/>
      <c r="AZ30" s="77"/>
    </row>
    <row r="31" spans="1:52">
      <c r="A31" s="156"/>
      <c r="B31" s="48"/>
      <c r="C31" s="297" t="s">
        <v>42</v>
      </c>
      <c r="D31" s="297"/>
      <c r="E31" s="297"/>
      <c r="F31" s="1428"/>
      <c r="G31" s="297"/>
      <c r="H31" s="2394"/>
      <c r="I31" s="2030"/>
      <c r="J31" s="2030"/>
      <c r="K31" s="1438"/>
      <c r="L31" s="156"/>
      <c r="M31" s="1018" t="s">
        <v>23</v>
      </c>
      <c r="N31" s="1019"/>
      <c r="O31" s="1019"/>
      <c r="P31" s="1019"/>
      <c r="Q31" s="1030">
        <f>SUM(Q26:Q30)</f>
        <v>584396.94732600905</v>
      </c>
      <c r="R31" s="1006"/>
      <c r="S31" s="1018" t="s">
        <v>23</v>
      </c>
      <c r="T31" s="1019"/>
      <c r="U31" s="1019"/>
      <c r="V31" s="1019"/>
      <c r="W31" s="1030">
        <f>SUM(W26:W30)</f>
        <v>663983.58791310235</v>
      </c>
      <c r="X31" s="156"/>
      <c r="Y31" s="1018" t="s">
        <v>23</v>
      </c>
      <c r="Z31" s="1019"/>
      <c r="AA31" s="1019"/>
      <c r="AB31" s="1019"/>
      <c r="AC31" s="1030">
        <f>SUM(AC26:AC29)</f>
        <v>743570.22850019578</v>
      </c>
      <c r="AD31" s="156"/>
      <c r="AE31" s="363"/>
      <c r="AF31" s="75"/>
      <c r="AG31" s="76"/>
      <c r="AH31" s="77"/>
      <c r="AI31" s="1031"/>
      <c r="AJ31" s="156"/>
      <c r="AK31" s="363"/>
      <c r="AL31" s="75"/>
      <c r="AM31" s="76"/>
      <c r="AN31" s="363"/>
      <c r="AO31" s="75"/>
      <c r="AP31" s="76"/>
      <c r="AQ31" s="77"/>
      <c r="AR31" s="1031"/>
      <c r="AS31" s="156"/>
      <c r="AT31" s="363"/>
      <c r="AU31" s="75"/>
      <c r="AV31" s="76"/>
      <c r="AW31" s="363"/>
      <c r="AX31" s="75"/>
      <c r="AY31" s="76"/>
      <c r="AZ31" s="77"/>
    </row>
    <row r="32" spans="1:52">
      <c r="A32" s="156"/>
      <c r="B32" s="1345" t="s">
        <v>17</v>
      </c>
      <c r="C32" s="2021">
        <f>'Integrated Team '!E32</f>
        <v>0.27379999999999999</v>
      </c>
      <c r="D32" s="983"/>
      <c r="E32" s="1428"/>
      <c r="F32" s="339"/>
      <c r="G32" s="983"/>
      <c r="H32" s="2578" t="s">
        <v>1403</v>
      </c>
      <c r="I32" s="2578"/>
      <c r="J32" s="2578"/>
      <c r="K32" s="2579"/>
      <c r="L32" s="156"/>
      <c r="M32" s="109"/>
      <c r="N32" s="156"/>
      <c r="O32" s="156"/>
      <c r="P32" s="1031"/>
      <c r="Q32" s="1032"/>
      <c r="R32" s="1006"/>
      <c r="S32" s="109"/>
      <c r="T32" s="156"/>
      <c r="U32" s="156"/>
      <c r="V32" s="1031"/>
      <c r="W32" s="1032"/>
      <c r="X32" s="156"/>
      <c r="Y32" s="109"/>
      <c r="Z32" s="156"/>
      <c r="AA32" s="156"/>
      <c r="AB32" s="1031"/>
      <c r="AC32" s="1032"/>
      <c r="AD32" s="156"/>
      <c r="AE32" s="363"/>
      <c r="AF32" s="75"/>
      <c r="AG32" s="76"/>
      <c r="AH32" s="77"/>
      <c r="AI32" s="1031"/>
      <c r="AJ32" s="156"/>
      <c r="AK32" s="363"/>
      <c r="AL32" s="75"/>
      <c r="AM32" s="76"/>
      <c r="AN32" s="363"/>
      <c r="AO32" s="75"/>
      <c r="AP32" s="76"/>
      <c r="AQ32" s="77"/>
      <c r="AR32" s="1031"/>
      <c r="AS32" s="156"/>
      <c r="AT32" s="363"/>
      <c r="AU32" s="75"/>
      <c r="AV32" s="76"/>
      <c r="AW32" s="363"/>
      <c r="AX32" s="75"/>
      <c r="AY32" s="76"/>
      <c r="AZ32" s="77"/>
    </row>
    <row r="33" spans="1:52">
      <c r="A33" s="156"/>
      <c r="B33" s="48" t="s">
        <v>1103</v>
      </c>
      <c r="C33" s="1036">
        <f>'Food September 2023 ACCS'!K19</f>
        <v>10.004761904761907</v>
      </c>
      <c r="D33" s="339"/>
      <c r="E33" s="339"/>
      <c r="F33" s="1039"/>
      <c r="H33" s="2030" t="s">
        <v>1409</v>
      </c>
      <c r="I33" s="2030"/>
      <c r="J33" s="2030"/>
      <c r="K33" s="1438"/>
      <c r="L33" s="156"/>
      <c r="M33" s="109" t="s">
        <v>24</v>
      </c>
      <c r="N33" s="156"/>
      <c r="O33" s="1033">
        <f>C39</f>
        <v>0.12</v>
      </c>
      <c r="P33" s="156"/>
      <c r="Q33" s="1017">
        <f>O33*Q31</f>
        <v>70127.633679121078</v>
      </c>
      <c r="R33" s="1006"/>
      <c r="S33" s="109" t="s">
        <v>24</v>
      </c>
      <c r="T33" s="156"/>
      <c r="U33" s="1033">
        <f>C39</f>
        <v>0.12</v>
      </c>
      <c r="V33" s="156"/>
      <c r="W33" s="1017">
        <f>U33*W31</f>
        <v>79678.030549572286</v>
      </c>
      <c r="X33" s="156"/>
      <c r="Y33" s="109" t="s">
        <v>24</v>
      </c>
      <c r="Z33" s="156"/>
      <c r="AA33" s="1033">
        <f>C39</f>
        <v>0.12</v>
      </c>
      <c r="AB33" s="156"/>
      <c r="AC33" s="1017">
        <f>AA33*AC31</f>
        <v>89228.427420023494</v>
      </c>
      <c r="AD33" s="156"/>
      <c r="AE33" s="363"/>
      <c r="AF33" s="75"/>
      <c r="AG33" s="76"/>
      <c r="AH33" s="77"/>
      <c r="AI33" s="1031"/>
      <c r="AJ33" s="156"/>
      <c r="AK33" s="363"/>
      <c r="AL33" s="75"/>
      <c r="AM33" s="76"/>
      <c r="AN33" s="363"/>
      <c r="AO33" s="75"/>
      <c r="AP33" s="76"/>
      <c r="AQ33" s="77"/>
      <c r="AR33" s="1031"/>
      <c r="AS33" s="156"/>
      <c r="AT33" s="363"/>
      <c r="AU33" s="75"/>
      <c r="AV33" s="76"/>
      <c r="AW33" s="363"/>
      <c r="AX33" s="75"/>
      <c r="AY33" s="76"/>
      <c r="AZ33" s="77"/>
    </row>
    <row r="34" spans="1:52">
      <c r="A34" s="156"/>
      <c r="B34" s="80"/>
      <c r="C34" s="1039"/>
      <c r="D34" s="1039"/>
      <c r="E34" s="1039"/>
      <c r="F34" s="1039"/>
      <c r="G34" s="1039"/>
      <c r="H34" s="2397"/>
      <c r="I34" s="2397"/>
      <c r="J34" s="2397"/>
      <c r="K34" s="2398"/>
      <c r="L34" s="156"/>
      <c r="M34" s="1091"/>
      <c r="N34" s="156"/>
      <c r="O34" s="1441"/>
      <c r="P34" s="156"/>
      <c r="Q34" s="1017"/>
      <c r="R34" s="1006"/>
      <c r="S34" s="1091"/>
      <c r="T34" s="156"/>
      <c r="U34" s="1441"/>
      <c r="V34" s="156"/>
      <c r="W34" s="1017"/>
      <c r="X34" s="156"/>
      <c r="Y34" s="1091"/>
      <c r="Z34" s="156"/>
      <c r="AA34" s="1441"/>
      <c r="AB34" s="156"/>
      <c r="AC34" s="1017"/>
      <c r="AD34" s="156"/>
      <c r="AE34" s="363"/>
      <c r="AF34" s="75"/>
      <c r="AG34" s="76"/>
      <c r="AH34" s="77"/>
      <c r="AI34" s="1031"/>
      <c r="AJ34" s="156"/>
      <c r="AK34" s="363"/>
      <c r="AL34" s="75"/>
      <c r="AM34" s="76"/>
      <c r="AN34" s="363"/>
      <c r="AO34" s="75"/>
      <c r="AP34" s="76"/>
      <c r="AQ34" s="77"/>
      <c r="AR34" s="1031"/>
      <c r="AS34" s="156"/>
      <c r="AT34" s="363"/>
      <c r="AU34" s="75"/>
      <c r="AV34" s="76"/>
      <c r="AW34" s="363"/>
      <c r="AX34" s="75"/>
      <c r="AY34" s="76"/>
      <c r="AZ34" s="77"/>
    </row>
    <row r="35" spans="1:52">
      <c r="A35" s="156"/>
      <c r="B35" s="80"/>
      <c r="C35" s="1039"/>
      <c r="D35" s="1039"/>
      <c r="E35" s="1039"/>
      <c r="F35" s="89"/>
      <c r="G35" s="1039"/>
      <c r="H35" s="2397"/>
      <c r="I35" s="2397"/>
      <c r="J35" s="2397"/>
      <c r="K35" s="2398"/>
      <c r="L35" s="156"/>
      <c r="M35" s="109"/>
      <c r="N35" s="156"/>
      <c r="O35" s="156"/>
      <c r="P35" s="156"/>
      <c r="Q35" s="1038"/>
      <c r="R35" s="1006"/>
      <c r="S35" s="109"/>
      <c r="T35" s="156"/>
      <c r="U35" s="156"/>
      <c r="V35" s="156"/>
      <c r="W35" s="1038"/>
      <c r="X35" s="156"/>
      <c r="Y35" s="109"/>
      <c r="Z35" s="156"/>
      <c r="AA35" s="156"/>
      <c r="AB35" s="156"/>
      <c r="AC35" s="1038"/>
      <c r="AD35" s="156"/>
      <c r="AE35" s="363"/>
      <c r="AF35" s="75"/>
      <c r="AG35" s="76"/>
      <c r="AH35" s="77"/>
      <c r="AI35" s="1031"/>
      <c r="AJ35" s="156"/>
      <c r="AK35" s="363"/>
      <c r="AL35" s="75"/>
      <c r="AM35" s="76"/>
      <c r="AN35" s="363"/>
      <c r="AO35" s="75"/>
      <c r="AP35" s="76"/>
      <c r="AQ35" s="77"/>
      <c r="AR35" s="1031"/>
      <c r="AS35" s="156"/>
      <c r="AT35" s="363"/>
      <c r="AU35" s="75"/>
      <c r="AV35" s="76"/>
      <c r="AW35" s="363"/>
      <c r="AX35" s="75"/>
      <c r="AY35" s="76"/>
      <c r="AZ35" s="77"/>
    </row>
    <row r="36" spans="1:52" ht="13.5" thickBot="1">
      <c r="A36" s="156"/>
      <c r="B36" s="48" t="s">
        <v>22</v>
      </c>
      <c r="C36" s="1206">
        <f>'Below the line'!V131</f>
        <v>2.0190812303224459</v>
      </c>
      <c r="E36" s="89"/>
      <c r="F36" s="1049"/>
      <c r="G36" s="1007"/>
      <c r="H36" s="2009" t="s">
        <v>1305</v>
      </c>
      <c r="I36" s="1477"/>
      <c r="J36" s="1477"/>
      <c r="K36" s="1816"/>
      <c r="L36" s="156"/>
      <c r="M36" s="1042" t="s">
        <v>25</v>
      </c>
      <c r="N36" s="1043"/>
      <c r="O36" s="1043"/>
      <c r="P36" s="1043"/>
      <c r="Q36" s="1044">
        <f>SUM(Q31:Q35)</f>
        <v>654524.58100513008</v>
      </c>
      <c r="R36" s="1006"/>
      <c r="S36" s="1042" t="s">
        <v>25</v>
      </c>
      <c r="T36" s="1043"/>
      <c r="U36" s="1043"/>
      <c r="V36" s="1043"/>
      <c r="W36" s="1044">
        <f>SUM(W31:W34)</f>
        <v>743661.61846267467</v>
      </c>
      <c r="X36" s="156"/>
      <c r="Y36" s="1042" t="s">
        <v>25</v>
      </c>
      <c r="Z36" s="1043"/>
      <c r="AA36" s="1043"/>
      <c r="AB36" s="1043"/>
      <c r="AC36" s="1044">
        <f>SUM(AC31:AC34)</f>
        <v>832798.65592021926</v>
      </c>
      <c r="AD36" s="156"/>
      <c r="AE36" s="363"/>
      <c r="AF36" s="75"/>
      <c r="AG36" s="76"/>
      <c r="AH36" s="77"/>
      <c r="AI36" s="1031"/>
      <c r="AJ36" s="156"/>
      <c r="AK36" s="363"/>
      <c r="AL36" s="75"/>
      <c r="AM36" s="76"/>
      <c r="AN36" s="363"/>
      <c r="AO36" s="75"/>
      <c r="AP36" s="76"/>
      <c r="AQ36" s="77"/>
      <c r="AR36" s="1031"/>
      <c r="AS36" s="156"/>
      <c r="AT36" s="363"/>
      <c r="AU36" s="75"/>
      <c r="AV36" s="76"/>
      <c r="AW36" s="363"/>
      <c r="AX36" s="75"/>
      <c r="AY36" s="76"/>
      <c r="AZ36" s="77"/>
    </row>
    <row r="37" spans="1:52" ht="13.5" thickTop="1">
      <c r="A37" s="156"/>
      <c r="B37" s="1047"/>
      <c r="C37" s="1048"/>
      <c r="D37" s="1048"/>
      <c r="E37" s="1048"/>
      <c r="F37" s="1049"/>
      <c r="G37" s="1049"/>
      <c r="H37" s="279"/>
      <c r="I37" s="274"/>
      <c r="J37" s="274"/>
      <c r="K37" s="2231"/>
      <c r="L37" s="156"/>
      <c r="M37" s="109"/>
      <c r="N37" s="156"/>
      <c r="O37" s="156"/>
      <c r="P37" s="156"/>
      <c r="Q37" s="991"/>
      <c r="R37" s="156"/>
      <c r="S37" s="109"/>
      <c r="T37" s="156"/>
      <c r="U37" s="156"/>
      <c r="V37" s="156"/>
      <c r="W37" s="991"/>
      <c r="X37" s="156"/>
      <c r="Y37" s="109"/>
      <c r="Z37" s="156"/>
      <c r="AA37" s="156"/>
      <c r="AB37" s="156"/>
      <c r="AC37" s="991"/>
      <c r="AD37" s="156"/>
      <c r="AE37" s="363"/>
      <c r="AF37" s="75"/>
      <c r="AG37" s="76"/>
      <c r="AH37" s="77"/>
      <c r="AI37" s="1031"/>
      <c r="AJ37" s="156"/>
      <c r="AK37" s="363"/>
      <c r="AL37" s="75"/>
      <c r="AM37" s="76"/>
      <c r="AN37" s="363"/>
      <c r="AO37" s="75"/>
      <c r="AP37" s="76"/>
      <c r="AQ37" s="77"/>
      <c r="AR37" s="1031"/>
      <c r="AS37" s="156"/>
      <c r="AT37" s="363"/>
      <c r="AU37" s="75"/>
      <c r="AV37" s="76"/>
      <c r="AW37" s="363"/>
      <c r="AX37" s="75"/>
      <c r="AY37" s="76"/>
      <c r="AZ37" s="77"/>
    </row>
    <row r="38" spans="1:52">
      <c r="A38" s="156"/>
      <c r="B38" s="44"/>
      <c r="C38" s="1049"/>
      <c r="D38" s="1049"/>
      <c r="E38" s="1049"/>
      <c r="F38" s="983"/>
      <c r="G38" s="1049"/>
      <c r="H38" s="279"/>
      <c r="I38" s="274"/>
      <c r="J38" s="274"/>
      <c r="K38" s="275"/>
      <c r="L38" s="156"/>
      <c r="M38" s="109" t="s">
        <v>26</v>
      </c>
      <c r="N38" s="156"/>
      <c r="O38" s="2129">
        <f>C41</f>
        <v>2.5758086673353865E-2</v>
      </c>
      <c r="P38" s="156"/>
      <c r="Q38" s="885">
        <f>Q36+(Q36*O38)-(Q22*O38)</f>
        <v>660010.25628996536</v>
      </c>
      <c r="R38" s="156"/>
      <c r="S38" s="109" t="s">
        <v>26</v>
      </c>
      <c r="T38" s="156"/>
      <c r="U38" s="2064">
        <f>C41</f>
        <v>2.5758086673353865E-2</v>
      </c>
      <c r="V38" s="156"/>
      <c r="W38" s="1046">
        <f>W36+(W36*U38)-(W22*U38)</f>
        <v>750100.17361915356</v>
      </c>
      <c r="X38" s="156"/>
      <c r="Y38" s="109" t="s">
        <v>26</v>
      </c>
      <c r="Z38" s="156"/>
      <c r="AA38" s="2129">
        <f>C41</f>
        <v>2.5758086673353865E-2</v>
      </c>
      <c r="AB38" s="156"/>
      <c r="AC38" s="1046">
        <f>AC36+(AC36*AA38)-(AC22*AA38)</f>
        <v>840190.09094834165</v>
      </c>
      <c r="AD38" s="156"/>
      <c r="AE38" s="363"/>
      <c r="AF38" s="75"/>
      <c r="AG38" s="76"/>
      <c r="AH38" s="77"/>
      <c r="AI38" s="1031"/>
      <c r="AJ38" s="156"/>
      <c r="AK38" s="363"/>
      <c r="AL38" s="75"/>
      <c r="AM38" s="76"/>
      <c r="AN38" s="363"/>
      <c r="AO38" s="75"/>
      <c r="AP38" s="76"/>
      <c r="AQ38" s="77"/>
      <c r="AR38" s="1031"/>
      <c r="AS38" s="156"/>
      <c r="AT38" s="363"/>
      <c r="AU38" s="75"/>
      <c r="AV38" s="76"/>
      <c r="AW38" s="363"/>
      <c r="AX38" s="75"/>
      <c r="AY38" s="76"/>
      <c r="AZ38" s="77"/>
    </row>
    <row r="39" spans="1:52">
      <c r="A39" s="156"/>
      <c r="B39" s="48" t="s">
        <v>24</v>
      </c>
      <c r="C39" s="983">
        <f>'Integrated Team (FY21)'!E46</f>
        <v>0.12</v>
      </c>
      <c r="D39" s="983"/>
      <c r="E39" s="983"/>
      <c r="F39" s="339"/>
      <c r="G39" s="983"/>
      <c r="H39" s="252" t="s">
        <v>1403</v>
      </c>
      <c r="I39" s="274"/>
      <c r="J39" s="274"/>
      <c r="K39" s="275"/>
      <c r="L39" s="156"/>
      <c r="M39" s="109"/>
      <c r="N39" s="156"/>
      <c r="O39" s="2064"/>
      <c r="P39" s="156"/>
      <c r="Q39" s="1027"/>
      <c r="R39" s="156"/>
      <c r="S39" s="109"/>
      <c r="T39" s="156"/>
      <c r="U39" s="156"/>
      <c r="V39" s="156"/>
      <c r="W39" s="1046"/>
      <c r="X39" s="156"/>
      <c r="Y39" s="109"/>
      <c r="Z39" s="156"/>
      <c r="AA39" s="1026"/>
      <c r="AB39" s="156"/>
      <c r="AC39" s="1046"/>
      <c r="AD39" s="156"/>
      <c r="AE39" s="363"/>
      <c r="AF39" s="75"/>
      <c r="AG39" s="76"/>
      <c r="AH39" s="77"/>
      <c r="AI39" s="1031"/>
      <c r="AJ39" s="156"/>
      <c r="AK39" s="363"/>
      <c r="AL39" s="75"/>
      <c r="AM39" s="76"/>
      <c r="AN39" s="363"/>
      <c r="AO39" s="75"/>
      <c r="AP39" s="76"/>
      <c r="AQ39" s="77"/>
      <c r="AR39" s="1031"/>
      <c r="AS39" s="156"/>
      <c r="AT39" s="363"/>
      <c r="AU39" s="75"/>
      <c r="AV39" s="76"/>
      <c r="AW39" s="363"/>
      <c r="AX39" s="75"/>
      <c r="AY39" s="76"/>
      <c r="AZ39" s="77"/>
    </row>
    <row r="40" spans="1:52" ht="13.5" thickBot="1">
      <c r="A40" s="156"/>
      <c r="B40" s="44"/>
      <c r="C40" s="1049"/>
      <c r="D40" s="339"/>
      <c r="E40" s="339"/>
      <c r="F40" s="1064"/>
      <c r="G40" s="339"/>
      <c r="H40" s="1040"/>
      <c r="I40" s="274"/>
      <c r="J40" s="274"/>
      <c r="K40" s="275"/>
      <c r="L40" s="156"/>
      <c r="M40" s="109"/>
      <c r="N40" s="156"/>
      <c r="O40" s="888"/>
      <c r="P40" s="1031"/>
      <c r="Q40" s="1050"/>
      <c r="R40" s="156"/>
      <c r="S40" s="109"/>
      <c r="T40" s="156"/>
      <c r="U40" s="1026"/>
      <c r="V40" s="156"/>
      <c r="W40" s="1046"/>
      <c r="X40" s="156"/>
      <c r="Y40" s="109"/>
      <c r="Z40" s="156"/>
      <c r="AA40" s="156"/>
      <c r="AB40" s="156"/>
      <c r="AC40" s="887"/>
      <c r="AD40" s="156"/>
      <c r="AE40" s="363"/>
      <c r="AF40" s="75"/>
      <c r="AG40" s="76"/>
      <c r="AH40" s="77"/>
      <c r="AI40" s="1031"/>
      <c r="AJ40" s="156"/>
      <c r="AK40" s="363"/>
      <c r="AL40" s="75"/>
      <c r="AM40" s="76"/>
      <c r="AN40" s="363"/>
      <c r="AO40" s="75"/>
      <c r="AP40" s="76"/>
      <c r="AQ40" s="77"/>
      <c r="AR40" s="1031"/>
      <c r="AS40" s="156"/>
      <c r="AT40" s="363"/>
      <c r="AU40" s="75"/>
      <c r="AV40" s="76"/>
      <c r="AW40" s="363"/>
      <c r="AX40" s="75"/>
      <c r="AY40" s="76"/>
      <c r="AZ40" s="77"/>
    </row>
    <row r="41" spans="1:52" ht="13.5" thickBot="1">
      <c r="A41" s="156"/>
      <c r="B41" s="1881" t="s">
        <v>37</v>
      </c>
      <c r="C41" s="1882">
        <f>'Fall CAF 2023'!CR28</f>
        <v>2.5758086673353865E-2</v>
      </c>
      <c r="D41" s="1064"/>
      <c r="E41" s="1064"/>
      <c r="F41" s="2136"/>
      <c r="G41" s="1064"/>
      <c r="H41" s="1065" t="s">
        <v>893</v>
      </c>
      <c r="I41" s="281"/>
      <c r="J41" s="281"/>
      <c r="K41" s="282"/>
      <c r="L41" s="156"/>
      <c r="M41" s="1051" t="s">
        <v>28</v>
      </c>
      <c r="N41" s="1052"/>
      <c r="O41" s="1053"/>
      <c r="P41" s="1054"/>
      <c r="Q41" s="1166">
        <f>Q38/Q13</f>
        <v>361.64945550135087</v>
      </c>
      <c r="R41" s="156"/>
      <c r="S41" s="109" t="s">
        <v>28</v>
      </c>
      <c r="T41" s="156"/>
      <c r="U41" s="156"/>
      <c r="V41" s="1031"/>
      <c r="W41" s="1216">
        <f>W38/W13</f>
        <v>256.88362110244987</v>
      </c>
      <c r="X41" s="156"/>
      <c r="Y41" s="109" t="s">
        <v>28</v>
      </c>
      <c r="Z41" s="156"/>
      <c r="AA41" s="156"/>
      <c r="AB41" s="1031"/>
      <c r="AC41" s="1216">
        <f>AC38/AC13</f>
        <v>209.26278728476754</v>
      </c>
      <c r="AD41" s="156"/>
      <c r="AE41" s="363"/>
      <c r="AF41" s="75"/>
      <c r="AG41" s="76"/>
      <c r="AH41" s="77"/>
      <c r="AI41" s="1031"/>
      <c r="AJ41" s="156"/>
      <c r="AK41" s="363"/>
      <c r="AL41" s="75"/>
      <c r="AM41" s="76"/>
      <c r="AN41" s="363"/>
      <c r="AO41" s="75"/>
      <c r="AP41" s="76"/>
      <c r="AQ41" s="77"/>
      <c r="AR41" s="1031"/>
      <c r="AS41" s="156"/>
      <c r="AT41" s="363"/>
      <c r="AU41" s="75"/>
      <c r="AV41" s="76"/>
      <c r="AW41" s="363"/>
      <c r="AX41" s="75"/>
      <c r="AY41" s="76"/>
      <c r="AZ41" s="77"/>
    </row>
    <row r="42" spans="1:52" ht="13.5" thickBot="1">
      <c r="A42" s="156"/>
      <c r="B42" s="2135" t="s">
        <v>1405</v>
      </c>
      <c r="C42" s="1064"/>
      <c r="D42" s="2136"/>
      <c r="E42" s="2136"/>
      <c r="F42" s="2131"/>
      <c r="G42" s="2136"/>
      <c r="H42" s="1065"/>
      <c r="I42" s="281"/>
      <c r="J42" s="281"/>
      <c r="K42" s="282"/>
      <c r="L42" s="156"/>
      <c r="M42" s="872"/>
      <c r="N42" s="1055"/>
      <c r="O42" s="1052"/>
      <c r="P42" s="1054"/>
      <c r="Q42" s="1056"/>
      <c r="R42" s="156"/>
      <c r="S42" s="357"/>
      <c r="T42" s="1057"/>
      <c r="U42" s="1058"/>
      <c r="V42" s="1059"/>
      <c r="W42" s="1060"/>
      <c r="X42" s="156"/>
      <c r="Y42" s="357"/>
      <c r="Z42" s="1057"/>
      <c r="AA42" s="1058"/>
      <c r="AB42" s="1059"/>
      <c r="AC42" s="1060"/>
      <c r="AD42" s="156"/>
      <c r="AE42" s="363"/>
      <c r="AF42" s="75"/>
      <c r="AG42" s="76"/>
      <c r="AH42" s="77"/>
      <c r="AI42" s="1031"/>
      <c r="AJ42" s="156"/>
      <c r="AK42" s="363"/>
      <c r="AL42" s="75"/>
      <c r="AM42" s="76"/>
      <c r="AN42" s="363"/>
      <c r="AO42" s="75"/>
      <c r="AP42" s="76"/>
      <c r="AQ42" s="77"/>
      <c r="AR42" s="1031"/>
      <c r="AS42" s="156"/>
      <c r="AT42" s="363"/>
      <c r="AU42" s="75"/>
      <c r="AV42" s="76"/>
      <c r="AW42" s="363"/>
      <c r="AX42" s="75"/>
      <c r="AY42" s="76"/>
      <c r="AZ42" s="77"/>
    </row>
    <row r="43" spans="1:52">
      <c r="A43" s="156"/>
      <c r="B43" s="2131"/>
      <c r="C43" s="2131"/>
      <c r="D43" s="2131"/>
      <c r="E43" s="2131"/>
      <c r="F43" s="2132"/>
      <c r="G43" s="2131"/>
      <c r="H43" s="2131"/>
      <c r="I43" s="2131"/>
      <c r="J43" s="2131"/>
      <c r="K43" s="2131"/>
      <c r="L43" s="156"/>
      <c r="M43" s="363"/>
      <c r="N43" s="75"/>
      <c r="O43" s="156"/>
      <c r="P43" s="1031" t="s">
        <v>783</v>
      </c>
      <c r="Q43" s="1061">
        <v>295.48</v>
      </c>
      <c r="R43" s="156"/>
      <c r="S43" s="363"/>
      <c r="T43" s="75"/>
      <c r="U43" s="156"/>
      <c r="V43" s="1031" t="s">
        <v>783</v>
      </c>
      <c r="W43" s="1061">
        <v>210.26</v>
      </c>
      <c r="X43" s="156"/>
      <c r="Y43" s="363"/>
      <c r="Z43" s="75"/>
      <c r="AA43" s="156"/>
      <c r="AB43" s="1031" t="s">
        <v>783</v>
      </c>
      <c r="AC43" s="1061">
        <v>171.52</v>
      </c>
      <c r="AD43" s="156"/>
      <c r="AE43" s="363"/>
      <c r="AF43" s="75"/>
      <c r="AG43" s="76"/>
      <c r="AH43" s="77"/>
      <c r="AI43" s="1031"/>
      <c r="AJ43" s="156"/>
      <c r="AK43" s="363"/>
      <c r="AL43" s="75"/>
      <c r="AM43" s="76"/>
      <c r="AN43" s="363"/>
      <c r="AO43" s="75"/>
      <c r="AP43" s="76"/>
      <c r="AQ43" s="77"/>
      <c r="AR43" s="1031"/>
      <c r="AS43" s="156"/>
      <c r="AT43" s="363"/>
      <c r="AU43" s="75"/>
      <c r="AV43" s="76"/>
      <c r="AW43" s="363"/>
      <c r="AX43" s="75"/>
      <c r="AY43" s="76"/>
      <c r="AZ43" s="77"/>
    </row>
    <row r="44" spans="1:52">
      <c r="A44" s="156"/>
      <c r="B44" s="2132"/>
      <c r="C44" s="2132"/>
      <c r="D44" s="2132"/>
      <c r="E44" s="2132"/>
      <c r="F44" s="156"/>
      <c r="G44" s="2132"/>
      <c r="H44" s="2132"/>
      <c r="I44" s="2132"/>
      <c r="J44" s="2132"/>
      <c r="K44" s="2132"/>
      <c r="L44" s="156"/>
      <c r="M44" s="363"/>
      <c r="N44" s="75"/>
      <c r="O44" s="156"/>
      <c r="P44" s="1031"/>
      <c r="Q44" s="884">
        <f>Q41-Q43</f>
        <v>66.169455501350853</v>
      </c>
      <c r="R44" s="156"/>
      <c r="S44" s="156"/>
      <c r="T44" s="156"/>
      <c r="U44" s="156"/>
      <c r="V44" s="156"/>
      <c r="W44" s="884">
        <f>W41-W43</f>
        <v>46.623621102449874</v>
      </c>
      <c r="X44" s="156"/>
      <c r="Y44" s="156"/>
      <c r="Z44" s="156"/>
      <c r="AA44" s="156"/>
      <c r="AB44" s="156"/>
      <c r="AC44" s="884">
        <f>AC41-AC43</f>
        <v>37.74278728476753</v>
      </c>
      <c r="AD44" s="156"/>
      <c r="AE44" s="363"/>
      <c r="AF44" s="75"/>
      <c r="AG44" s="76"/>
      <c r="AH44" s="77"/>
      <c r="AI44" s="1031"/>
      <c r="AJ44" s="156"/>
      <c r="AK44" s="363"/>
      <c r="AL44" s="75"/>
      <c r="AM44" s="76"/>
      <c r="AN44" s="363"/>
      <c r="AO44" s="75"/>
      <c r="AP44" s="76"/>
      <c r="AQ44" s="77"/>
      <c r="AR44" s="1031"/>
      <c r="AS44" s="156"/>
      <c r="AT44" s="363"/>
      <c r="AU44" s="75"/>
      <c r="AV44" s="76"/>
      <c r="AW44" s="363"/>
      <c r="AX44" s="75"/>
      <c r="AY44" s="76"/>
      <c r="AZ44" s="77"/>
    </row>
    <row r="45" spans="1:52">
      <c r="A45" s="156"/>
      <c r="B45" s="156"/>
      <c r="C45" s="156"/>
      <c r="D45" s="156"/>
      <c r="E45" s="156"/>
      <c r="F45" s="156"/>
      <c r="G45" s="156"/>
      <c r="H45" s="156"/>
      <c r="I45" s="156"/>
      <c r="J45" s="156"/>
      <c r="K45" s="156"/>
      <c r="L45" s="156"/>
      <c r="M45" s="156"/>
      <c r="N45" s="156"/>
      <c r="O45" s="156"/>
      <c r="P45" s="156"/>
      <c r="Q45" s="1066">
        <f>(Q41-Q43)/Q41</f>
        <v>0.18296572687941925</v>
      </c>
      <c r="R45" s="156"/>
      <c r="S45" s="363"/>
      <c r="T45" s="75"/>
      <c r="U45" s="156"/>
      <c r="V45" s="1031"/>
      <c r="W45" s="1066">
        <f>(W41-W43)/W43</f>
        <v>0.22174270475815597</v>
      </c>
      <c r="X45" s="156"/>
      <c r="Y45" s="363"/>
      <c r="Z45" s="75"/>
      <c r="AA45" s="156"/>
      <c r="AB45" s="1031"/>
      <c r="AC45" s="1066">
        <f>(AC41-AC43)/AC43</f>
        <v>0.220048899747945</v>
      </c>
      <c r="AD45" s="156"/>
      <c r="AE45" s="363"/>
      <c r="AF45" s="75"/>
      <c r="AG45" s="76"/>
      <c r="AH45" s="77"/>
      <c r="AI45" s="1031"/>
      <c r="AJ45" s="156"/>
      <c r="AK45" s="363"/>
      <c r="AL45" s="75"/>
      <c r="AM45" s="76"/>
      <c r="AN45" s="363"/>
      <c r="AO45" s="75"/>
      <c r="AP45" s="76"/>
      <c r="AQ45" s="77"/>
      <c r="AR45" s="1031"/>
      <c r="AS45" s="156"/>
      <c r="AT45" s="363"/>
      <c r="AU45" s="75"/>
      <c r="AV45" s="76"/>
      <c r="AW45" s="363"/>
      <c r="AX45" s="75"/>
      <c r="AY45" s="76"/>
      <c r="AZ45" s="77"/>
    </row>
    <row r="46" spans="1:52">
      <c r="A46" s="156"/>
      <c r="B46" s="1067" t="s">
        <v>567</v>
      </c>
      <c r="C46" s="156"/>
      <c r="D46" s="156"/>
      <c r="E46" s="156"/>
      <c r="F46" s="1068"/>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363"/>
      <c r="AF46" s="75"/>
      <c r="AG46" s="76"/>
      <c r="AH46" s="77"/>
      <c r="AI46" s="1031"/>
      <c r="AJ46" s="156"/>
      <c r="AK46" s="363"/>
      <c r="AL46" s="75"/>
      <c r="AM46" s="76"/>
      <c r="AN46" s="363"/>
      <c r="AO46" s="75"/>
      <c r="AP46" s="76"/>
      <c r="AQ46" s="77"/>
      <c r="AR46" s="1031"/>
      <c r="AS46" s="156"/>
      <c r="AT46" s="363"/>
      <c r="AU46" s="75"/>
      <c r="AV46" s="76"/>
      <c r="AW46" s="363"/>
      <c r="AX46" s="75"/>
      <c r="AY46" s="76"/>
      <c r="AZ46" s="77"/>
    </row>
    <row r="47" spans="1:52">
      <c r="A47" s="156"/>
      <c r="B47" s="334" t="s">
        <v>401</v>
      </c>
      <c r="C47" s="1068" t="s">
        <v>400</v>
      </c>
      <c r="D47" s="1068" t="s">
        <v>394</v>
      </c>
      <c r="E47" s="1068" t="s">
        <v>395</v>
      </c>
      <c r="F47" s="1070"/>
      <c r="G47" s="1068" t="s">
        <v>396</v>
      </c>
      <c r="H47" s="1068" t="s">
        <v>397</v>
      </c>
      <c r="I47" s="1068" t="s">
        <v>398</v>
      </c>
      <c r="J47" s="1068" t="s">
        <v>399</v>
      </c>
      <c r="K47" s="156"/>
      <c r="L47" s="156"/>
      <c r="M47" s="156"/>
      <c r="N47" s="156"/>
      <c r="O47" s="156"/>
      <c r="P47" s="156"/>
      <c r="Q47" s="156"/>
      <c r="R47" s="156"/>
      <c r="S47" s="156"/>
      <c r="T47" s="156"/>
      <c r="U47" s="156"/>
      <c r="V47" s="156"/>
      <c r="W47" s="156"/>
      <c r="X47" s="156"/>
      <c r="Y47" s="156"/>
      <c r="Z47" s="156"/>
      <c r="AA47" s="156"/>
      <c r="AB47" s="156"/>
      <c r="AC47" s="156"/>
      <c r="AD47" s="156"/>
      <c r="AE47" s="363"/>
      <c r="AF47" s="75"/>
      <c r="AG47" s="76"/>
      <c r="AH47" s="77"/>
      <c r="AI47" s="1031"/>
      <c r="AJ47" s="156"/>
      <c r="AK47" s="363"/>
      <c r="AL47" s="75"/>
      <c r="AM47" s="76"/>
      <c r="AN47" s="363"/>
      <c r="AO47" s="75"/>
      <c r="AP47" s="363"/>
      <c r="AQ47" s="75"/>
      <c r="AR47" s="76"/>
      <c r="AS47" s="363"/>
      <c r="AT47" s="363"/>
      <c r="AU47" s="75"/>
      <c r="AV47" s="76"/>
      <c r="AW47" s="363"/>
      <c r="AX47" s="363"/>
      <c r="AY47" s="75"/>
      <c r="AZ47" s="77"/>
    </row>
    <row r="48" spans="1:52">
      <c r="A48" s="156"/>
      <c r="B48" s="1069" t="s">
        <v>391</v>
      </c>
      <c r="C48" s="1070">
        <v>16</v>
      </c>
      <c r="D48" s="1070">
        <v>16</v>
      </c>
      <c r="E48" s="1070">
        <v>16</v>
      </c>
      <c r="F48" s="1070"/>
      <c r="G48" s="1070">
        <v>16</v>
      </c>
      <c r="H48" s="1070">
        <v>16</v>
      </c>
      <c r="I48" s="1070">
        <v>16</v>
      </c>
      <c r="J48" s="1070">
        <v>16</v>
      </c>
      <c r="K48" s="156"/>
      <c r="L48" s="156"/>
      <c r="M48" s="156"/>
      <c r="N48" s="156"/>
      <c r="O48" s="156"/>
      <c r="P48" s="156"/>
      <c r="Q48" s="156"/>
      <c r="R48" s="156"/>
      <c r="S48" s="156"/>
      <c r="T48" s="156"/>
      <c r="U48" s="156"/>
      <c r="V48" s="156"/>
      <c r="W48" s="156"/>
      <c r="X48" s="156"/>
      <c r="Y48" s="156"/>
      <c r="Z48" s="156"/>
      <c r="AA48" s="156"/>
      <c r="AB48" s="156"/>
      <c r="AC48" s="156"/>
      <c r="AD48" s="156"/>
      <c r="AE48" s="363"/>
      <c r="AF48" s="75"/>
      <c r="AG48" s="76"/>
      <c r="AH48" s="77"/>
      <c r="AI48" s="1031"/>
      <c r="AJ48" s="156"/>
      <c r="AK48" s="363"/>
      <c r="AL48" s="75"/>
      <c r="AM48" s="76"/>
      <c r="AN48" s="363"/>
      <c r="AO48" s="75"/>
      <c r="AP48" s="363"/>
      <c r="AQ48" s="75"/>
      <c r="AR48" s="76"/>
      <c r="AS48" s="363"/>
      <c r="AT48" s="363"/>
      <c r="AU48" s="75"/>
      <c r="AV48" s="76"/>
      <c r="AW48" s="363"/>
      <c r="AX48" s="363"/>
      <c r="AY48" s="75"/>
      <c r="AZ48" s="77"/>
    </row>
    <row r="49" spans="1:344">
      <c r="A49" s="156"/>
      <c r="B49" s="1069" t="s">
        <v>392</v>
      </c>
      <c r="C49" s="1070">
        <v>16</v>
      </c>
      <c r="D49" s="1070">
        <v>16</v>
      </c>
      <c r="E49" s="1070">
        <v>16</v>
      </c>
      <c r="F49" s="1070"/>
      <c r="G49" s="1070">
        <v>16</v>
      </c>
      <c r="H49" s="1070">
        <v>16</v>
      </c>
      <c r="I49" s="1070">
        <v>16</v>
      </c>
      <c r="J49" s="1070">
        <v>16</v>
      </c>
      <c r="K49" s="156"/>
      <c r="L49" s="156"/>
      <c r="M49" s="156"/>
      <c r="N49" s="156"/>
      <c r="O49" s="156"/>
      <c r="P49" s="156"/>
      <c r="Q49" s="156"/>
      <c r="R49" s="156"/>
      <c r="S49" s="156"/>
      <c r="T49" s="156"/>
      <c r="U49" s="156"/>
      <c r="V49" s="156"/>
      <c r="W49" s="156"/>
      <c r="X49" s="156"/>
      <c r="Y49" s="156"/>
      <c r="Z49" s="156"/>
      <c r="AA49" s="156"/>
      <c r="AB49" s="156"/>
      <c r="AC49" s="156"/>
      <c r="AD49" s="156"/>
      <c r="AE49" s="363"/>
      <c r="AF49" s="75"/>
      <c r="AG49" s="76"/>
      <c r="AH49" s="77"/>
      <c r="AI49" s="1031"/>
      <c r="AJ49" s="156"/>
      <c r="AK49" s="363"/>
      <c r="AL49" s="75"/>
      <c r="AM49" s="76"/>
      <c r="AN49" s="363"/>
      <c r="AO49" s="75"/>
      <c r="AP49" s="363"/>
      <c r="AQ49" s="75"/>
      <c r="AR49" s="76"/>
      <c r="AS49" s="363"/>
      <c r="AT49" s="363"/>
      <c r="AU49" s="75"/>
      <c r="AV49" s="76"/>
      <c r="AW49" s="363"/>
      <c r="AX49" s="363"/>
      <c r="AY49" s="75"/>
      <c r="AZ49" s="77"/>
    </row>
    <row r="50" spans="1:344" ht="26.25" customHeight="1">
      <c r="A50" s="156"/>
      <c r="B50" s="1069" t="s">
        <v>393</v>
      </c>
      <c r="C50" s="1070">
        <v>8</v>
      </c>
      <c r="D50" s="1070">
        <v>8</v>
      </c>
      <c r="E50" s="1070">
        <v>8</v>
      </c>
      <c r="F50" s="1071"/>
      <c r="G50" s="1070">
        <v>8</v>
      </c>
      <c r="H50" s="1070">
        <v>8</v>
      </c>
      <c r="I50" s="1070">
        <v>8</v>
      </c>
      <c r="J50" s="1070">
        <v>8</v>
      </c>
      <c r="K50" s="156"/>
      <c r="L50" s="156"/>
      <c r="M50" s="156"/>
      <c r="N50" s="156"/>
      <c r="O50" s="156"/>
      <c r="P50" s="156"/>
      <c r="Q50" s="156"/>
      <c r="R50" s="156"/>
      <c r="S50" s="156"/>
      <c r="T50" s="156"/>
      <c r="U50" s="156"/>
      <c r="V50" s="156"/>
      <c r="W50" s="156"/>
      <c r="X50" s="156"/>
      <c r="Y50" s="156"/>
      <c r="Z50" s="156"/>
      <c r="AA50" s="156"/>
      <c r="AB50" s="156"/>
      <c r="AC50" s="156"/>
      <c r="AD50" s="156"/>
      <c r="AE50" s="363"/>
      <c r="AF50" s="75"/>
      <c r="AG50" s="76"/>
      <c r="AH50" s="77"/>
      <c r="AI50" s="1031"/>
      <c r="AJ50" s="156"/>
      <c r="AK50" s="363"/>
      <c r="AL50" s="75"/>
      <c r="AM50" s="76"/>
      <c r="AN50" s="363"/>
      <c r="AO50" s="75"/>
      <c r="AP50" s="363"/>
      <c r="AQ50" s="75"/>
      <c r="AR50" s="76"/>
      <c r="AS50" s="363"/>
      <c r="AT50" s="363"/>
      <c r="AU50" s="75"/>
      <c r="AV50" s="76"/>
      <c r="AW50" s="363"/>
      <c r="AX50" s="363"/>
      <c r="AY50" s="75"/>
      <c r="AZ50" s="77"/>
    </row>
    <row r="51" spans="1:344" ht="26.25" customHeight="1">
      <c r="A51" s="156"/>
      <c r="B51" s="1069" t="str">
        <f>"Total"&amp;" = "&amp;(SUM(C50:J50))</f>
        <v>Total = 56</v>
      </c>
      <c r="C51" s="1071">
        <f>SUM(C48:C50)</f>
        <v>40</v>
      </c>
      <c r="D51" s="1071">
        <f t="shared" ref="D51:J51" si="0">SUM(D48:D50)</f>
        <v>40</v>
      </c>
      <c r="E51" s="1071">
        <f t="shared" si="0"/>
        <v>40</v>
      </c>
      <c r="F51" s="2133"/>
      <c r="G51" s="1071">
        <f t="shared" si="0"/>
        <v>40</v>
      </c>
      <c r="H51" s="1071">
        <f t="shared" si="0"/>
        <v>40</v>
      </c>
      <c r="I51" s="1071">
        <f t="shared" si="0"/>
        <v>40</v>
      </c>
      <c r="J51" s="1071">
        <f t="shared" si="0"/>
        <v>40</v>
      </c>
      <c r="K51" s="156"/>
      <c r="L51" s="156"/>
      <c r="M51" s="363"/>
      <c r="N51" s="75"/>
      <c r="O51" s="76"/>
      <c r="P51" s="77"/>
      <c r="Q51" s="156"/>
      <c r="R51" s="156"/>
      <c r="S51" s="363"/>
      <c r="T51" s="75"/>
      <c r="U51" s="76"/>
      <c r="V51" s="77"/>
      <c r="W51" s="1031"/>
      <c r="X51" s="156"/>
      <c r="Y51" s="363"/>
      <c r="Z51" s="75"/>
      <c r="AA51" s="76"/>
      <c r="AB51" s="77"/>
      <c r="AC51" s="1031"/>
      <c r="AD51" s="75"/>
      <c r="AE51" s="76"/>
      <c r="AF51" s="363"/>
      <c r="AG51" s="75"/>
      <c r="AH51" s="76"/>
      <c r="AI51" s="77"/>
      <c r="AJ51" s="1031"/>
      <c r="AK51" s="156"/>
      <c r="AL51" s="363"/>
      <c r="AM51" s="75"/>
      <c r="AN51" s="76"/>
      <c r="AO51" s="363"/>
      <c r="AP51" s="363"/>
      <c r="AQ51" s="75"/>
      <c r="AR51" s="76"/>
      <c r="AS51" s="363"/>
      <c r="AT51" s="363"/>
      <c r="AU51" s="75"/>
      <c r="AV51" s="76"/>
      <c r="AW51" s="363"/>
      <c r="AX51" s="363"/>
      <c r="AY51" s="75"/>
      <c r="AZ51" s="77"/>
      <c r="BA51" s="1031"/>
      <c r="BB51" s="156"/>
      <c r="BC51" s="363"/>
      <c r="BD51" s="75"/>
      <c r="BE51" s="76"/>
      <c r="BF51" s="363"/>
      <c r="BG51" s="75"/>
      <c r="BH51" s="76"/>
      <c r="BI51" s="77"/>
    </row>
    <row r="52" spans="1:344" ht="63.75">
      <c r="A52" s="156"/>
      <c r="B52" s="2133" t="s">
        <v>822</v>
      </c>
      <c r="C52" s="2133"/>
      <c r="D52" s="2133"/>
      <c r="E52" s="2133"/>
      <c r="F52" s="1072"/>
      <c r="G52" s="2133"/>
      <c r="H52" s="2133"/>
      <c r="I52" s="2133"/>
      <c r="J52" s="2133"/>
      <c r="K52" s="156"/>
      <c r="L52" s="156"/>
      <c r="M52" s="363"/>
      <c r="N52" s="75"/>
      <c r="O52" s="76"/>
      <c r="P52" s="77"/>
      <c r="Q52" s="156"/>
      <c r="R52" s="156"/>
      <c r="S52" s="363"/>
      <c r="T52" s="75"/>
      <c r="U52" s="76"/>
      <c r="V52" s="77"/>
      <c r="W52" s="1031"/>
      <c r="X52" s="156"/>
      <c r="Y52" s="363"/>
      <c r="Z52" s="75"/>
      <c r="AA52" s="76"/>
      <c r="AB52" s="77"/>
      <c r="AC52" s="1031"/>
      <c r="AD52" s="75"/>
      <c r="AE52" s="76"/>
      <c r="AF52" s="363"/>
      <c r="AG52" s="75"/>
      <c r="AH52" s="76"/>
      <c r="AI52" s="77"/>
      <c r="AJ52" s="1031"/>
      <c r="AK52" s="156"/>
      <c r="AL52" s="363"/>
      <c r="AM52" s="75"/>
      <c r="AN52" s="76"/>
      <c r="AO52" s="363"/>
      <c r="AP52" s="363"/>
      <c r="AQ52" s="75"/>
      <c r="AR52" s="76"/>
      <c r="AS52" s="363"/>
      <c r="AT52" s="363"/>
      <c r="AU52" s="75"/>
      <c r="AV52" s="76"/>
      <c r="AW52" s="363"/>
      <c r="AX52" s="363"/>
      <c r="AY52" s="75"/>
      <c r="AZ52" s="77"/>
      <c r="BA52" s="1031"/>
      <c r="BB52" s="156"/>
      <c r="BC52" s="363"/>
      <c r="BD52" s="75"/>
      <c r="BE52" s="76"/>
      <c r="BF52" s="363"/>
      <c r="BG52" s="75"/>
      <c r="BH52" s="76"/>
      <c r="BI52" s="77"/>
    </row>
    <row r="53" spans="1:344">
      <c r="A53" s="156"/>
      <c r="B53" s="1072"/>
      <c r="C53" s="1072"/>
      <c r="D53" s="1072"/>
      <c r="E53" s="1072"/>
      <c r="F53" s="39"/>
      <c r="G53" s="1072"/>
      <c r="H53" s="1072"/>
      <c r="I53" s="1072"/>
      <c r="J53" s="1072"/>
      <c r="K53" s="156"/>
      <c r="L53" s="156"/>
      <c r="M53" s="363"/>
      <c r="N53" s="75"/>
      <c r="O53" s="76"/>
      <c r="P53" s="77"/>
      <c r="Q53" s="156"/>
      <c r="R53" s="156"/>
      <c r="S53" s="363"/>
      <c r="T53" s="75"/>
      <c r="U53" s="76"/>
      <c r="V53" s="77"/>
      <c r="W53" s="1031"/>
      <c r="X53" s="156"/>
      <c r="Y53" s="363"/>
      <c r="Z53" s="75"/>
      <c r="AA53" s="76"/>
      <c r="AB53" s="77"/>
      <c r="AC53" s="1031"/>
      <c r="AD53" s="75"/>
      <c r="AE53" s="76"/>
      <c r="AF53" s="363"/>
      <c r="AG53" s="75"/>
      <c r="AH53" s="76"/>
      <c r="AI53" s="77"/>
      <c r="AJ53" s="1031"/>
      <c r="AK53" s="156"/>
      <c r="AL53" s="363"/>
      <c r="AM53" s="75"/>
      <c r="AN53" s="76"/>
      <c r="AO53" s="363"/>
      <c r="AP53" s="363"/>
      <c r="AQ53" s="75"/>
      <c r="AR53" s="76"/>
      <c r="AS53" s="363"/>
      <c r="AT53" s="363"/>
      <c r="AU53" s="75"/>
      <c r="AV53" s="76"/>
      <c r="AW53" s="363"/>
      <c r="AX53" s="363"/>
      <c r="AY53" s="75"/>
      <c r="AZ53" s="77"/>
      <c r="BA53" s="1031"/>
      <c r="BB53" s="156"/>
      <c r="BC53" s="363"/>
      <c r="BD53" s="75"/>
      <c r="BE53" s="76"/>
      <c r="BF53" s="363"/>
      <c r="BG53" s="75"/>
      <c r="BH53" s="76"/>
      <c r="BI53" s="77"/>
    </row>
    <row r="54" spans="1:344">
      <c r="A54" s="156"/>
      <c r="B54" s="156"/>
      <c r="C54" s="156"/>
      <c r="D54" s="39"/>
      <c r="E54" s="39"/>
      <c r="F54" s="156"/>
      <c r="G54" s="39"/>
      <c r="H54" s="39"/>
      <c r="I54" s="39"/>
      <c r="J54" s="39"/>
      <c r="K54" s="156"/>
      <c r="L54" s="156"/>
      <c r="M54" s="363"/>
      <c r="N54" s="75"/>
      <c r="O54" s="76"/>
      <c r="P54" s="77"/>
      <c r="Q54" s="156"/>
      <c r="R54" s="156"/>
      <c r="S54" s="363"/>
      <c r="T54" s="75"/>
      <c r="U54" s="76"/>
      <c r="V54" s="77"/>
      <c r="W54" s="1031"/>
      <c r="X54" s="156"/>
      <c r="Y54" s="363"/>
      <c r="Z54" s="75"/>
      <c r="AA54" s="76"/>
      <c r="AB54" s="77"/>
      <c r="AC54" s="1031"/>
      <c r="AD54" s="75"/>
      <c r="AE54" s="76"/>
      <c r="AF54" s="363"/>
      <c r="AG54" s="75"/>
      <c r="AH54" s="76"/>
      <c r="AI54" s="77"/>
      <c r="AJ54" s="1031"/>
      <c r="AK54" s="156"/>
      <c r="AL54" s="363"/>
      <c r="AM54" s="75"/>
      <c r="AN54" s="76"/>
      <c r="AO54" s="363"/>
      <c r="AP54" s="363"/>
      <c r="AQ54" s="75"/>
      <c r="AR54" s="76"/>
      <c r="AS54" s="363"/>
      <c r="AT54" s="363"/>
      <c r="AU54" s="75"/>
      <c r="AV54" s="76"/>
      <c r="AW54" s="363"/>
      <c r="AX54" s="363"/>
      <c r="AY54" s="75"/>
      <c r="AZ54" s="77"/>
      <c r="BA54" s="1031"/>
      <c r="BB54" s="156"/>
      <c r="BC54" s="363"/>
      <c r="BD54" s="75"/>
      <c r="BE54" s="76"/>
      <c r="BF54" s="363"/>
      <c r="BG54" s="75"/>
      <c r="BH54" s="76"/>
      <c r="BI54" s="77"/>
    </row>
    <row r="55" spans="1:344">
      <c r="A55" s="156"/>
      <c r="B55" s="1067"/>
      <c r="C55" s="156"/>
      <c r="D55" s="156"/>
      <c r="E55" s="156"/>
      <c r="F55" s="156"/>
      <c r="G55" s="156"/>
      <c r="H55" s="156"/>
      <c r="I55" s="156"/>
      <c r="J55" s="156"/>
      <c r="K55" s="156"/>
      <c r="L55" s="156"/>
      <c r="M55" s="363"/>
      <c r="N55" s="75"/>
      <c r="O55" s="76"/>
      <c r="P55" s="77"/>
      <c r="Q55" s="156"/>
      <c r="R55" s="156"/>
      <c r="S55" s="363"/>
      <c r="T55" s="75"/>
      <c r="U55" s="76"/>
      <c r="V55" s="77"/>
      <c r="W55" s="1031"/>
      <c r="X55" s="156"/>
      <c r="Y55" s="363"/>
      <c r="Z55" s="75"/>
      <c r="AA55" s="76"/>
      <c r="AB55" s="77"/>
      <c r="AC55" s="1031"/>
      <c r="AD55" s="75"/>
      <c r="AE55" s="76"/>
      <c r="AF55" s="363"/>
      <c r="AG55" s="75"/>
      <c r="AH55" s="76"/>
      <c r="AI55" s="77"/>
      <c r="AJ55" s="1031"/>
      <c r="AK55" s="156"/>
      <c r="AL55" s="363"/>
      <c r="AM55" s="75"/>
      <c r="AN55" s="76"/>
      <c r="AO55" s="363"/>
      <c r="AP55" s="363"/>
      <c r="AQ55" s="75"/>
      <c r="AR55" s="76"/>
      <c r="AS55" s="363"/>
      <c r="AT55" s="363"/>
      <c r="AU55" s="75"/>
      <c r="AV55" s="76"/>
      <c r="AW55" s="363"/>
      <c r="AX55" s="363"/>
      <c r="AY55" s="75"/>
      <c r="AZ55" s="77"/>
      <c r="BA55" s="1031"/>
      <c r="BB55" s="156"/>
      <c r="BC55" s="363"/>
      <c r="BD55" s="75"/>
      <c r="BE55" s="76"/>
      <c r="BF55" s="363"/>
      <c r="BG55" s="75"/>
      <c r="BH55" s="76"/>
      <c r="BI55" s="77"/>
    </row>
    <row r="56" spans="1:344" ht="13.5" thickBot="1">
      <c r="A56" s="156"/>
      <c r="B56" s="1073"/>
      <c r="C56" s="156"/>
      <c r="D56" s="156"/>
      <c r="E56" s="156"/>
      <c r="F56" s="156"/>
      <c r="G56" s="156"/>
      <c r="H56" s="156"/>
      <c r="I56" s="156"/>
      <c r="J56" s="156"/>
      <c r="K56" s="156"/>
      <c r="L56" s="156"/>
      <c r="M56" s="363"/>
      <c r="N56" s="75"/>
      <c r="O56" s="76"/>
      <c r="P56" s="77"/>
      <c r="Q56" s="156"/>
      <c r="R56" s="156"/>
      <c r="S56" s="363"/>
      <c r="T56" s="75"/>
      <c r="U56" s="76"/>
      <c r="V56" s="77"/>
      <c r="W56" s="1031"/>
      <c r="X56" s="156"/>
      <c r="Y56" s="363"/>
      <c r="Z56" s="75"/>
      <c r="AA56" s="76"/>
      <c r="AB56" s="77"/>
      <c r="AC56" s="1031"/>
      <c r="AD56" s="75"/>
      <c r="AE56" s="76"/>
      <c r="AF56" s="363"/>
      <c r="AG56" s="75"/>
      <c r="AH56" s="76"/>
      <c r="AI56" s="77"/>
      <c r="AJ56" s="1031"/>
      <c r="AK56" s="156"/>
      <c r="AL56" s="75"/>
      <c r="AM56" s="76"/>
      <c r="AN56" s="77"/>
      <c r="AO56" s="1031"/>
      <c r="AP56" s="363"/>
      <c r="AQ56" s="75"/>
      <c r="AR56" s="76"/>
      <c r="AS56" s="363"/>
      <c r="AT56" s="363"/>
      <c r="AU56" s="75"/>
      <c r="AV56" s="76"/>
      <c r="AW56" s="363"/>
      <c r="AX56" s="363"/>
      <c r="AY56" s="75"/>
      <c r="AZ56" s="77"/>
      <c r="BA56" s="1031"/>
      <c r="BB56" s="156"/>
      <c r="BC56" s="363"/>
      <c r="BD56" s="75"/>
      <c r="BE56" s="76"/>
      <c r="BF56" s="363"/>
      <c r="BG56" s="75"/>
      <c r="BH56" s="76"/>
      <c r="BI56" s="77"/>
    </row>
    <row r="57" spans="1:344" ht="13.5" thickBot="1">
      <c r="A57" s="156"/>
      <c r="B57" s="269" t="s">
        <v>565</v>
      </c>
      <c r="C57" s="156"/>
      <c r="D57" s="156"/>
      <c r="E57" s="156"/>
      <c r="F57" s="1883" t="s">
        <v>1164</v>
      </c>
      <c r="G57" s="156"/>
      <c r="H57" s="156"/>
      <c r="I57" s="156"/>
      <c r="J57" s="156"/>
      <c r="K57" s="1074"/>
      <c r="L57" s="156"/>
      <c r="M57" s="269"/>
      <c r="N57" s="156"/>
      <c r="O57" s="156"/>
      <c r="P57" s="156"/>
      <c r="R57" s="156"/>
      <c r="S57" s="156"/>
      <c r="T57" s="156"/>
      <c r="U57" s="156"/>
      <c r="V57" s="156"/>
      <c r="W57" s="156"/>
      <c r="X57" s="156"/>
      <c r="Y57" s="156"/>
      <c r="Z57" s="156"/>
      <c r="AA57" s="156"/>
      <c r="AB57" s="156"/>
      <c r="AC57" s="156"/>
      <c r="AD57" s="75"/>
      <c r="AE57" s="76"/>
      <c r="AF57" s="363"/>
      <c r="AG57" s="75"/>
      <c r="AH57" s="76"/>
      <c r="AI57" s="77"/>
      <c r="AJ57" s="1031"/>
      <c r="AK57" s="156"/>
      <c r="AL57" s="75"/>
      <c r="AM57" s="76"/>
      <c r="AN57" s="77"/>
      <c r="AO57" s="1031"/>
      <c r="AP57" s="363"/>
      <c r="AQ57" s="75"/>
      <c r="AR57" s="76"/>
      <c r="AS57" s="363"/>
      <c r="AT57" s="363"/>
      <c r="AU57" s="75"/>
      <c r="AV57" s="76"/>
      <c r="AW57" s="363"/>
      <c r="AX57" s="363"/>
      <c r="AY57" s="75"/>
      <c r="AZ57" s="77"/>
      <c r="BA57" s="1031"/>
      <c r="BB57" s="156"/>
      <c r="BC57" s="363"/>
      <c r="BD57" s="75"/>
      <c r="BE57" s="76"/>
      <c r="BF57" s="363"/>
      <c r="BG57" s="75"/>
      <c r="BH57" s="76"/>
      <c r="BI57" s="77"/>
    </row>
    <row r="58" spans="1:344">
      <c r="A58" s="156"/>
      <c r="B58" s="992"/>
      <c r="C58" s="993" t="s">
        <v>41</v>
      </c>
      <c r="D58" s="993"/>
      <c r="E58" s="993"/>
      <c r="F58" s="297"/>
      <c r="G58" s="994"/>
      <c r="H58" s="1075" t="s">
        <v>278</v>
      </c>
      <c r="I58" s="1076"/>
      <c r="J58" s="1076"/>
      <c r="K58" s="1077"/>
      <c r="L58" s="156"/>
      <c r="M58" s="269"/>
      <c r="N58" s="156"/>
      <c r="O58" s="156"/>
      <c r="P58" s="156"/>
      <c r="Q58" s="156"/>
      <c r="R58" s="156"/>
      <c r="S58" s="156"/>
      <c r="T58" s="156"/>
      <c r="U58" s="156"/>
      <c r="V58" s="156"/>
      <c r="W58" s="156"/>
      <c r="X58" s="156"/>
      <c r="Y58" s="156"/>
      <c r="Z58" s="156"/>
      <c r="AA58" s="156"/>
      <c r="AB58" s="156"/>
      <c r="AC58" s="156"/>
      <c r="AD58" s="75"/>
      <c r="AE58" s="76"/>
      <c r="AF58" s="363"/>
      <c r="AG58" s="75"/>
      <c r="AH58" s="76"/>
      <c r="AI58" s="77"/>
      <c r="AJ58" s="1031"/>
      <c r="AK58" s="156"/>
      <c r="AL58" s="75"/>
      <c r="AM58" s="76"/>
      <c r="AN58" s="77"/>
      <c r="AO58" s="1031"/>
      <c r="AP58" s="363"/>
      <c r="AQ58" s="75"/>
      <c r="AR58" s="76"/>
      <c r="AS58" s="363"/>
      <c r="AT58" s="363"/>
      <c r="AU58" s="75"/>
      <c r="AV58" s="76"/>
      <c r="AW58" s="363"/>
      <c r="AX58" s="363"/>
      <c r="AY58" s="75"/>
      <c r="AZ58" s="77"/>
      <c r="BA58" s="1031"/>
      <c r="BB58" s="156"/>
      <c r="BC58" s="363"/>
      <c r="BD58" s="75"/>
      <c r="BE58" s="76"/>
      <c r="BF58" s="363"/>
      <c r="BG58" s="75"/>
      <c r="BH58" s="76"/>
      <c r="BI58" s="77"/>
    </row>
    <row r="59" spans="1:344">
      <c r="A59" s="156"/>
      <c r="B59" s="44" t="s">
        <v>31</v>
      </c>
      <c r="C59" s="297"/>
      <c r="D59" s="297"/>
      <c r="E59" s="297"/>
      <c r="F59" s="1198">
        <v>92496.84919424048</v>
      </c>
      <c r="G59" s="999"/>
      <c r="H59" s="156"/>
      <c r="I59" s="156"/>
      <c r="J59" s="156"/>
      <c r="K59" s="991"/>
      <c r="L59" s="156"/>
      <c r="M59" s="269" t="s">
        <v>561</v>
      </c>
      <c r="N59" s="156"/>
      <c r="O59" s="156"/>
      <c r="P59" s="156"/>
      <c r="Q59" s="156"/>
      <c r="R59" s="156"/>
      <c r="S59" s="156"/>
      <c r="T59" s="156"/>
      <c r="U59" s="156"/>
      <c r="V59" s="156"/>
      <c r="W59" s="156"/>
      <c r="X59" s="156"/>
      <c r="Y59" s="156"/>
      <c r="Z59" s="156"/>
      <c r="AA59" s="156"/>
      <c r="AB59" s="156"/>
      <c r="AC59" s="156"/>
      <c r="AD59" s="75"/>
      <c r="AE59" s="76"/>
      <c r="AF59" s="363"/>
      <c r="AG59" s="75"/>
      <c r="AH59" s="76"/>
      <c r="AI59" s="77"/>
      <c r="AJ59" s="1031"/>
      <c r="AK59" s="156"/>
      <c r="AL59" s="75"/>
      <c r="AM59" s="76"/>
      <c r="AN59" s="77"/>
      <c r="AO59" s="1031"/>
      <c r="AP59" s="363"/>
      <c r="AQ59" s="75"/>
      <c r="AR59" s="76"/>
      <c r="AS59" s="363"/>
      <c r="AT59" s="363"/>
      <c r="AU59" s="75"/>
      <c r="AV59" s="76"/>
      <c r="AW59" s="363"/>
      <c r="AX59" s="363"/>
      <c r="AY59" s="75"/>
      <c r="AZ59" s="77"/>
      <c r="BA59" s="1031"/>
      <c r="BB59" s="156"/>
      <c r="BC59" s="363"/>
      <c r="BD59" s="75"/>
      <c r="BE59" s="76"/>
      <c r="BF59" s="363"/>
      <c r="BG59" s="75"/>
      <c r="BH59" s="76"/>
      <c r="BI59" s="77"/>
    </row>
    <row r="60" spans="1:344" ht="13.5" thickBot="1">
      <c r="A60" s="156"/>
      <c r="B60" s="48" t="s">
        <v>421</v>
      </c>
      <c r="C60" s="999">
        <f>C14</f>
        <v>74264</v>
      </c>
      <c r="D60" s="999"/>
      <c r="E60" s="999"/>
      <c r="F60" s="1198">
        <v>45124.774005912077</v>
      </c>
      <c r="G60" s="999"/>
      <c r="H60" s="304" t="str">
        <f>H14</f>
        <v>FY20 UFR Average for Line 101 Prg Functional Mgr</v>
      </c>
      <c r="I60" s="156"/>
      <c r="J60" s="156"/>
      <c r="K60" s="991"/>
      <c r="L60" s="156"/>
      <c r="M60" s="269"/>
      <c r="N60" s="156"/>
      <c r="O60" s="156"/>
      <c r="P60" s="156"/>
      <c r="Q60" s="156"/>
      <c r="R60" s="156"/>
      <c r="S60" s="156"/>
      <c r="T60" s="2346"/>
      <c r="U60" s="156"/>
      <c r="V60" s="156"/>
      <c r="W60" s="156"/>
      <c r="X60" s="156"/>
      <c r="Y60" s="156"/>
      <c r="Z60" s="2346"/>
      <c r="AA60" s="156"/>
      <c r="AB60" s="156"/>
      <c r="AC60" s="156"/>
      <c r="AD60" s="75"/>
      <c r="AE60" s="76"/>
      <c r="AF60" s="363"/>
      <c r="AG60" s="75"/>
      <c r="AH60" s="76"/>
      <c r="AI60" s="77"/>
      <c r="AJ60" s="1031"/>
      <c r="AK60" s="2346"/>
      <c r="AL60" s="75"/>
      <c r="AM60" s="76"/>
      <c r="AN60" s="77"/>
      <c r="AO60" s="1031"/>
      <c r="AP60" s="363"/>
      <c r="AQ60" s="75"/>
      <c r="AR60" s="76"/>
      <c r="AS60" s="363"/>
      <c r="AT60" s="363"/>
      <c r="AU60" s="75"/>
      <c r="AV60" s="76"/>
      <c r="AW60" s="363"/>
      <c r="AX60" s="363"/>
      <c r="AY60" s="75"/>
      <c r="AZ60" s="77"/>
      <c r="BA60" s="1031"/>
      <c r="BB60" s="156"/>
      <c r="BC60" s="363"/>
      <c r="BD60" s="75"/>
      <c r="BE60" s="76"/>
      <c r="BF60" s="363"/>
      <c r="BG60" s="75"/>
      <c r="BH60" s="76"/>
      <c r="BI60" s="77"/>
    </row>
    <row r="61" spans="1:344" ht="13.5" thickBot="1">
      <c r="A61" s="156"/>
      <c r="B61" s="48" t="str">
        <f>B15</f>
        <v xml:space="preserve">  Site Supervisor </v>
      </c>
      <c r="C61" s="999">
        <f>C15</f>
        <v>58616.063999999998</v>
      </c>
      <c r="D61" s="999"/>
      <c r="E61" s="999"/>
      <c r="F61" s="1198">
        <v>32198.400000000001</v>
      </c>
      <c r="G61" s="999"/>
      <c r="H61" s="304" t="s">
        <v>1401</v>
      </c>
      <c r="I61" s="156"/>
      <c r="J61" s="156"/>
      <c r="K61" s="991"/>
      <c r="L61" s="156"/>
      <c r="M61" s="156"/>
      <c r="N61" s="156"/>
      <c r="O61" s="2570" t="s">
        <v>1449</v>
      </c>
      <c r="P61" s="2571"/>
      <c r="Q61" s="2571"/>
      <c r="R61" s="2571"/>
      <c r="S61" s="2572"/>
      <c r="T61" s="156"/>
      <c r="U61" s="2570" t="s">
        <v>562</v>
      </c>
      <c r="V61" s="2571"/>
      <c r="W61" s="2571"/>
      <c r="X61" s="2571"/>
      <c r="Y61" s="2572"/>
      <c r="Z61" s="156"/>
      <c r="AA61" s="2570" t="s">
        <v>563</v>
      </c>
      <c r="AB61" s="2571"/>
      <c r="AC61" s="2571"/>
      <c r="AD61" s="2571"/>
      <c r="AE61" s="2572"/>
      <c r="AF61" s="156"/>
      <c r="AG61" s="2570" t="s">
        <v>564</v>
      </c>
      <c r="AH61" s="2571"/>
      <c r="AI61" s="2571"/>
      <c r="AJ61" s="2571"/>
      <c r="AK61" s="2572"/>
      <c r="AL61" s="75"/>
      <c r="AM61" s="76"/>
      <c r="AN61" s="77"/>
      <c r="AO61" s="1031"/>
      <c r="AP61" s="363"/>
      <c r="AQ61" s="75"/>
      <c r="AR61" s="76"/>
      <c r="AS61" s="363"/>
      <c r="AT61" s="363"/>
      <c r="AU61" s="75"/>
      <c r="AV61" s="76"/>
      <c r="AW61" s="363"/>
      <c r="AX61" s="363"/>
      <c r="AY61" s="75"/>
      <c r="LY61" s="984"/>
      <c r="LZ61" s="984"/>
      <c r="MA61" s="984"/>
      <c r="MB61" s="984"/>
      <c r="MC61" s="984"/>
      <c r="MD61" s="984"/>
      <c r="ME61" s="984"/>
      <c r="MF61" s="984"/>
    </row>
    <row r="62" spans="1:344">
      <c r="A62" s="156"/>
      <c r="B62" s="48" t="str">
        <f>B26</f>
        <v xml:space="preserve">  Direct Care III</v>
      </c>
      <c r="C62" s="999">
        <f>C16</f>
        <v>53206.566400000003</v>
      </c>
      <c r="D62" s="999"/>
      <c r="E62" s="999"/>
      <c r="F62" s="1198"/>
      <c r="G62" s="999"/>
      <c r="H62" s="304" t="str">
        <f>H16</f>
        <v>BLS Benchmark M2022 53rd Percentile</v>
      </c>
      <c r="I62" s="156"/>
      <c r="J62" s="156"/>
      <c r="K62" s="991"/>
      <c r="L62" s="156"/>
      <c r="M62" s="156"/>
      <c r="N62" s="156"/>
      <c r="O62" s="987" t="s">
        <v>277</v>
      </c>
      <c r="P62" s="147">
        <v>10</v>
      </c>
      <c r="Q62" s="988"/>
      <c r="R62" s="989" t="s">
        <v>133</v>
      </c>
      <c r="S62" s="990">
        <v>3650</v>
      </c>
      <c r="T62" s="156"/>
      <c r="U62" s="987" t="s">
        <v>277</v>
      </c>
      <c r="V62" s="147">
        <v>15</v>
      </c>
      <c r="W62" s="988"/>
      <c r="X62" s="989" t="s">
        <v>133</v>
      </c>
      <c r="Y62" s="990">
        <f>V62*365</f>
        <v>5475</v>
      </c>
      <c r="Z62" s="156"/>
      <c r="AA62" s="987" t="s">
        <v>277</v>
      </c>
      <c r="AB62" s="147">
        <v>20</v>
      </c>
      <c r="AC62" s="988"/>
      <c r="AD62" s="989" t="s">
        <v>133</v>
      </c>
      <c r="AE62" s="990">
        <f>AB62*365</f>
        <v>7300</v>
      </c>
      <c r="AF62" s="156"/>
      <c r="AG62" s="987" t="s">
        <v>277</v>
      </c>
      <c r="AH62" s="147">
        <v>30</v>
      </c>
      <c r="AI62" s="988"/>
      <c r="AJ62" s="989" t="s">
        <v>133</v>
      </c>
      <c r="AK62" s="990">
        <f>AH62*365</f>
        <v>10950</v>
      </c>
      <c r="AL62" s="75"/>
      <c r="AM62" s="76"/>
      <c r="AN62" s="77"/>
      <c r="AO62" s="1031"/>
      <c r="AP62" s="363"/>
      <c r="AQ62" s="75"/>
      <c r="AR62" s="76"/>
      <c r="AS62" s="363"/>
      <c r="AT62" s="363"/>
      <c r="AU62" s="75"/>
      <c r="AV62" s="76"/>
      <c r="AW62" s="363"/>
      <c r="AX62" s="363"/>
      <c r="AY62" s="75"/>
      <c r="LY62" s="984"/>
      <c r="LZ62" s="984"/>
      <c r="MA62" s="984"/>
      <c r="MB62" s="984"/>
      <c r="MC62" s="984"/>
      <c r="MD62" s="984"/>
      <c r="ME62" s="984"/>
      <c r="MF62" s="984"/>
    </row>
    <row r="63" spans="1:344">
      <c r="A63" s="156"/>
      <c r="B63" s="48" t="s">
        <v>973</v>
      </c>
      <c r="C63" s="999">
        <f>C17</f>
        <v>41600</v>
      </c>
      <c r="D63" s="999"/>
      <c r="E63" s="999"/>
      <c r="F63" s="1198">
        <v>32198.400000000001</v>
      </c>
      <c r="G63" s="999"/>
      <c r="H63" s="304" t="str">
        <f>H17</f>
        <v>BLS Benchmark M2022 53rd Percentile</v>
      </c>
      <c r="I63" s="156"/>
      <c r="J63" s="156"/>
      <c r="K63" s="991"/>
      <c r="L63" s="156"/>
      <c r="M63" s="156"/>
      <c r="N63" s="156"/>
      <c r="O63" s="109"/>
      <c r="P63" s="156"/>
      <c r="Q63" s="156"/>
      <c r="R63" s="156"/>
      <c r="S63" s="991"/>
      <c r="T63" s="156"/>
      <c r="U63" s="109"/>
      <c r="V63" s="156"/>
      <c r="W63" s="156"/>
      <c r="X63" s="156"/>
      <c r="Y63" s="991"/>
      <c r="Z63" s="156"/>
      <c r="AA63" s="109"/>
      <c r="AB63" s="156"/>
      <c r="AC63" s="156"/>
      <c r="AD63" s="156"/>
      <c r="AE63" s="991"/>
      <c r="AF63" s="985"/>
      <c r="AG63" s="109"/>
      <c r="AH63" s="156"/>
      <c r="AI63" s="156"/>
      <c r="AJ63" s="156"/>
      <c r="AK63" s="991"/>
      <c r="AL63" s="75"/>
      <c r="AM63" s="76"/>
      <c r="AN63" s="77"/>
      <c r="AO63" s="1031"/>
      <c r="AP63" s="363"/>
      <c r="AQ63" s="75"/>
      <c r="AR63" s="76"/>
      <c r="AS63" s="363"/>
      <c r="AT63" s="363"/>
      <c r="AU63" s="75"/>
      <c r="AV63" s="76"/>
      <c r="AW63" s="363"/>
      <c r="AX63" s="363"/>
      <c r="AY63" s="75"/>
      <c r="LY63" s="984"/>
      <c r="LZ63" s="984"/>
      <c r="MA63" s="984"/>
      <c r="MB63" s="984"/>
      <c r="MC63" s="984"/>
      <c r="MD63" s="984"/>
      <c r="ME63" s="984"/>
      <c r="MF63" s="984"/>
    </row>
    <row r="64" spans="1:344">
      <c r="A64" s="156"/>
      <c r="B64" s="48" t="s">
        <v>49</v>
      </c>
      <c r="C64" s="999">
        <f>C18</f>
        <v>47403.283200000005</v>
      </c>
      <c r="D64" s="156"/>
      <c r="E64" s="1409"/>
      <c r="F64" s="999"/>
      <c r="G64" s="999"/>
      <c r="H64" s="304" t="s">
        <v>1402</v>
      </c>
      <c r="I64" s="156"/>
      <c r="J64" s="156"/>
      <c r="K64" s="991"/>
      <c r="L64" s="156"/>
      <c r="M64" s="156"/>
      <c r="N64" s="156"/>
      <c r="O64" s="995"/>
      <c r="P64" s="996"/>
      <c r="Q64" s="997" t="s">
        <v>5</v>
      </c>
      <c r="R64" s="997" t="s">
        <v>6</v>
      </c>
      <c r="S64" s="998" t="s">
        <v>7</v>
      </c>
      <c r="T64" s="156"/>
      <c r="U64" s="995"/>
      <c r="V64" s="996"/>
      <c r="W64" s="997" t="s">
        <v>5</v>
      </c>
      <c r="X64" s="997" t="s">
        <v>6</v>
      </c>
      <c r="Y64" s="998" t="s">
        <v>7</v>
      </c>
      <c r="AA64" s="995"/>
      <c r="AB64" s="996"/>
      <c r="AC64" s="997" t="s">
        <v>5</v>
      </c>
      <c r="AD64" s="997" t="s">
        <v>6</v>
      </c>
      <c r="AE64" s="998" t="s">
        <v>7</v>
      </c>
      <c r="AF64" s="156"/>
      <c r="AG64" s="995"/>
      <c r="AH64" s="996"/>
      <c r="AI64" s="997" t="s">
        <v>5</v>
      </c>
      <c r="AJ64" s="997" t="s">
        <v>6</v>
      </c>
      <c r="AK64" s="998" t="s">
        <v>7</v>
      </c>
      <c r="AL64" s="75"/>
      <c r="AM64" s="76"/>
      <c r="AN64" s="77"/>
      <c r="AO64" s="1031"/>
      <c r="AP64" s="363"/>
      <c r="AQ64" s="75"/>
      <c r="AR64" s="76"/>
      <c r="AS64" s="363"/>
      <c r="AT64" s="363"/>
      <c r="AU64" s="75"/>
      <c r="AV64" s="76"/>
      <c r="AW64" s="363"/>
      <c r="AX64" s="363"/>
      <c r="AY64" s="75"/>
      <c r="LY64" s="984"/>
      <c r="LZ64" s="984"/>
      <c r="MA64" s="984"/>
      <c r="MB64" s="984"/>
      <c r="MC64" s="984"/>
      <c r="MD64" s="984"/>
      <c r="ME64" s="984"/>
      <c r="MF64" s="984"/>
    </row>
    <row r="65" spans="1:344">
      <c r="A65" s="156"/>
      <c r="B65" s="48"/>
      <c r="C65" s="999"/>
      <c r="D65" s="999"/>
      <c r="E65" s="999"/>
      <c r="F65" s="297"/>
      <c r="G65" s="999"/>
      <c r="H65" s="999"/>
      <c r="I65" s="156"/>
      <c r="J65" s="156"/>
      <c r="K65" s="991"/>
      <c r="L65" s="156"/>
      <c r="M65" s="156"/>
      <c r="N65" s="156"/>
      <c r="O65" s="44" t="s">
        <v>31</v>
      </c>
      <c r="P65" s="1000"/>
      <c r="Q65" s="101"/>
      <c r="R65" s="101"/>
      <c r="S65" s="1001"/>
      <c r="T65" s="156"/>
      <c r="U65" s="44" t="s">
        <v>31</v>
      </c>
      <c r="V65" s="1000"/>
      <c r="W65" s="101"/>
      <c r="X65" s="101"/>
      <c r="Y65" s="1001"/>
      <c r="Z65" s="156"/>
      <c r="AA65" s="44" t="s">
        <v>31</v>
      </c>
      <c r="AB65" s="1000"/>
      <c r="AC65" s="101"/>
      <c r="AD65" s="101"/>
      <c r="AE65" s="1001"/>
      <c r="AF65" s="156"/>
      <c r="AG65" s="44" t="s">
        <v>31</v>
      </c>
      <c r="AH65" s="1000"/>
      <c r="AI65" s="101"/>
      <c r="AJ65" s="101"/>
      <c r="AK65" s="1001"/>
      <c r="AL65" s="75"/>
      <c r="AM65" s="76"/>
      <c r="AN65" s="77"/>
      <c r="AO65" s="1031"/>
      <c r="AP65" s="363"/>
      <c r="AQ65" s="75"/>
      <c r="AR65" s="76"/>
      <c r="AS65" s="363"/>
      <c r="AT65" s="363"/>
      <c r="AU65" s="75"/>
      <c r="AV65" s="76"/>
      <c r="AW65" s="363"/>
      <c r="AX65" s="363"/>
      <c r="AY65" s="75"/>
      <c r="LY65" s="984"/>
      <c r="LZ65" s="984"/>
      <c r="MA65" s="984"/>
      <c r="MB65" s="984"/>
      <c r="MC65" s="984"/>
      <c r="MD65" s="984"/>
      <c r="ME65" s="984"/>
      <c r="MF65" s="984"/>
    </row>
    <row r="66" spans="1:344">
      <c r="A66" s="156"/>
      <c r="B66" s="48"/>
      <c r="C66" s="297" t="s">
        <v>35</v>
      </c>
      <c r="D66" s="297"/>
      <c r="E66" s="297"/>
      <c r="F66" s="39"/>
      <c r="G66" s="297"/>
      <c r="H66" s="297"/>
      <c r="I66" s="297"/>
      <c r="J66" s="297"/>
      <c r="K66" s="991"/>
      <c r="L66" s="156"/>
      <c r="M66" s="156"/>
      <c r="N66" s="156"/>
      <c r="O66" s="109" t="str">
        <f>U66</f>
        <v xml:space="preserve">  Management Supervision</v>
      </c>
      <c r="P66" s="1002"/>
      <c r="Q66" s="1003">
        <f t="shared" ref="Q66:R70" si="1">W66</f>
        <v>74264</v>
      </c>
      <c r="R66" s="1004">
        <f t="shared" si="1"/>
        <v>0.05</v>
      </c>
      <c r="S66" s="1005">
        <f>Q66*R66</f>
        <v>3713.2000000000003</v>
      </c>
      <c r="T66" s="156"/>
      <c r="U66" s="109" t="str">
        <f>B60</f>
        <v xml:space="preserve">  Management Supervision</v>
      </c>
      <c r="V66" s="1002"/>
      <c r="W66" s="1003">
        <f>C60</f>
        <v>74264</v>
      </c>
      <c r="X66" s="1004">
        <f>D70</f>
        <v>0.05</v>
      </c>
      <c r="Y66" s="1005">
        <f>W66*X66</f>
        <v>3713.2000000000003</v>
      </c>
      <c r="Z66" s="156"/>
      <c r="AA66" s="109" t="str">
        <f>B60</f>
        <v xml:space="preserve">  Management Supervision</v>
      </c>
      <c r="AB66" s="1002"/>
      <c r="AC66" s="1003">
        <f>C60</f>
        <v>74264</v>
      </c>
      <c r="AD66" s="1004">
        <f>E70</f>
        <v>0.05</v>
      </c>
      <c r="AE66" s="1005">
        <f>AC66*AD66</f>
        <v>3713.2000000000003</v>
      </c>
      <c r="AF66" s="156"/>
      <c r="AG66" s="109" t="str">
        <f>B60</f>
        <v xml:space="preserve">  Management Supervision</v>
      </c>
      <c r="AH66" s="1002"/>
      <c r="AI66" s="1003">
        <f>C60</f>
        <v>74264</v>
      </c>
      <c r="AJ66" s="1004">
        <f>G70</f>
        <v>0.05</v>
      </c>
      <c r="AK66" s="1005">
        <f>AI66*AJ66</f>
        <v>3713.2000000000003</v>
      </c>
      <c r="AL66" s="75"/>
      <c r="AM66" s="76"/>
      <c r="AN66" s="77"/>
      <c r="AO66" s="1031"/>
      <c r="AP66" s="363"/>
      <c r="AQ66" s="75"/>
      <c r="AR66" s="76"/>
      <c r="AS66" s="363"/>
      <c r="AT66" s="363"/>
      <c r="AU66" s="75"/>
      <c r="AV66" s="76"/>
      <c r="AW66" s="363"/>
      <c r="AX66" s="363"/>
      <c r="AY66" s="75"/>
      <c r="LY66" s="984"/>
      <c r="LZ66" s="984"/>
      <c r="MA66" s="984"/>
      <c r="MB66" s="984"/>
      <c r="MC66" s="984"/>
      <c r="MD66" s="984"/>
      <c r="ME66" s="984"/>
      <c r="MF66" s="984"/>
    </row>
    <row r="67" spans="1:344">
      <c r="A67" s="156"/>
      <c r="B67" s="48"/>
      <c r="C67" s="39" t="s">
        <v>1447</v>
      </c>
      <c r="D67" s="39" t="s">
        <v>282</v>
      </c>
      <c r="E67" s="39" t="s">
        <v>283</v>
      </c>
      <c r="F67" s="398"/>
      <c r="G67" s="39" t="s">
        <v>284</v>
      </c>
      <c r="H67" s="156"/>
      <c r="I67" s="156"/>
      <c r="J67" s="156"/>
      <c r="K67" s="1078"/>
      <c r="L67" s="297"/>
      <c r="M67" s="297"/>
      <c r="N67" s="297"/>
      <c r="O67" s="109" t="str">
        <f>U67</f>
        <v xml:space="preserve">  Site Supervisor </v>
      </c>
      <c r="P67" s="1002"/>
      <c r="Q67" s="1003">
        <f t="shared" si="1"/>
        <v>58616.063999999998</v>
      </c>
      <c r="R67" s="1004">
        <f t="shared" si="1"/>
        <v>1</v>
      </c>
      <c r="S67" s="1005">
        <f>Q67*R67</f>
        <v>58616.063999999998</v>
      </c>
      <c r="T67" s="156"/>
      <c r="U67" s="109" t="str">
        <f>B61</f>
        <v xml:space="preserve">  Site Supervisor </v>
      </c>
      <c r="V67" s="1002"/>
      <c r="W67" s="1003">
        <f>C61</f>
        <v>58616.063999999998</v>
      </c>
      <c r="X67" s="1004">
        <f>D71</f>
        <v>1</v>
      </c>
      <c r="Y67" s="1005">
        <f>W67*X67</f>
        <v>58616.063999999998</v>
      </c>
      <c r="Z67" s="156"/>
      <c r="AA67" s="109" t="str">
        <f>B61</f>
        <v xml:space="preserve">  Site Supervisor </v>
      </c>
      <c r="AB67" s="1002"/>
      <c r="AC67" s="1003">
        <f>C61</f>
        <v>58616.063999999998</v>
      </c>
      <c r="AD67" s="1004">
        <f>E71</f>
        <v>1</v>
      </c>
      <c r="AE67" s="1005">
        <f>AC67*AD67</f>
        <v>58616.063999999998</v>
      </c>
      <c r="AF67" s="156"/>
      <c r="AG67" s="109" t="str">
        <f>B61</f>
        <v xml:space="preserve">  Site Supervisor </v>
      </c>
      <c r="AH67" s="1002"/>
      <c r="AI67" s="1003">
        <f>C61</f>
        <v>58616.063999999998</v>
      </c>
      <c r="AJ67" s="1004">
        <f>G71</f>
        <v>1</v>
      </c>
      <c r="AK67" s="1005">
        <f>AI67*AJ67</f>
        <v>58616.063999999998</v>
      </c>
      <c r="AL67" s="75"/>
      <c r="AM67" s="76"/>
      <c r="AN67" s="77"/>
      <c r="AO67" s="1031"/>
      <c r="AP67" s="363"/>
      <c r="AQ67" s="75"/>
      <c r="AR67" s="76"/>
      <c r="AS67" s="363"/>
      <c r="AT67" s="363"/>
      <c r="AU67" s="75"/>
      <c r="AV67" s="76"/>
      <c r="AW67" s="363"/>
      <c r="AX67" s="363"/>
      <c r="AY67" s="75"/>
      <c r="LY67" s="984"/>
      <c r="LZ67" s="984"/>
      <c r="MA67" s="984"/>
      <c r="MB67" s="984"/>
      <c r="MC67" s="984"/>
      <c r="MD67" s="984"/>
      <c r="ME67" s="984"/>
      <c r="MF67" s="984"/>
    </row>
    <row r="68" spans="1:344">
      <c r="A68" s="156"/>
      <c r="B68" s="48" t="s">
        <v>140</v>
      </c>
      <c r="C68" s="1016" t="s">
        <v>1448</v>
      </c>
      <c r="D68" s="1016" t="s">
        <v>279</v>
      </c>
      <c r="E68" s="1079" t="s">
        <v>280</v>
      </c>
      <c r="F68" s="156"/>
      <c r="G68" s="1016" t="s">
        <v>281</v>
      </c>
      <c r="H68" s="156"/>
      <c r="I68" s="156"/>
      <c r="J68" s="156"/>
      <c r="K68" s="306"/>
      <c r="L68" s="398"/>
      <c r="M68" s="398"/>
      <c r="N68" s="398"/>
      <c r="O68" s="109" t="str">
        <f>U68</f>
        <v xml:space="preserve">  Direct Care III</v>
      </c>
      <c r="P68" s="1410"/>
      <c r="Q68" s="1003">
        <f t="shared" si="1"/>
        <v>53206.566400000003</v>
      </c>
      <c r="R68" s="1004">
        <f t="shared" si="1"/>
        <v>2.1</v>
      </c>
      <c r="S68" s="1413">
        <f>Q68*R68</f>
        <v>111733.78944000001</v>
      </c>
      <c r="T68" s="156"/>
      <c r="U68" s="1091" t="str">
        <f>M19</f>
        <v xml:space="preserve">  Direct Care III</v>
      </c>
      <c r="V68" s="1410"/>
      <c r="W68" s="1411">
        <f>C62</f>
        <v>53206.566400000003</v>
      </c>
      <c r="X68" s="1412">
        <f>D72</f>
        <v>2.1</v>
      </c>
      <c r="Y68" s="1413">
        <f>W68*X68</f>
        <v>111733.78944000001</v>
      </c>
      <c r="Z68" s="156"/>
      <c r="AA68" s="1091" t="str">
        <f>U68</f>
        <v xml:space="preserve">  Direct Care III</v>
      </c>
      <c r="AB68" s="1410"/>
      <c r="AC68" s="1411">
        <f>C62</f>
        <v>53206.566400000003</v>
      </c>
      <c r="AD68" s="1412">
        <f>E72</f>
        <v>2.1</v>
      </c>
      <c r="AE68" s="1413">
        <f>AC68*AD68</f>
        <v>111733.78944000001</v>
      </c>
      <c r="AF68" s="985"/>
      <c r="AG68" s="1091" t="str">
        <f>U68</f>
        <v xml:space="preserve">  Direct Care III</v>
      </c>
      <c r="AH68" s="1410"/>
      <c r="AI68" s="1411">
        <f>C62</f>
        <v>53206.566400000003</v>
      </c>
      <c r="AJ68" s="1412">
        <f>G72</f>
        <v>2.1</v>
      </c>
      <c r="AK68" s="1413">
        <f>AI68*AJ68</f>
        <v>111733.78944000001</v>
      </c>
      <c r="AL68" s="75"/>
      <c r="AM68" s="76"/>
      <c r="AN68" s="77"/>
      <c r="AO68" s="1031"/>
      <c r="AP68" s="363"/>
      <c r="AQ68" s="75"/>
      <c r="AR68" s="76"/>
      <c r="AS68" s="363"/>
      <c r="AT68" s="363"/>
      <c r="AU68" s="75"/>
      <c r="AV68" s="76"/>
      <c r="AW68" s="363"/>
      <c r="AX68" s="363"/>
      <c r="AY68" s="75"/>
      <c r="LY68" s="984"/>
      <c r="LZ68" s="984"/>
      <c r="MA68" s="984"/>
      <c r="MB68" s="984"/>
      <c r="MC68" s="984"/>
      <c r="MD68" s="984"/>
      <c r="ME68" s="984"/>
      <c r="MF68" s="984"/>
    </row>
    <row r="69" spans="1:344">
      <c r="A69" s="156"/>
      <c r="B69" s="44" t="s">
        <v>31</v>
      </c>
      <c r="D69" s="398"/>
      <c r="E69" s="156"/>
      <c r="F69" s="1022"/>
      <c r="G69" s="156"/>
      <c r="H69" s="156"/>
      <c r="I69" s="156"/>
      <c r="J69" s="156"/>
      <c r="K69" s="991"/>
      <c r="L69" s="156"/>
      <c r="M69" s="156"/>
      <c r="N69" s="156"/>
      <c r="O69" s="109" t="str">
        <f>U69</f>
        <v xml:space="preserve">  Direct Care</v>
      </c>
      <c r="P69" s="1002"/>
      <c r="Q69" s="1003">
        <f t="shared" si="1"/>
        <v>41600</v>
      </c>
      <c r="R69" s="1004">
        <f t="shared" si="1"/>
        <v>2.1</v>
      </c>
      <c r="S69" s="1005">
        <f>Q69*R69</f>
        <v>87360</v>
      </c>
      <c r="T69" s="156"/>
      <c r="U69" s="109" t="str">
        <f>B63</f>
        <v xml:space="preserve">  Direct Care</v>
      </c>
      <c r="V69" s="1002"/>
      <c r="W69" s="1003">
        <f>C63</f>
        <v>41600</v>
      </c>
      <c r="X69" s="1004">
        <f>D73</f>
        <v>2.1</v>
      </c>
      <c r="Y69" s="1005">
        <f>W69*X69</f>
        <v>87360</v>
      </c>
      <c r="Z69" s="156"/>
      <c r="AA69" s="109" t="str">
        <f>U69</f>
        <v xml:space="preserve">  Direct Care</v>
      </c>
      <c r="AB69" s="1002"/>
      <c r="AC69" s="1003">
        <f>W69</f>
        <v>41600</v>
      </c>
      <c r="AD69" s="1004">
        <f>E73</f>
        <v>2.1</v>
      </c>
      <c r="AE69" s="1005">
        <f>AC69*AD69</f>
        <v>87360</v>
      </c>
      <c r="AF69" s="156"/>
      <c r="AG69" s="109" t="str">
        <f>B63</f>
        <v xml:space="preserve">  Direct Care</v>
      </c>
      <c r="AH69" s="1002"/>
      <c r="AI69" s="1003">
        <f>W69</f>
        <v>41600</v>
      </c>
      <c r="AJ69" s="1004">
        <f>G73</f>
        <v>2.1</v>
      </c>
      <c r="AK69" s="1005">
        <f>AI69*AJ69</f>
        <v>87360</v>
      </c>
      <c r="AL69" s="75"/>
      <c r="AM69" s="76"/>
      <c r="AN69" s="77"/>
      <c r="AO69" s="1031"/>
      <c r="AP69" s="363"/>
      <c r="AQ69" s="75"/>
      <c r="AR69" s="76"/>
      <c r="AS69" s="363"/>
      <c r="AT69" s="363"/>
      <c r="AU69" s="75"/>
      <c r="AV69" s="76"/>
      <c r="AW69" s="363"/>
      <c r="AX69" s="363"/>
      <c r="AY69" s="75"/>
      <c r="LY69" s="984"/>
      <c r="LZ69" s="984"/>
      <c r="MA69" s="984"/>
      <c r="MB69" s="984"/>
      <c r="MC69" s="984"/>
      <c r="MD69" s="984"/>
      <c r="ME69" s="984"/>
      <c r="MF69" s="984"/>
    </row>
    <row r="70" spans="1:344">
      <c r="A70" s="156"/>
      <c r="B70" s="48" t="str">
        <f>B60</f>
        <v xml:space="preserve">  Management Supervision</v>
      </c>
      <c r="C70" s="1022">
        <v>0.05</v>
      </c>
      <c r="D70" s="1022">
        <v>0.05</v>
      </c>
      <c r="E70" s="1022">
        <v>0.05</v>
      </c>
      <c r="F70" s="1022"/>
      <c r="G70" s="1022">
        <v>0.05</v>
      </c>
      <c r="H70" s="156"/>
      <c r="I70" s="156"/>
      <c r="J70" s="156"/>
      <c r="K70" s="1080"/>
      <c r="L70" s="1022"/>
      <c r="M70" s="1022"/>
      <c r="N70" s="1022"/>
      <c r="O70" s="1097" t="str">
        <f>U70</f>
        <v xml:space="preserve">  Relief</v>
      </c>
      <c r="P70" s="1009"/>
      <c r="Q70" s="2347">
        <f t="shared" si="1"/>
        <v>47403.283200000005</v>
      </c>
      <c r="R70" s="1010">
        <f t="shared" si="1"/>
        <v>0.53307692307692311</v>
      </c>
      <c r="S70" s="1011">
        <f>Q70*R70</f>
        <v>25269.596352000004</v>
      </c>
      <c r="T70" s="156"/>
      <c r="U70" s="1097" t="str">
        <f>B64</f>
        <v xml:space="preserve">  Relief</v>
      </c>
      <c r="V70" s="1009"/>
      <c r="W70" s="1810">
        <f>C64</f>
        <v>47403.283200000005</v>
      </c>
      <c r="X70" s="1010">
        <f>D74</f>
        <v>0.53307692307692311</v>
      </c>
      <c r="Y70" s="1011">
        <f>W70*X70</f>
        <v>25269.596352000004</v>
      </c>
      <c r="Z70" s="1006"/>
      <c r="AA70" s="182" t="str">
        <f>U70</f>
        <v xml:space="preserve">  Relief</v>
      </c>
      <c r="AB70" s="1009"/>
      <c r="AC70" s="2175">
        <f>W70</f>
        <v>47403.283200000005</v>
      </c>
      <c r="AD70" s="1010">
        <f>E74</f>
        <v>0.53307692307692311</v>
      </c>
      <c r="AE70" s="1011">
        <f>AC70*AD70</f>
        <v>25269.596352000004</v>
      </c>
      <c r="AF70" s="156"/>
      <c r="AG70" s="1097" t="str">
        <f>B64</f>
        <v xml:space="preserve">  Relief</v>
      </c>
      <c r="AH70" s="1009"/>
      <c r="AI70" s="1810">
        <f>W70</f>
        <v>47403.283200000005</v>
      </c>
      <c r="AJ70" s="1010">
        <f>G74</f>
        <v>0.53307692307692311</v>
      </c>
      <c r="AK70" s="1011">
        <f>AI70*AJ70</f>
        <v>25269.596352000004</v>
      </c>
      <c r="AL70" s="75"/>
      <c r="AM70" s="76"/>
      <c r="AN70" s="77"/>
      <c r="AO70" s="1031"/>
      <c r="AP70" s="363"/>
      <c r="AQ70" s="75"/>
      <c r="AR70" s="76"/>
      <c r="AS70" s="363"/>
      <c r="AT70" s="363"/>
      <c r="AU70" s="75"/>
      <c r="AV70" s="76"/>
      <c r="AW70" s="363"/>
      <c r="AX70" s="363"/>
      <c r="AY70" s="75"/>
      <c r="LY70" s="984"/>
      <c r="LZ70" s="984"/>
      <c r="MA70" s="984"/>
      <c r="MB70" s="984"/>
      <c r="MC70" s="984"/>
      <c r="MD70" s="984"/>
      <c r="ME70" s="984"/>
      <c r="MF70" s="984"/>
    </row>
    <row r="71" spans="1:344">
      <c r="A71" s="156"/>
      <c r="B71" s="48" t="str">
        <f>B61</f>
        <v xml:space="preserve">  Site Supervisor </v>
      </c>
      <c r="C71" s="1022">
        <v>1</v>
      </c>
      <c r="D71" s="1022">
        <v>1</v>
      </c>
      <c r="E71" s="1022">
        <v>1</v>
      </c>
      <c r="F71" s="1022"/>
      <c r="G71" s="1022">
        <v>1</v>
      </c>
      <c r="H71" s="156"/>
      <c r="I71" s="156"/>
      <c r="J71" s="156"/>
      <c r="K71" s="1080"/>
      <c r="L71" s="1022"/>
      <c r="M71" s="1022"/>
      <c r="N71" s="1022"/>
      <c r="O71" s="995" t="s">
        <v>13</v>
      </c>
      <c r="P71" s="1012"/>
      <c r="Q71" s="1012"/>
      <c r="R71" s="1014">
        <f>SUM(R66:R70)</f>
        <v>5.7830769230769228</v>
      </c>
      <c r="S71" s="1015">
        <f>SUM(S66:S70)</f>
        <v>286692.64979200001</v>
      </c>
      <c r="T71" s="156"/>
      <c r="U71" s="995" t="s">
        <v>13</v>
      </c>
      <c r="V71" s="1012"/>
      <c r="W71" s="1012"/>
      <c r="X71" s="1014">
        <f>SUM(X66:X70)</f>
        <v>5.7830769230769228</v>
      </c>
      <c r="Y71" s="1015">
        <f>SUM(Y66:Y70)</f>
        <v>286692.64979200001</v>
      </c>
      <c r="Z71" s="1006"/>
      <c r="AA71" s="995" t="s">
        <v>13</v>
      </c>
      <c r="AB71" s="1012"/>
      <c r="AC71" s="1012"/>
      <c r="AD71" s="1014">
        <f>SUM(AD66:AD70)</f>
        <v>5.7830769230769228</v>
      </c>
      <c r="AE71" s="1015">
        <f>SUM(AE66:AE70)</f>
        <v>286692.64979200001</v>
      </c>
      <c r="AF71" s="156"/>
      <c r="AG71" s="995" t="s">
        <v>13</v>
      </c>
      <c r="AH71" s="1012"/>
      <c r="AI71" s="1012"/>
      <c r="AJ71" s="1014">
        <f>SUM(AJ66:AJ70)</f>
        <v>5.7830769230769228</v>
      </c>
      <c r="AK71" s="1015">
        <f>SUM(AK66:AK70)</f>
        <v>286692.64979200001</v>
      </c>
      <c r="AL71" s="75"/>
      <c r="AM71" s="76"/>
      <c r="AN71" s="77"/>
      <c r="AO71" s="1031"/>
      <c r="AP71" s="363"/>
      <c r="AQ71" s="75"/>
      <c r="AR71" s="76"/>
      <c r="AS71" s="363"/>
      <c r="AT71" s="363"/>
      <c r="AU71" s="75"/>
      <c r="AV71" s="76"/>
      <c r="AW71" s="363"/>
      <c r="AX71" s="363"/>
      <c r="AY71" s="75"/>
      <c r="LY71" s="984"/>
      <c r="LZ71" s="984"/>
      <c r="MA71" s="984"/>
      <c r="MB71" s="984"/>
      <c r="MC71" s="984"/>
      <c r="MD71" s="984"/>
      <c r="ME71" s="984"/>
      <c r="MF71" s="984"/>
    </row>
    <row r="72" spans="1:344">
      <c r="A72" s="156"/>
      <c r="B72" s="48" t="str">
        <f>B62</f>
        <v xml:space="preserve">  Direct Care III</v>
      </c>
      <c r="C72" s="1022">
        <f t="shared" ref="C72:G73" si="2">4.2/2</f>
        <v>2.1</v>
      </c>
      <c r="D72" s="1022">
        <f t="shared" si="2"/>
        <v>2.1</v>
      </c>
      <c r="E72" s="1022">
        <f t="shared" si="2"/>
        <v>2.1</v>
      </c>
      <c r="F72" s="1022"/>
      <c r="G72" s="1022">
        <f t="shared" si="2"/>
        <v>2.1</v>
      </c>
      <c r="H72" s="156"/>
      <c r="I72" s="156"/>
      <c r="J72" s="156"/>
      <c r="K72" s="1080"/>
      <c r="L72" s="1022"/>
      <c r="M72" s="1022"/>
      <c r="N72" s="1022"/>
      <c r="O72" s="111" t="s">
        <v>15</v>
      </c>
      <c r="P72" s="156"/>
      <c r="Q72" s="156"/>
      <c r="R72" s="269" t="s">
        <v>16</v>
      </c>
      <c r="S72" s="991"/>
      <c r="T72" s="156"/>
      <c r="U72" s="111" t="s">
        <v>15</v>
      </c>
      <c r="V72" s="156"/>
      <c r="W72" s="156"/>
      <c r="X72" s="269" t="s">
        <v>16</v>
      </c>
      <c r="Y72" s="991"/>
      <c r="Z72" s="1006"/>
      <c r="AA72" s="111" t="s">
        <v>15</v>
      </c>
      <c r="AB72" s="156"/>
      <c r="AC72" s="156"/>
      <c r="AD72" s="269" t="s">
        <v>16</v>
      </c>
      <c r="AE72" s="991"/>
      <c r="AF72" s="156"/>
      <c r="AG72" s="111" t="s">
        <v>15</v>
      </c>
      <c r="AH72" s="156"/>
      <c r="AI72" s="156"/>
      <c r="AJ72" s="269" t="s">
        <v>16</v>
      </c>
      <c r="AK72" s="991"/>
      <c r="AL72" s="75"/>
      <c r="AM72" s="76"/>
      <c r="AN72" s="77"/>
      <c r="AO72" s="1031"/>
      <c r="AP72" s="363"/>
      <c r="AQ72" s="75"/>
      <c r="AR72" s="76"/>
      <c r="AS72" s="363"/>
      <c r="AT72" s="363"/>
      <c r="AU72" s="75"/>
      <c r="AV72" s="76"/>
      <c r="AW72" s="363"/>
      <c r="AX72" s="363"/>
      <c r="AY72" s="75"/>
      <c r="LY72" s="984"/>
      <c r="LZ72" s="984"/>
      <c r="MA72" s="984"/>
      <c r="MB72" s="984"/>
      <c r="MC72" s="984"/>
      <c r="MD72" s="984"/>
      <c r="ME72" s="984"/>
      <c r="MF72" s="984"/>
    </row>
    <row r="73" spans="1:344">
      <c r="A73" s="156"/>
      <c r="B73" s="48" t="str">
        <f>B63</f>
        <v xml:space="preserve">  Direct Care</v>
      </c>
      <c r="C73" s="1022">
        <f t="shared" si="2"/>
        <v>2.1</v>
      </c>
      <c r="D73" s="1022">
        <f t="shared" si="2"/>
        <v>2.1</v>
      </c>
      <c r="E73" s="1022">
        <f t="shared" si="2"/>
        <v>2.1</v>
      </c>
      <c r="F73" s="1022"/>
      <c r="G73" s="1022">
        <f t="shared" si="2"/>
        <v>2.1</v>
      </c>
      <c r="H73" s="156"/>
      <c r="I73" s="156"/>
      <c r="J73" s="156"/>
      <c r="K73" s="1080"/>
      <c r="L73" s="1022"/>
      <c r="M73" s="1022"/>
      <c r="N73" s="1022"/>
      <c r="O73" s="109" t="s">
        <v>17</v>
      </c>
      <c r="P73" s="156"/>
      <c r="Q73" s="1811">
        <f>C78</f>
        <v>0.27379999999999999</v>
      </c>
      <c r="R73" s="156"/>
      <c r="S73" s="1017">
        <f>Q73*S71</f>
        <v>78496.447513049599</v>
      </c>
      <c r="T73" s="156"/>
      <c r="U73" s="109" t="s">
        <v>17</v>
      </c>
      <c r="V73" s="156"/>
      <c r="W73" s="1811">
        <f>C78</f>
        <v>0.27379999999999999</v>
      </c>
      <c r="X73" s="156"/>
      <c r="Y73" s="1017">
        <f>W73*Y71</f>
        <v>78496.447513049599</v>
      </c>
      <c r="Z73" s="1006"/>
      <c r="AA73" s="109" t="s">
        <v>17</v>
      </c>
      <c r="AB73" s="156"/>
      <c r="AC73" s="1813">
        <f>W73</f>
        <v>0.27379999999999999</v>
      </c>
      <c r="AD73" s="156"/>
      <c r="AE73" s="1017">
        <f>AC73*AE71</f>
        <v>78496.447513049599</v>
      </c>
      <c r="AF73" s="156"/>
      <c r="AG73" s="109" t="s">
        <v>17</v>
      </c>
      <c r="AH73" s="156"/>
      <c r="AI73" s="1811">
        <f>W73</f>
        <v>0.27379999999999999</v>
      </c>
      <c r="AJ73" s="156"/>
      <c r="AK73" s="1017">
        <f>AI73*AK71</f>
        <v>78496.447513049599</v>
      </c>
      <c r="AL73" s="75"/>
      <c r="AM73" s="76"/>
      <c r="AN73" s="77"/>
      <c r="AO73" s="1031"/>
      <c r="AP73" s="363"/>
      <c r="AQ73" s="75"/>
      <c r="AR73" s="76"/>
      <c r="AS73" s="363"/>
      <c r="AT73" s="363"/>
      <c r="AU73" s="75"/>
      <c r="AV73" s="76"/>
      <c r="AW73" s="363"/>
      <c r="AX73" s="363"/>
      <c r="AY73" s="75"/>
      <c r="LY73" s="984"/>
      <c r="LZ73" s="984"/>
      <c r="MA73" s="984"/>
      <c r="MB73" s="984"/>
      <c r="MC73" s="984"/>
      <c r="MD73" s="984"/>
      <c r="ME73" s="984"/>
      <c r="MF73" s="984"/>
    </row>
    <row r="74" spans="1:344">
      <c r="A74" s="156"/>
      <c r="B74" s="80" t="str">
        <f>B64</f>
        <v xml:space="preserve">  Relief</v>
      </c>
      <c r="C74" s="1022">
        <v>0.53307692307692311</v>
      </c>
      <c r="D74" s="1022">
        <v>0.53307692307692311</v>
      </c>
      <c r="E74" s="1022">
        <v>0.53307692307692311</v>
      </c>
      <c r="F74" s="1022"/>
      <c r="G74" s="1022">
        <v>0.53307692307692311</v>
      </c>
      <c r="H74" s="156"/>
      <c r="I74" s="156"/>
      <c r="J74" s="156"/>
      <c r="K74" s="1080"/>
      <c r="L74" s="1022"/>
      <c r="M74" s="1022"/>
      <c r="N74" s="1022"/>
      <c r="O74" s="1018" t="s">
        <v>18</v>
      </c>
      <c r="P74" s="1019"/>
      <c r="Q74" s="1019"/>
      <c r="R74" s="1020"/>
      <c r="S74" s="1021">
        <f>S71+S73</f>
        <v>365189.0973050496</v>
      </c>
      <c r="T74" s="156"/>
      <c r="U74" s="1018" t="s">
        <v>18</v>
      </c>
      <c r="V74" s="1019"/>
      <c r="W74" s="1019"/>
      <c r="X74" s="1020"/>
      <c r="Y74" s="1021">
        <f>Y71+Y73</f>
        <v>365189.0973050496</v>
      </c>
      <c r="Z74" s="1006"/>
      <c r="AA74" s="1018" t="s">
        <v>18</v>
      </c>
      <c r="AB74" s="1019"/>
      <c r="AC74" s="1012"/>
      <c r="AD74" s="1020"/>
      <c r="AE74" s="1021">
        <f>AE71+AE73</f>
        <v>365189.0973050496</v>
      </c>
      <c r="AF74" s="156"/>
      <c r="AG74" s="1018" t="s">
        <v>18</v>
      </c>
      <c r="AH74" s="1019"/>
      <c r="AI74" s="1019"/>
      <c r="AJ74" s="1020"/>
      <c r="AK74" s="1021">
        <f>AK71+AK73</f>
        <v>365189.0973050496</v>
      </c>
      <c r="AL74" s="75"/>
      <c r="AM74" s="76"/>
      <c r="AN74" s="77"/>
      <c r="AO74" s="1031"/>
      <c r="AP74" s="363"/>
      <c r="AQ74" s="75"/>
      <c r="AR74" s="76"/>
      <c r="AS74" s="363"/>
      <c r="AT74" s="363"/>
      <c r="AU74" s="75"/>
      <c r="AV74" s="76"/>
      <c r="AW74" s="363"/>
      <c r="AX74" s="363"/>
      <c r="AY74" s="75"/>
      <c r="LY74" s="984"/>
      <c r="LZ74" s="984"/>
      <c r="MA74" s="984"/>
      <c r="MB74" s="984"/>
      <c r="MC74" s="984"/>
      <c r="MD74" s="984"/>
      <c r="ME74" s="984"/>
      <c r="MF74" s="984"/>
    </row>
    <row r="75" spans="1:344" ht="15.6" customHeight="1">
      <c r="A75" s="156"/>
      <c r="B75" s="173"/>
      <c r="C75" s="1029"/>
      <c r="D75" s="1029"/>
      <c r="E75" s="1029"/>
      <c r="F75" s="339"/>
      <c r="G75" s="1022"/>
      <c r="H75" s="1022"/>
      <c r="I75" s="156"/>
      <c r="J75" s="156"/>
      <c r="K75" s="991"/>
      <c r="L75" s="156"/>
      <c r="M75" s="156"/>
      <c r="N75" s="156"/>
      <c r="O75" s="109"/>
      <c r="P75" s="156"/>
      <c r="Q75" s="1442"/>
      <c r="R75" s="884"/>
      <c r="S75" s="1005"/>
      <c r="T75" s="156"/>
      <c r="U75" s="109"/>
      <c r="V75" s="156"/>
      <c r="W75" s="1442"/>
      <c r="X75" s="884"/>
      <c r="Y75" s="1005"/>
      <c r="Z75" s="1006"/>
      <c r="AA75" s="109"/>
      <c r="AB75" s="156"/>
      <c r="AC75" s="1442"/>
      <c r="AD75" s="884"/>
      <c r="AE75" s="1005"/>
      <c r="AF75" s="156"/>
      <c r="AG75" s="109"/>
      <c r="AH75" s="156"/>
      <c r="AI75" s="1442"/>
      <c r="AJ75" s="884"/>
      <c r="AK75" s="1005"/>
      <c r="AL75" s="75"/>
      <c r="AM75" s="76"/>
      <c r="AN75" s="77"/>
      <c r="AO75" s="1031"/>
      <c r="AP75" s="363"/>
      <c r="AQ75" s="75"/>
      <c r="AR75" s="76"/>
      <c r="AS75" s="363"/>
      <c r="AT75" s="363"/>
      <c r="AU75" s="75"/>
      <c r="AV75" s="76"/>
      <c r="AW75" s="363"/>
      <c r="AX75" s="363"/>
      <c r="AY75" s="75"/>
      <c r="LY75" s="984"/>
      <c r="LZ75" s="984"/>
      <c r="MA75" s="984"/>
      <c r="MB75" s="984"/>
      <c r="MC75" s="984"/>
      <c r="MD75" s="984"/>
      <c r="ME75" s="984"/>
      <c r="MF75" s="984"/>
    </row>
    <row r="76" spans="1:344" ht="29.1" customHeight="1">
      <c r="A76" s="156"/>
      <c r="B76" s="48"/>
      <c r="C76" s="339"/>
      <c r="D76" s="339"/>
      <c r="E76" s="339"/>
      <c r="F76" s="297"/>
      <c r="G76" s="339"/>
      <c r="H76" s="339"/>
      <c r="I76" s="156"/>
      <c r="J76" s="156"/>
      <c r="K76" s="991"/>
      <c r="L76" s="156"/>
      <c r="M76" s="156"/>
      <c r="N76" s="156"/>
      <c r="O76" s="48" t="s">
        <v>22</v>
      </c>
      <c r="P76" s="156"/>
      <c r="Q76" s="884">
        <f>C82</f>
        <v>2.0190812303224459</v>
      </c>
      <c r="R76" s="156"/>
      <c r="S76" s="1025">
        <f>Q76*S62</f>
        <v>7369.6464906769279</v>
      </c>
      <c r="T76" s="156"/>
      <c r="U76" s="48" t="s">
        <v>22</v>
      </c>
      <c r="V76" s="156"/>
      <c r="W76" s="884">
        <f>C82</f>
        <v>2.0190812303224459</v>
      </c>
      <c r="X76" s="156"/>
      <c r="Y76" s="1025">
        <f>W76*Y62</f>
        <v>11054.469736015391</v>
      </c>
      <c r="Z76" s="1006"/>
      <c r="AA76" s="48" t="s">
        <v>22</v>
      </c>
      <c r="AB76" s="156"/>
      <c r="AC76" s="884">
        <f>W76</f>
        <v>2.0190812303224459</v>
      </c>
      <c r="AD76" s="156"/>
      <c r="AE76" s="1025">
        <f>AC76*AE62</f>
        <v>14739.292981353856</v>
      </c>
      <c r="AF76" s="156"/>
      <c r="AG76" s="48" t="s">
        <v>22</v>
      </c>
      <c r="AH76" s="156"/>
      <c r="AI76" s="884">
        <f>W76</f>
        <v>2.0190812303224459</v>
      </c>
      <c r="AJ76" s="156"/>
      <c r="AK76" s="1025">
        <f>AI76*AK62</f>
        <v>22108.939472030783</v>
      </c>
      <c r="AL76" s="75"/>
      <c r="AM76" s="76"/>
      <c r="AN76" s="77"/>
      <c r="AO76" s="1031"/>
      <c r="AP76" s="363"/>
      <c r="AQ76" s="75"/>
      <c r="AR76" s="76"/>
      <c r="AS76" s="363"/>
      <c r="AT76" s="363"/>
      <c r="AU76" s="75"/>
      <c r="AV76" s="76"/>
      <c r="AW76" s="363"/>
      <c r="AX76" s="363"/>
      <c r="AY76" s="75"/>
      <c r="LY76" s="984"/>
      <c r="LZ76" s="984"/>
      <c r="MA76" s="984"/>
      <c r="MB76" s="984"/>
      <c r="MC76" s="984"/>
      <c r="MD76" s="984"/>
      <c r="ME76" s="984"/>
      <c r="MF76" s="984"/>
    </row>
    <row r="77" spans="1:344">
      <c r="A77" s="156"/>
      <c r="B77" s="48"/>
      <c r="C77" s="297" t="s">
        <v>42</v>
      </c>
      <c r="D77" s="297"/>
      <c r="E77" s="297"/>
      <c r="F77" s="1428"/>
      <c r="G77" s="297"/>
      <c r="H77" s="297"/>
      <c r="I77" s="156"/>
      <c r="J77" s="156"/>
      <c r="K77" s="991"/>
      <c r="L77" s="156"/>
      <c r="M77" s="156"/>
      <c r="N77" s="156"/>
      <c r="O77" s="109" t="str">
        <f>B80</f>
        <v>Meals / Food***</v>
      </c>
      <c r="P77" s="156"/>
      <c r="Q77" s="884">
        <f>C802</f>
        <v>0</v>
      </c>
      <c r="R77" s="156"/>
      <c r="S77" s="885">
        <f>S62*Q77</f>
        <v>0</v>
      </c>
      <c r="T77" s="156"/>
      <c r="U77" s="109" t="str">
        <f>B80</f>
        <v>Meals / Food***</v>
      </c>
      <c r="V77" s="156"/>
      <c r="W77" s="884">
        <f>C80</f>
        <v>10.004761904761907</v>
      </c>
      <c r="X77" s="156"/>
      <c r="Y77" s="885">
        <f>Y62*W77</f>
        <v>54776.071428571435</v>
      </c>
      <c r="Z77" s="1006"/>
      <c r="AA77" s="48" t="str">
        <f>B80</f>
        <v>Meals / Food***</v>
      </c>
      <c r="AB77" s="156"/>
      <c r="AC77" s="884">
        <f>C80</f>
        <v>10.004761904761907</v>
      </c>
      <c r="AD77" s="156"/>
      <c r="AE77" s="1081">
        <f>AE62*AC77</f>
        <v>73034.761904761923</v>
      </c>
      <c r="AF77" s="156"/>
      <c r="AG77" s="48" t="str">
        <f>B80</f>
        <v>Meals / Food***</v>
      </c>
      <c r="AH77" s="156"/>
      <c r="AI77" s="884">
        <f>C80</f>
        <v>10.004761904761907</v>
      </c>
      <c r="AJ77" s="156"/>
      <c r="AK77" s="1081">
        <f>AI77*AK62</f>
        <v>109552.14285714287</v>
      </c>
      <c r="AL77" s="75"/>
      <c r="AM77" s="76"/>
      <c r="AN77" s="77"/>
      <c r="AO77" s="1031"/>
      <c r="AP77" s="363"/>
      <c r="AQ77" s="75"/>
      <c r="AR77" s="76"/>
      <c r="AS77" s="363"/>
      <c r="AT77" s="363"/>
      <c r="AU77" s="75"/>
      <c r="AV77" s="76"/>
      <c r="AW77" s="363"/>
      <c r="AX77" s="363"/>
      <c r="AY77" s="75"/>
      <c r="LY77" s="984"/>
      <c r="LZ77" s="984"/>
      <c r="MA77" s="984"/>
      <c r="MB77" s="984"/>
      <c r="MC77" s="984"/>
      <c r="MD77" s="984"/>
      <c r="ME77" s="984"/>
      <c r="MF77" s="984"/>
    </row>
    <row r="78" spans="1:344" ht="15.6" customHeight="1">
      <c r="A78" s="156"/>
      <c r="B78" s="48" t="s">
        <v>17</v>
      </c>
      <c r="C78" s="1428">
        <f>C32</f>
        <v>0.27379999999999999</v>
      </c>
      <c r="D78" s="983"/>
      <c r="E78" s="1428"/>
      <c r="F78" s="339"/>
      <c r="G78" s="983"/>
      <c r="H78" s="2580" t="s">
        <v>1403</v>
      </c>
      <c r="I78" s="2580"/>
      <c r="J78" s="2580"/>
      <c r="K78" s="2581"/>
      <c r="L78" s="2327"/>
      <c r="M78" s="2327"/>
      <c r="N78" s="2327"/>
      <c r="O78" s="1018" t="s">
        <v>23</v>
      </c>
      <c r="P78" s="1019"/>
      <c r="Q78" s="1019"/>
      <c r="R78" s="1019"/>
      <c r="S78" s="1030">
        <f>SUM(S74:S77)</f>
        <v>372558.74379572651</v>
      </c>
      <c r="T78" s="156"/>
      <c r="U78" s="1018" t="s">
        <v>23</v>
      </c>
      <c r="V78" s="1019"/>
      <c r="W78" s="1019"/>
      <c r="X78" s="1019"/>
      <c r="Y78" s="1030">
        <f>SUM(Y74:Y77)</f>
        <v>431019.63846963638</v>
      </c>
      <c r="Z78" s="1006"/>
      <c r="AA78" s="1018" t="s">
        <v>23</v>
      </c>
      <c r="AB78" s="1019"/>
      <c r="AC78" s="1019"/>
      <c r="AD78" s="1019"/>
      <c r="AE78" s="1030">
        <f>SUM(AE74:AE77)</f>
        <v>452963.15219116537</v>
      </c>
      <c r="AF78" s="156"/>
      <c r="AG78" s="1018" t="s">
        <v>23</v>
      </c>
      <c r="AH78" s="1019"/>
      <c r="AI78" s="1019"/>
      <c r="AJ78" s="1019"/>
      <c r="AK78" s="1030">
        <f>SUM(AK74:AK77)</f>
        <v>496850.17963422323</v>
      </c>
      <c r="AL78" s="75"/>
      <c r="AM78" s="76"/>
      <c r="AN78" s="77"/>
      <c r="AO78" s="1031"/>
      <c r="AP78" s="363"/>
      <c r="AQ78" s="75"/>
      <c r="AR78" s="76"/>
      <c r="AS78" s="363"/>
      <c r="AT78" s="363"/>
      <c r="AU78" s="75"/>
      <c r="AV78" s="76"/>
      <c r="AW78" s="363"/>
      <c r="AX78" s="363"/>
      <c r="AY78" s="75"/>
      <c r="LY78" s="984"/>
      <c r="LZ78" s="984"/>
      <c r="MA78" s="984"/>
      <c r="MB78" s="984"/>
      <c r="MC78" s="984"/>
      <c r="MD78" s="984"/>
      <c r="ME78" s="984"/>
      <c r="MF78" s="984"/>
    </row>
    <row r="79" spans="1:344">
      <c r="A79" s="156"/>
      <c r="B79" s="48"/>
      <c r="C79" s="339"/>
      <c r="D79" s="339"/>
      <c r="E79" s="339"/>
      <c r="F79" s="339"/>
      <c r="G79" s="339"/>
      <c r="H79" s="274"/>
      <c r="I79" s="156"/>
      <c r="J79" s="156"/>
      <c r="K79" s="991"/>
      <c r="L79" s="156"/>
      <c r="M79" s="156"/>
      <c r="N79" s="156"/>
      <c r="O79" s="109" t="s">
        <v>24</v>
      </c>
      <c r="P79" s="156"/>
      <c r="Q79" s="1033">
        <f>C87</f>
        <v>0.12</v>
      </c>
      <c r="R79" s="156"/>
      <c r="S79" s="1017">
        <f>Q79*S78</f>
        <v>44707.049255487182</v>
      </c>
      <c r="T79" s="156"/>
      <c r="U79" s="109" t="s">
        <v>24</v>
      </c>
      <c r="V79" s="156"/>
      <c r="W79" s="1033">
        <f>C87</f>
        <v>0.12</v>
      </c>
      <c r="X79" s="156"/>
      <c r="Y79" s="1017">
        <f>W79*Y78</f>
        <v>51722.356616356366</v>
      </c>
      <c r="Z79" s="1006"/>
      <c r="AA79" s="109" t="s">
        <v>24</v>
      </c>
      <c r="AB79" s="156"/>
      <c r="AC79" s="1033">
        <f>C87</f>
        <v>0.12</v>
      </c>
      <c r="AD79" s="156"/>
      <c r="AE79" s="1017">
        <f>AC79*AE78</f>
        <v>54355.578262939845</v>
      </c>
      <c r="AF79" s="156"/>
      <c r="AG79" s="109" t="s">
        <v>24</v>
      </c>
      <c r="AH79" s="156"/>
      <c r="AI79" s="1033">
        <f>C87</f>
        <v>0.12</v>
      </c>
      <c r="AJ79" s="156"/>
      <c r="AK79" s="1017">
        <f>AI79*AK78</f>
        <v>59622.021556106782</v>
      </c>
      <c r="AL79" s="75"/>
      <c r="AM79" s="76"/>
      <c r="AN79" s="77"/>
      <c r="AO79" s="1031"/>
      <c r="AP79" s="363"/>
      <c r="AQ79" s="75"/>
      <c r="AR79" s="76"/>
      <c r="AS79" s="363"/>
      <c r="AT79" s="363"/>
      <c r="AU79" s="75"/>
      <c r="AV79" s="76"/>
      <c r="AW79" s="363"/>
      <c r="AX79" s="363"/>
      <c r="AY79" s="75"/>
      <c r="LY79" s="984"/>
      <c r="LZ79" s="984"/>
      <c r="MA79" s="984"/>
      <c r="MB79" s="984"/>
      <c r="MC79" s="984"/>
      <c r="MD79" s="984"/>
      <c r="ME79" s="984"/>
      <c r="MF79" s="984"/>
    </row>
    <row r="80" spans="1:344" ht="13.5" thickBot="1">
      <c r="A80" s="156"/>
      <c r="B80" s="48" t="s">
        <v>601</v>
      </c>
      <c r="C80" s="1093">
        <f>C33</f>
        <v>10.004761904761907</v>
      </c>
      <c r="D80" s="339"/>
      <c r="E80" s="339"/>
      <c r="F80" s="1039"/>
      <c r="H80" s="274" t="s">
        <v>1409</v>
      </c>
      <c r="I80" s="274"/>
      <c r="J80" s="274"/>
      <c r="K80" s="275"/>
      <c r="L80" s="274"/>
      <c r="M80" s="274"/>
      <c r="N80" s="274"/>
      <c r="O80" s="1042" t="s">
        <v>25</v>
      </c>
      <c r="P80" s="1043"/>
      <c r="Q80" s="1043"/>
      <c r="R80" s="1043"/>
      <c r="S80" s="1044">
        <f>SUM(S78:S79)</f>
        <v>417265.79305121367</v>
      </c>
      <c r="T80" s="156"/>
      <c r="U80" s="1042" t="s">
        <v>25</v>
      </c>
      <c r="V80" s="1043"/>
      <c r="W80" s="1043"/>
      <c r="X80" s="1043"/>
      <c r="Y80" s="1044">
        <f>SUM(Y78:Y79)</f>
        <v>482741.99508599273</v>
      </c>
      <c r="Z80" s="1006"/>
      <c r="AA80" s="1042" t="s">
        <v>25</v>
      </c>
      <c r="AB80" s="1043"/>
      <c r="AC80" s="1043"/>
      <c r="AD80" s="1043"/>
      <c r="AE80" s="1044">
        <f>SUM(AE78:AE79)</f>
        <v>507318.73045410519</v>
      </c>
      <c r="AF80" s="156"/>
      <c r="AG80" s="1042" t="s">
        <v>25</v>
      </c>
      <c r="AH80" s="1043"/>
      <c r="AI80" s="1043"/>
      <c r="AJ80" s="1043"/>
      <c r="AK80" s="1044">
        <f>SUM(AK78:AK79)</f>
        <v>556472.20119032997</v>
      </c>
      <c r="AL80" s="75"/>
      <c r="AM80" s="76"/>
      <c r="AN80" s="77"/>
      <c r="AO80" s="1031"/>
      <c r="AP80" s="363"/>
      <c r="AQ80" s="75"/>
      <c r="AR80" s="76"/>
      <c r="AS80" s="363"/>
      <c r="AT80" s="363"/>
      <c r="AU80" s="75"/>
      <c r="AV80" s="76"/>
      <c r="AW80" s="363"/>
      <c r="AX80" s="363"/>
      <c r="AY80" s="75"/>
      <c r="LY80" s="984"/>
      <c r="LZ80" s="984"/>
      <c r="MA80" s="984"/>
      <c r="MB80" s="984"/>
      <c r="MC80" s="984"/>
      <c r="MD80" s="984"/>
      <c r="ME80" s="984"/>
      <c r="MF80" s="984"/>
    </row>
    <row r="81" spans="1:344" ht="13.5" thickTop="1">
      <c r="A81" s="156"/>
      <c r="B81" s="80"/>
      <c r="C81" s="1039"/>
      <c r="D81" s="1039"/>
      <c r="E81" s="1039"/>
      <c r="F81" s="89"/>
      <c r="G81" s="1039"/>
      <c r="H81" s="1040"/>
      <c r="I81" s="156"/>
      <c r="J81" s="156"/>
      <c r="K81" s="1082"/>
      <c r="L81" s="2345"/>
      <c r="M81" s="2345"/>
      <c r="N81" s="2345"/>
      <c r="O81" s="109" t="s">
        <v>26</v>
      </c>
      <c r="P81" s="156"/>
      <c r="Q81" s="2066">
        <f>C90</f>
        <v>2.5758086673353865E-2</v>
      </c>
      <c r="R81" s="156"/>
      <c r="S81" s="1046">
        <f>S80+(S80*Q81)-(S71*Q81)</f>
        <v>420629.10739249678</v>
      </c>
      <c r="T81" s="156"/>
      <c r="U81" s="109" t="s">
        <v>26</v>
      </c>
      <c r="V81" s="156"/>
      <c r="W81" s="2066">
        <f>C90</f>
        <v>2.5758086673353865E-2</v>
      </c>
      <c r="X81" s="156"/>
      <c r="Y81" s="1046">
        <f>Y80+(Y80*W81)-(Y71*W81)</f>
        <v>487791.85111432971</v>
      </c>
      <c r="Z81" s="1006"/>
      <c r="AA81" s="109" t="s">
        <v>26</v>
      </c>
      <c r="AB81" s="156"/>
      <c r="AC81" s="2064">
        <f>C90</f>
        <v>2.5758086673353865E-2</v>
      </c>
      <c r="AD81" s="156"/>
      <c r="AE81" s="1046">
        <f>AE80+(AE80*AC81)-(AE71*AC81)</f>
        <v>513001.63616220205</v>
      </c>
      <c r="AF81" s="156"/>
      <c r="AG81" s="109" t="s">
        <v>26</v>
      </c>
      <c r="AH81" s="156"/>
      <c r="AI81" s="2064">
        <f>C90</f>
        <v>2.5758086673353865E-2</v>
      </c>
      <c r="AJ81" s="156"/>
      <c r="AK81" s="1046">
        <f>AK80+(AK80*AI81)-(AK71*AI81)</f>
        <v>563421.20625794667</v>
      </c>
      <c r="AL81" s="75"/>
      <c r="AM81" s="76"/>
      <c r="AN81" s="77"/>
      <c r="AO81" s="1031"/>
      <c r="AP81" s="363"/>
      <c r="AQ81" s="75"/>
      <c r="AR81" s="76"/>
      <c r="AS81" s="363"/>
      <c r="AT81" s="363"/>
      <c r="AU81" s="75"/>
      <c r="AV81" s="76"/>
      <c r="AW81" s="363"/>
      <c r="AX81" s="363"/>
      <c r="AY81" s="75"/>
      <c r="LY81" s="984"/>
      <c r="LZ81" s="984"/>
      <c r="MA81" s="984"/>
      <c r="MB81" s="984"/>
      <c r="MC81" s="984"/>
      <c r="MD81" s="984"/>
      <c r="ME81" s="984"/>
      <c r="MF81" s="984"/>
    </row>
    <row r="82" spans="1:344" ht="20.100000000000001" customHeight="1" thickBot="1">
      <c r="A82" s="156"/>
      <c r="B82" s="48" t="s">
        <v>22</v>
      </c>
      <c r="C82" s="1206">
        <f>C36</f>
        <v>2.0190812303224459</v>
      </c>
      <c r="E82" s="89"/>
      <c r="F82" s="89"/>
      <c r="G82" s="1007"/>
      <c r="H82" s="252" t="str">
        <f>H36</f>
        <v>FY20 UFR Transportation</v>
      </c>
      <c r="I82" s="156"/>
      <c r="J82" s="156"/>
      <c r="K82" s="327"/>
      <c r="L82" s="252"/>
      <c r="M82" s="252"/>
      <c r="N82" s="252"/>
      <c r="O82" s="1051" t="s">
        <v>28</v>
      </c>
      <c r="P82" s="1052"/>
      <c r="Q82" s="1052"/>
      <c r="R82" s="1054"/>
      <c r="S82" s="1166">
        <f>S81/S62</f>
        <v>115.24085134041007</v>
      </c>
      <c r="T82" s="156"/>
      <c r="U82" s="1051" t="s">
        <v>28</v>
      </c>
      <c r="V82" s="1052"/>
      <c r="W82" s="1052"/>
      <c r="X82" s="1054"/>
      <c r="Y82" s="1166">
        <f>Y81/Y62</f>
        <v>89.094402030014564</v>
      </c>
      <c r="Z82" s="1006"/>
      <c r="AA82" s="1051" t="s">
        <v>28</v>
      </c>
      <c r="AB82" s="1052"/>
      <c r="AC82" s="1052"/>
      <c r="AD82" s="1054"/>
      <c r="AE82" s="1166">
        <f>AE81/AE62</f>
        <v>70.274196734548227</v>
      </c>
      <c r="AF82" s="156"/>
      <c r="AG82" s="1051" t="s">
        <v>28</v>
      </c>
      <c r="AH82" s="1052"/>
      <c r="AI82" s="1052"/>
      <c r="AJ82" s="1054"/>
      <c r="AK82" s="1166">
        <f>AK81/AK62</f>
        <v>51.453991439081889</v>
      </c>
      <c r="AL82" s="75"/>
      <c r="AM82" s="76"/>
      <c r="AN82" s="77"/>
      <c r="AO82" s="1031"/>
      <c r="AP82" s="363"/>
      <c r="AQ82" s="75"/>
      <c r="AR82" s="76"/>
      <c r="AS82" s="363"/>
      <c r="AT82" s="363"/>
      <c r="AU82" s="75"/>
      <c r="AV82" s="76"/>
      <c r="AW82" s="363"/>
      <c r="AX82" s="363"/>
      <c r="AY82" s="75"/>
      <c r="LY82" s="984"/>
      <c r="LZ82" s="984"/>
      <c r="MA82" s="984"/>
      <c r="MB82" s="984"/>
      <c r="MC82" s="984"/>
      <c r="MD82" s="984"/>
      <c r="ME82" s="984"/>
      <c r="MF82" s="984"/>
    </row>
    <row r="83" spans="1:344">
      <c r="A83" s="156"/>
      <c r="B83" s="48"/>
      <c r="C83" s="89"/>
      <c r="D83" s="364"/>
      <c r="E83" s="89"/>
      <c r="F83" s="89"/>
      <c r="G83" s="1007"/>
      <c r="H83" s="252"/>
      <c r="I83" s="156"/>
      <c r="J83" s="156"/>
      <c r="K83" s="327"/>
      <c r="L83" s="156"/>
      <c r="M83" s="156"/>
      <c r="N83" s="156"/>
      <c r="O83" s="156"/>
      <c r="P83" s="1084"/>
      <c r="Q83" s="156"/>
      <c r="R83" s="156"/>
      <c r="S83" s="571" t="s">
        <v>1450</v>
      </c>
      <c r="T83" s="156"/>
      <c r="U83" s="156" t="s">
        <v>783</v>
      </c>
      <c r="V83" s="1083">
        <v>72.92</v>
      </c>
      <c r="W83" s="156"/>
      <c r="X83" s="1083"/>
      <c r="Y83" s="884">
        <f>Y82-V83</f>
        <v>16.174402030014562</v>
      </c>
      <c r="Z83" s="1083"/>
      <c r="AA83" s="1083" t="s">
        <v>783</v>
      </c>
      <c r="AB83" s="1083">
        <v>57.65</v>
      </c>
      <c r="AC83" s="156"/>
      <c r="AD83" s="1083"/>
      <c r="AE83" s="884">
        <f>AE82-AB83</f>
        <v>12.624196734548228</v>
      </c>
      <c r="AF83" s="1083"/>
      <c r="AG83" s="156" t="s">
        <v>783</v>
      </c>
      <c r="AH83" s="1083">
        <v>42.39</v>
      </c>
      <c r="AI83" s="156"/>
      <c r="AJ83" s="156"/>
      <c r="AK83" s="884">
        <f>AK82-AH83</f>
        <v>9.0639914390818888</v>
      </c>
      <c r="AL83" s="75"/>
      <c r="AM83" s="76"/>
      <c r="AN83" s="77"/>
      <c r="AO83" s="1031"/>
      <c r="AP83" s="363"/>
      <c r="AQ83" s="75"/>
      <c r="AR83" s="76"/>
      <c r="AS83" s="363"/>
      <c r="AT83" s="363"/>
      <c r="AU83" s="75"/>
      <c r="AV83" s="76"/>
      <c r="AW83" s="363"/>
      <c r="AX83" s="363"/>
      <c r="AY83" s="75"/>
      <c r="LW83" s="985"/>
      <c r="LX83" s="985"/>
    </row>
    <row r="84" spans="1:344">
      <c r="A84" s="156"/>
      <c r="B84" s="48"/>
      <c r="C84" s="89"/>
      <c r="D84" s="364"/>
      <c r="E84" s="89"/>
      <c r="F84" s="1049"/>
      <c r="G84" s="1007"/>
      <c r="H84" s="252"/>
      <c r="I84" s="156"/>
      <c r="J84" s="156"/>
      <c r="K84" s="327"/>
      <c r="L84" s="156"/>
      <c r="M84" s="156"/>
      <c r="N84" s="156"/>
      <c r="O84" s="156"/>
      <c r="P84" s="156"/>
      <c r="Q84" s="156"/>
      <c r="R84" s="156"/>
      <c r="S84" s="156"/>
      <c r="T84" s="156"/>
      <c r="W84" s="156"/>
      <c r="Y84" s="1084">
        <f>Y83/V83</f>
        <v>0.22181023080107737</v>
      </c>
      <c r="Z84" s="884"/>
      <c r="AA84" s="884"/>
      <c r="AB84" s="884"/>
      <c r="AC84" s="884"/>
      <c r="AE84" s="1084">
        <f>AE83/AB83</f>
        <v>0.21897999539545929</v>
      </c>
      <c r="AF84" s="884"/>
      <c r="AG84" s="884"/>
      <c r="AH84" s="884"/>
      <c r="AI84" s="156"/>
      <c r="AJ84" s="156"/>
      <c r="AK84" s="1084">
        <f>AK83/AH83</f>
        <v>0.21382381314182328</v>
      </c>
      <c r="AL84" s="75"/>
      <c r="AM84" s="76"/>
      <c r="AN84" s="77"/>
      <c r="AO84" s="1031"/>
      <c r="AP84" s="363"/>
      <c r="AQ84" s="75"/>
      <c r="AR84" s="76"/>
      <c r="AS84" s="363"/>
      <c r="AT84" s="363"/>
      <c r="AU84" s="75"/>
      <c r="AV84" s="76"/>
      <c r="AW84" s="363"/>
      <c r="AX84" s="363"/>
      <c r="AY84" s="75"/>
    </row>
    <row r="85" spans="1:344">
      <c r="A85" s="156"/>
      <c r="B85" s="1047"/>
      <c r="C85" s="1048"/>
      <c r="D85" s="1048"/>
      <c r="E85" s="1048"/>
      <c r="F85" s="339"/>
      <c r="G85" s="1049"/>
      <c r="H85" s="279"/>
      <c r="I85" s="156"/>
      <c r="J85" s="156"/>
      <c r="K85" s="991"/>
      <c r="L85" s="156"/>
      <c r="M85" s="156"/>
      <c r="N85" s="156"/>
      <c r="O85" s="156"/>
      <c r="P85" s="156"/>
      <c r="Q85" s="156"/>
      <c r="R85" s="156"/>
      <c r="S85" s="156"/>
      <c r="T85" s="156"/>
      <c r="U85" s="156"/>
      <c r="V85" s="156"/>
      <c r="W85" s="156"/>
      <c r="X85" s="156"/>
      <c r="Y85" s="156"/>
      <c r="Z85" s="156"/>
      <c r="AA85" s="156"/>
      <c r="AB85" s="156"/>
      <c r="AC85" s="156"/>
      <c r="AD85" s="156"/>
      <c r="AE85" s="156"/>
      <c r="AF85" s="156"/>
      <c r="AG85" s="156"/>
      <c r="AH85" s="156"/>
      <c r="AI85" s="156"/>
      <c r="AJ85" s="156"/>
      <c r="AK85" s="156"/>
      <c r="AL85" s="75"/>
      <c r="AM85" s="76"/>
      <c r="AN85" s="77"/>
      <c r="AO85" s="1031"/>
      <c r="AP85" s="363"/>
      <c r="AQ85" s="75"/>
      <c r="AR85" s="76"/>
      <c r="AS85" s="363"/>
      <c r="AT85" s="363"/>
      <c r="AU85" s="75"/>
      <c r="AV85" s="76"/>
      <c r="AW85" s="363"/>
      <c r="AX85" s="363"/>
      <c r="AY85" s="75"/>
    </row>
    <row r="86" spans="1:344">
      <c r="A86" s="156"/>
      <c r="B86" s="48"/>
      <c r="C86" s="339"/>
      <c r="D86" s="339"/>
      <c r="E86" s="339"/>
      <c r="F86" s="983"/>
      <c r="G86" s="339"/>
      <c r="H86" s="274"/>
      <c r="I86" s="156"/>
      <c r="J86" s="156"/>
      <c r="K86" s="991"/>
      <c r="L86" s="156"/>
      <c r="M86" s="156"/>
      <c r="N86" s="156"/>
      <c r="O86" s="156"/>
      <c r="P86" s="1084"/>
      <c r="Q86" s="156"/>
      <c r="R86" s="156"/>
      <c r="S86" s="156"/>
      <c r="T86" s="156"/>
      <c r="U86" s="156"/>
      <c r="V86" s="156"/>
      <c r="W86" s="156"/>
      <c r="X86" s="156"/>
      <c r="Y86" s="156"/>
      <c r="Z86" s="156"/>
      <c r="AA86" s="156"/>
      <c r="AB86" s="156"/>
      <c r="AC86" s="156"/>
      <c r="AD86" s="156"/>
      <c r="AE86" s="156"/>
      <c r="AF86" s="156"/>
      <c r="AG86" s="156"/>
      <c r="AH86" s="156"/>
      <c r="AI86" s="156"/>
      <c r="AJ86" s="156"/>
      <c r="AK86" s="156"/>
      <c r="AL86" s="75"/>
      <c r="AM86" s="76"/>
      <c r="AN86" s="77"/>
      <c r="AO86" s="1031"/>
      <c r="AP86" s="363"/>
      <c r="AQ86" s="75"/>
      <c r="AR86" s="76"/>
      <c r="AS86" s="363"/>
      <c r="AT86" s="363"/>
      <c r="AU86" s="75"/>
      <c r="AV86" s="76"/>
      <c r="AW86" s="363"/>
      <c r="AX86" s="363"/>
      <c r="AY86" s="75"/>
    </row>
    <row r="87" spans="1:344">
      <c r="A87" s="156"/>
      <c r="B87" s="48" t="s">
        <v>24</v>
      </c>
      <c r="C87" s="983">
        <f>C39</f>
        <v>0.12</v>
      </c>
      <c r="D87" s="983"/>
      <c r="E87" s="983"/>
      <c r="F87" s="983"/>
      <c r="G87" s="983"/>
      <c r="H87" s="2558" t="s">
        <v>1099</v>
      </c>
      <c r="I87" s="2558"/>
      <c r="J87" s="2558"/>
      <c r="K87" s="2559"/>
      <c r="L87" s="156"/>
      <c r="M87" s="156"/>
      <c r="N87" s="156"/>
      <c r="O87" s="156"/>
      <c r="P87" s="156"/>
      <c r="Q87" s="156"/>
      <c r="R87" s="1084"/>
      <c r="S87" s="156"/>
      <c r="T87" s="156"/>
      <c r="U87" s="156"/>
      <c r="V87" s="156"/>
      <c r="W87" s="156"/>
      <c r="X87" s="156"/>
      <c r="Y87" s="156"/>
      <c r="Z87" s="156"/>
      <c r="AA87" s="156"/>
      <c r="AB87" s="156"/>
      <c r="AC87" s="156"/>
      <c r="AD87" s="156"/>
      <c r="AE87" s="156"/>
      <c r="AF87" s="156"/>
      <c r="AG87" s="156"/>
      <c r="AH87" s="156"/>
      <c r="AI87" s="156"/>
      <c r="AJ87" s="156"/>
      <c r="AK87" s="156"/>
      <c r="AL87" s="75"/>
      <c r="AM87" s="76"/>
      <c r="AN87" s="77"/>
      <c r="AO87" s="1031"/>
      <c r="AP87" s="363"/>
      <c r="AQ87" s="75"/>
      <c r="AR87" s="76"/>
      <c r="AS87" s="363"/>
      <c r="AT87" s="363"/>
      <c r="AU87" s="75"/>
      <c r="AV87" s="76"/>
      <c r="AW87" s="363"/>
      <c r="AX87" s="363"/>
      <c r="AY87" s="75"/>
    </row>
    <row r="88" spans="1:344" s="984" customFormat="1">
      <c r="A88" s="156"/>
      <c r="B88" s="1345"/>
      <c r="C88" s="1428"/>
      <c r="D88" s="983"/>
      <c r="E88" s="983"/>
      <c r="F88" s="339"/>
      <c r="G88" s="983"/>
      <c r="H88" s="1650"/>
      <c r="I88" s="857"/>
      <c r="J88" s="857"/>
      <c r="K88" s="858"/>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6"/>
      <c r="AP88" s="363"/>
      <c r="AQ88" s="75"/>
      <c r="AR88" s="76"/>
      <c r="AS88" s="363"/>
      <c r="AT88" s="363"/>
      <c r="AU88" s="75"/>
      <c r="AV88" s="76"/>
      <c r="AW88" s="363"/>
      <c r="AX88" s="363"/>
      <c r="AY88" s="75"/>
    </row>
    <row r="89" spans="1:344" s="984" customFormat="1" ht="13.5" thickBot="1">
      <c r="A89" s="156"/>
      <c r="B89" s="48"/>
      <c r="C89" s="1428"/>
      <c r="D89" s="339"/>
      <c r="E89" s="339"/>
      <c r="F89" s="1064"/>
      <c r="G89" s="339"/>
      <c r="H89" s="339"/>
      <c r="I89" s="274"/>
      <c r="J89" s="274"/>
      <c r="K89" s="275"/>
      <c r="L89" s="156"/>
      <c r="M89" s="156"/>
      <c r="N89" s="156"/>
      <c r="O89" s="156"/>
      <c r="P89" s="156"/>
      <c r="Q89" s="156"/>
      <c r="R89" s="156"/>
      <c r="S89" s="156"/>
      <c r="T89" s="156"/>
      <c r="U89" s="156"/>
      <c r="V89" s="156"/>
      <c r="W89" s="156"/>
      <c r="X89" s="156"/>
      <c r="Y89" s="156"/>
      <c r="Z89" s="156"/>
      <c r="AA89" s="156"/>
      <c r="AB89" s="156"/>
      <c r="AC89" s="156"/>
      <c r="AD89" s="156"/>
      <c r="AE89" s="156"/>
      <c r="AF89" s="156"/>
      <c r="AG89" s="156"/>
      <c r="AH89" s="156"/>
      <c r="AI89" s="156"/>
      <c r="AJ89" s="156"/>
      <c r="AK89" s="156"/>
      <c r="AL89" s="156"/>
      <c r="AM89" s="156"/>
      <c r="AN89" s="156"/>
      <c r="AO89" s="156"/>
      <c r="AP89" s="363"/>
      <c r="AQ89" s="75"/>
      <c r="AR89" s="76"/>
      <c r="AS89" s="363"/>
      <c r="AT89" s="363"/>
      <c r="AU89" s="75"/>
      <c r="AV89" s="76"/>
      <c r="AW89" s="363"/>
      <c r="AX89" s="363"/>
      <c r="AY89" s="75"/>
    </row>
    <row r="90" spans="1:344" s="984" customFormat="1" ht="13.5" thickBot="1">
      <c r="A90" s="156"/>
      <c r="B90" s="2235" t="s">
        <v>37</v>
      </c>
      <c r="C90" s="2236">
        <f>'Fall CAF 2023'!CR28</f>
        <v>2.5758086673353865E-2</v>
      </c>
      <c r="D90" s="1064"/>
      <c r="E90" s="1064"/>
      <c r="F90" s="156"/>
      <c r="G90" s="1064"/>
      <c r="H90" s="1065" t="s">
        <v>893</v>
      </c>
      <c r="I90" s="281"/>
      <c r="J90" s="281"/>
      <c r="K90" s="282"/>
      <c r="L90" s="156"/>
      <c r="M90" s="156"/>
      <c r="N90" s="156"/>
      <c r="O90" s="156"/>
      <c r="P90" s="156"/>
      <c r="Q90" s="156"/>
      <c r="R90" s="156"/>
      <c r="S90" s="156"/>
      <c r="T90" s="156"/>
      <c r="U90" s="156"/>
      <c r="V90" s="156"/>
      <c r="W90" s="156"/>
      <c r="X90" s="156"/>
      <c r="Y90" s="156"/>
      <c r="Z90" s="156"/>
      <c r="AA90" s="156"/>
      <c r="AB90" s="156"/>
      <c r="AC90" s="156"/>
      <c r="AD90" s="156"/>
      <c r="AE90" s="156"/>
      <c r="AF90" s="156"/>
      <c r="AG90" s="156"/>
      <c r="AH90" s="156"/>
      <c r="AI90" s="156"/>
      <c r="AJ90" s="156"/>
      <c r="AK90" s="156"/>
      <c r="AL90" s="156"/>
      <c r="AM90" s="156"/>
      <c r="AN90" s="156"/>
      <c r="AO90" s="156"/>
      <c r="AP90" s="363"/>
      <c r="AQ90" s="75"/>
      <c r="AR90" s="76"/>
      <c r="AS90" s="363"/>
      <c r="AT90" s="363"/>
      <c r="AU90" s="75"/>
      <c r="AV90" s="76"/>
      <c r="AW90" s="363"/>
      <c r="AX90" s="363"/>
      <c r="AY90" s="75"/>
    </row>
    <row r="91" spans="1:344" s="984" customFormat="1">
      <c r="A91" s="156"/>
      <c r="B91" s="1313" t="s">
        <v>1404</v>
      </c>
      <c r="C91" s="1428"/>
      <c r="D91" s="983"/>
      <c r="E91" s="983"/>
      <c r="F91" s="156"/>
      <c r="G91" s="983"/>
      <c r="H91" s="339"/>
      <c r="I91" s="274"/>
      <c r="J91" s="274"/>
      <c r="K91" s="274"/>
      <c r="L91" s="156"/>
      <c r="M91" s="156"/>
      <c r="N91" s="156"/>
      <c r="O91" s="156"/>
      <c r="P91" s="156"/>
      <c r="Q91" s="156"/>
      <c r="R91" s="156"/>
      <c r="S91" s="156"/>
      <c r="T91" s="156"/>
      <c r="U91" s="156"/>
      <c r="V91" s="156"/>
      <c r="W91" s="156"/>
      <c r="X91" s="156"/>
      <c r="Y91" s="156"/>
      <c r="Z91" s="156"/>
      <c r="AA91" s="156"/>
      <c r="AB91" s="156"/>
      <c r="AC91" s="156"/>
      <c r="AD91" s="156"/>
      <c r="AE91" s="156"/>
      <c r="AF91" s="156"/>
      <c r="AG91" s="156"/>
      <c r="AH91" s="156"/>
      <c r="AI91" s="156"/>
      <c r="AJ91" s="156"/>
      <c r="AK91" s="156"/>
      <c r="AL91" s="156"/>
      <c r="AM91" s="156"/>
      <c r="AN91" s="156"/>
      <c r="AO91" s="156"/>
      <c r="AP91" s="363"/>
      <c r="AQ91" s="75"/>
      <c r="AR91" s="76"/>
      <c r="AS91" s="363"/>
      <c r="AT91" s="363"/>
      <c r="AU91" s="75"/>
      <c r="AV91" s="76"/>
      <c r="AW91" s="363"/>
      <c r="AX91" s="363"/>
      <c r="AY91" s="75"/>
    </row>
    <row r="92" spans="1:344" s="984" customFormat="1">
      <c r="A92" s="156"/>
      <c r="B92" s="1313"/>
      <c r="C92" s="1428"/>
      <c r="D92" s="983"/>
      <c r="E92" s="983"/>
      <c r="F92" s="156"/>
      <c r="G92" s="983"/>
      <c r="H92" s="339"/>
      <c r="I92" s="274"/>
      <c r="J92" s="274"/>
      <c r="K92" s="274"/>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56"/>
      <c r="AJ92" s="156"/>
      <c r="AK92" s="156"/>
      <c r="AL92" s="156"/>
      <c r="AM92" s="156"/>
      <c r="AN92" s="156"/>
      <c r="AO92" s="156"/>
      <c r="AP92" s="363"/>
      <c r="AQ92" s="75"/>
      <c r="AR92" s="76"/>
      <c r="AS92" s="363"/>
      <c r="AT92" s="363"/>
      <c r="AU92" s="75"/>
      <c r="AV92" s="76"/>
      <c r="AW92" s="363"/>
      <c r="AX92" s="363"/>
      <c r="AY92" s="75"/>
    </row>
    <row r="93" spans="1:344" s="984" customFormat="1">
      <c r="A93" s="156"/>
      <c r="B93" s="1313"/>
      <c r="C93" s="1428"/>
      <c r="D93" s="983"/>
      <c r="E93" s="983"/>
      <c r="F93" s="156"/>
      <c r="G93" s="983"/>
      <c r="H93" s="339"/>
      <c r="I93" s="274"/>
      <c r="J93" s="274"/>
      <c r="K93" s="274"/>
      <c r="L93" s="156"/>
      <c r="M93" s="156"/>
      <c r="N93" s="156"/>
      <c r="O93" s="156"/>
      <c r="P93" s="156"/>
      <c r="Q93" s="156"/>
      <c r="R93" s="156"/>
      <c r="S93" s="156"/>
      <c r="T93" s="156"/>
      <c r="U93" s="156"/>
      <c r="V93" s="156"/>
      <c r="W93" s="156"/>
      <c r="X93" s="156"/>
      <c r="Y93" s="156"/>
      <c r="Z93" s="156"/>
      <c r="AA93" s="156"/>
      <c r="AB93" s="156"/>
      <c r="AC93" s="156"/>
      <c r="AD93" s="156"/>
      <c r="AE93" s="156"/>
      <c r="AF93" s="156"/>
      <c r="AG93" s="156"/>
      <c r="AH93" s="156"/>
      <c r="AI93" s="156"/>
      <c r="AJ93" s="156"/>
      <c r="AK93" s="156"/>
      <c r="AL93" s="156"/>
      <c r="AM93" s="156"/>
      <c r="AN93" s="156"/>
      <c r="AO93" s="156"/>
      <c r="AP93" s="363"/>
      <c r="AQ93" s="75"/>
      <c r="AR93" s="76"/>
      <c r="AS93" s="363"/>
      <c r="AT93" s="363"/>
      <c r="AU93" s="75"/>
      <c r="AV93" s="76"/>
      <c r="AW93" s="363"/>
      <c r="AX93" s="363"/>
      <c r="AY93" s="75"/>
    </row>
    <row r="94" spans="1:344" s="984" customFormat="1">
      <c r="A94" s="156"/>
      <c r="B94" s="156"/>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363"/>
      <c r="AQ94" s="75"/>
      <c r="AR94" s="76"/>
      <c r="AS94" s="363"/>
      <c r="AT94" s="363"/>
      <c r="AU94" s="75"/>
      <c r="AV94" s="76"/>
      <c r="AW94" s="363"/>
      <c r="AX94" s="363"/>
      <c r="AY94" s="75"/>
    </row>
    <row r="95" spans="1:344" s="984" customFormat="1">
      <c r="A95" s="156"/>
      <c r="B95" s="1067" t="s">
        <v>568</v>
      </c>
      <c r="C95" s="156"/>
      <c r="D95" s="156"/>
      <c r="E95" s="156"/>
      <c r="F95" s="1068"/>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H95" s="156"/>
      <c r="AI95" s="156"/>
      <c r="AJ95" s="156"/>
      <c r="AK95" s="156"/>
      <c r="AL95" s="156"/>
      <c r="AM95" s="156"/>
      <c r="AN95" s="156"/>
      <c r="AO95" s="156"/>
      <c r="AP95" s="363"/>
      <c r="AQ95" s="75"/>
      <c r="AR95" s="76"/>
      <c r="AS95" s="363"/>
      <c r="AT95" s="363"/>
      <c r="AU95" s="75"/>
      <c r="AV95" s="76"/>
      <c r="AW95" s="363"/>
      <c r="AX95" s="363"/>
      <c r="AY95" s="75"/>
    </row>
    <row r="96" spans="1:344" s="984" customFormat="1">
      <c r="A96" s="156"/>
      <c r="B96" s="334" t="s">
        <v>401</v>
      </c>
      <c r="C96" s="1068" t="s">
        <v>400</v>
      </c>
      <c r="D96" s="1068" t="s">
        <v>394</v>
      </c>
      <c r="E96" s="1068" t="s">
        <v>395</v>
      </c>
      <c r="F96" s="1070"/>
      <c r="G96" s="1068" t="s">
        <v>396</v>
      </c>
      <c r="H96" s="1068" t="s">
        <v>397</v>
      </c>
      <c r="I96" s="1068" t="s">
        <v>398</v>
      </c>
      <c r="J96" s="1068" t="s">
        <v>399</v>
      </c>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363"/>
      <c r="AQ96" s="75"/>
      <c r="AR96" s="76"/>
      <c r="AS96" s="363"/>
      <c r="AT96" s="363"/>
      <c r="AU96" s="75"/>
      <c r="AV96" s="76"/>
      <c r="AW96" s="363"/>
      <c r="AX96" s="363"/>
      <c r="AY96" s="75"/>
    </row>
    <row r="97" spans="1:51" s="984" customFormat="1">
      <c r="A97" s="156"/>
      <c r="B97" s="1069" t="s">
        <v>391</v>
      </c>
      <c r="C97" s="1070">
        <v>8</v>
      </c>
      <c r="D97" s="1070">
        <v>8</v>
      </c>
      <c r="E97" s="1070">
        <v>8</v>
      </c>
      <c r="F97" s="1070"/>
      <c r="G97" s="1070">
        <v>8</v>
      </c>
      <c r="H97" s="1070">
        <v>8</v>
      </c>
      <c r="I97" s="1070">
        <v>8</v>
      </c>
      <c r="J97" s="1070">
        <v>8</v>
      </c>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H97" s="156"/>
      <c r="AI97" s="156"/>
      <c r="AJ97" s="156"/>
      <c r="AK97" s="156"/>
      <c r="AL97" s="156"/>
      <c r="AM97" s="156"/>
      <c r="AN97" s="156"/>
      <c r="AO97" s="156"/>
      <c r="AP97" s="363"/>
      <c r="AQ97" s="75"/>
      <c r="AR97" s="76"/>
      <c r="AS97" s="363"/>
      <c r="AT97" s="363"/>
      <c r="AU97" s="75"/>
      <c r="AV97" s="76"/>
      <c r="AW97" s="363"/>
      <c r="AX97" s="363"/>
      <c r="AY97" s="75"/>
    </row>
    <row r="98" spans="1:51" s="984" customFormat="1">
      <c r="A98" s="156"/>
      <c r="B98" s="1069" t="s">
        <v>392</v>
      </c>
      <c r="C98" s="1070">
        <v>8</v>
      </c>
      <c r="D98" s="1070">
        <v>8</v>
      </c>
      <c r="E98" s="1070">
        <v>8</v>
      </c>
      <c r="F98" s="1070"/>
      <c r="G98" s="1070">
        <v>8</v>
      </c>
      <c r="H98" s="1070">
        <v>8</v>
      </c>
      <c r="I98" s="1070">
        <v>8</v>
      </c>
      <c r="J98" s="1070">
        <v>8</v>
      </c>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H98" s="156"/>
      <c r="AI98" s="156"/>
      <c r="AJ98" s="156"/>
      <c r="AK98" s="156"/>
      <c r="AL98" s="156"/>
      <c r="AM98" s="156"/>
      <c r="AN98" s="156"/>
      <c r="AO98" s="156"/>
      <c r="AP98" s="363"/>
      <c r="AQ98" s="75"/>
      <c r="AR98" s="76"/>
      <c r="AS98" s="363"/>
      <c r="AT98" s="363"/>
      <c r="AU98" s="75"/>
      <c r="AV98" s="76"/>
      <c r="AW98" s="363"/>
      <c r="AX98" s="363"/>
      <c r="AY98" s="75"/>
    </row>
    <row r="99" spans="1:51" s="984" customFormat="1">
      <c r="A99" s="156"/>
      <c r="B99" s="1069" t="s">
        <v>393</v>
      </c>
      <c r="C99" s="1070">
        <v>8</v>
      </c>
      <c r="D99" s="1070">
        <v>8</v>
      </c>
      <c r="E99" s="1070">
        <v>8</v>
      </c>
      <c r="F99" s="1071"/>
      <c r="G99" s="1070">
        <v>8</v>
      </c>
      <c r="H99" s="1070">
        <v>8</v>
      </c>
      <c r="I99" s="1070">
        <v>8</v>
      </c>
      <c r="J99" s="1070">
        <v>8</v>
      </c>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H99" s="156"/>
      <c r="AI99" s="156"/>
      <c r="AJ99" s="156"/>
      <c r="AK99" s="156"/>
      <c r="AL99" s="156"/>
      <c r="AM99" s="156"/>
      <c r="AN99" s="156"/>
      <c r="AO99" s="156"/>
      <c r="AP99" s="363"/>
      <c r="AQ99" s="75"/>
      <c r="AR99" s="76"/>
      <c r="AS99" s="363"/>
      <c r="AT99" s="363"/>
      <c r="AU99" s="75"/>
      <c r="AV99" s="76"/>
      <c r="AW99" s="363"/>
      <c r="AX99" s="363"/>
      <c r="AY99" s="75"/>
    </row>
    <row r="100" spans="1:51" s="984" customFormat="1">
      <c r="A100" s="156"/>
      <c r="B100" s="1069" t="str">
        <f>"Total"&amp;" = "&amp;(SUM(C99:J99))</f>
        <v>Total = 56</v>
      </c>
      <c r="C100" s="1071">
        <f>SUM(C97:C99)</f>
        <v>24</v>
      </c>
      <c r="D100" s="1071">
        <f t="shared" ref="D100:J100" si="3">SUM(D97:D99)</f>
        <v>24</v>
      </c>
      <c r="E100" s="1071">
        <f t="shared" si="3"/>
        <v>24</v>
      </c>
      <c r="F100" s="39"/>
      <c r="G100" s="1071">
        <f t="shared" si="3"/>
        <v>24</v>
      </c>
      <c r="H100" s="1071">
        <f t="shared" si="3"/>
        <v>24</v>
      </c>
      <c r="I100" s="1071">
        <f t="shared" si="3"/>
        <v>24</v>
      </c>
      <c r="J100" s="1071">
        <f t="shared" si="3"/>
        <v>24</v>
      </c>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H100" s="156"/>
      <c r="AI100" s="156"/>
      <c r="AJ100" s="156"/>
      <c r="AK100" s="156"/>
      <c r="AL100" s="156"/>
      <c r="AM100" s="156"/>
      <c r="AN100" s="156"/>
      <c r="AO100" s="156"/>
      <c r="AP100" s="363"/>
      <c r="AQ100" s="75"/>
      <c r="AR100" s="76"/>
      <c r="AS100" s="363"/>
      <c r="AT100" s="363"/>
      <c r="AU100" s="75"/>
      <c r="AV100" s="76"/>
      <c r="AW100" s="363"/>
      <c r="AX100" s="363"/>
      <c r="AY100" s="75"/>
    </row>
    <row r="101" spans="1:51" s="984" customFormat="1">
      <c r="A101" s="156"/>
      <c r="B101" s="156"/>
      <c r="C101" s="156"/>
      <c r="D101" s="39"/>
      <c r="E101" s="39"/>
      <c r="F101" s="156"/>
      <c r="G101" s="39"/>
      <c r="H101" s="39"/>
      <c r="I101" s="39"/>
      <c r="J101" s="39"/>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H101" s="156"/>
      <c r="AI101" s="156"/>
      <c r="AJ101" s="156"/>
      <c r="AK101" s="156"/>
      <c r="AL101" s="156"/>
      <c r="AM101" s="156"/>
      <c r="AN101" s="156"/>
      <c r="AO101" s="156"/>
      <c r="AP101" s="363"/>
      <c r="AQ101" s="75"/>
      <c r="AR101" s="76"/>
      <c r="AS101" s="363"/>
      <c r="AT101" s="363"/>
      <c r="AU101" s="75"/>
      <c r="AV101" s="76"/>
      <c r="AW101" s="363"/>
      <c r="AX101" s="363"/>
      <c r="AY101" s="75"/>
    </row>
    <row r="102" spans="1:51" s="984" customFormat="1">
      <c r="A102" s="156"/>
      <c r="B102" s="985"/>
      <c r="C102" s="985"/>
      <c r="D102" s="1400"/>
      <c r="E102" s="1400"/>
      <c r="F102" s="985"/>
      <c r="G102" s="1400"/>
      <c r="H102" s="1400"/>
      <c r="I102" s="1400"/>
      <c r="J102" s="39"/>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H102" s="156"/>
      <c r="AI102" s="156"/>
      <c r="AJ102" s="156"/>
      <c r="AK102" s="156"/>
      <c r="AL102" s="156"/>
      <c r="AM102" s="156"/>
      <c r="AN102" s="156"/>
      <c r="AO102" s="156"/>
      <c r="AP102" s="363"/>
      <c r="AQ102" s="75"/>
      <c r="AR102" s="76"/>
      <c r="AS102" s="363"/>
      <c r="AT102" s="363"/>
      <c r="AU102" s="75"/>
      <c r="AV102" s="76"/>
      <c r="AW102" s="363"/>
      <c r="AX102" s="363"/>
      <c r="AY102" s="75"/>
    </row>
    <row r="103" spans="1:51" s="984" customFormat="1">
      <c r="A103" s="156"/>
      <c r="B103" s="985"/>
      <c r="C103" s="985"/>
      <c r="D103" s="1400"/>
      <c r="E103" s="1400"/>
      <c r="F103" s="985"/>
      <c r="G103" s="1400"/>
      <c r="H103" s="1400"/>
      <c r="I103" s="1400"/>
      <c r="J103" s="39"/>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H103" s="156"/>
      <c r="AI103" s="156"/>
      <c r="AJ103" s="156"/>
      <c r="AK103" s="156"/>
      <c r="AL103" s="156"/>
      <c r="AM103" s="156"/>
      <c r="AN103" s="156"/>
      <c r="AO103" s="156"/>
      <c r="AP103" s="363"/>
      <c r="AQ103" s="75"/>
      <c r="AR103" s="76"/>
      <c r="AS103" s="363"/>
      <c r="AT103" s="363"/>
      <c r="AU103" s="75"/>
      <c r="AV103" s="76"/>
      <c r="AW103" s="363"/>
      <c r="AX103" s="363"/>
      <c r="AY103" s="75"/>
    </row>
    <row r="104" spans="1:51" s="984" customFormat="1" ht="15">
      <c r="A104" s="156"/>
      <c r="B104" s="2401"/>
      <c r="C104" s="985"/>
      <c r="D104" s="1400"/>
      <c r="E104" s="1400"/>
      <c r="F104" s="985"/>
      <c r="G104" s="1400"/>
      <c r="H104" s="1400"/>
      <c r="I104" s="1400"/>
      <c r="J104" s="39"/>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H104" s="156"/>
      <c r="AI104" s="156"/>
      <c r="AJ104" s="156"/>
      <c r="AK104" s="156"/>
      <c r="AL104" s="156"/>
      <c r="AM104" s="156"/>
      <c r="AN104" s="156"/>
      <c r="AO104" s="156"/>
      <c r="AP104" s="363"/>
      <c r="AQ104" s="75"/>
      <c r="AR104" s="76"/>
      <c r="AS104" s="363"/>
      <c r="AT104" s="363"/>
      <c r="AU104" s="75"/>
      <c r="AV104" s="76"/>
      <c r="AW104" s="363"/>
      <c r="AX104" s="363"/>
      <c r="AY104" s="75"/>
    </row>
    <row r="105" spans="1:51" s="984" customFormat="1" ht="15">
      <c r="A105" s="156"/>
      <c r="B105" s="2402"/>
      <c r="C105" s="985"/>
      <c r="D105" s="1400"/>
      <c r="E105" s="1400"/>
      <c r="F105" s="985"/>
      <c r="G105" s="1400"/>
      <c r="H105" s="1400"/>
      <c r="I105" s="1400"/>
      <c r="J105" s="39"/>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363"/>
      <c r="AQ105" s="75"/>
      <c r="AR105" s="76"/>
      <c r="AS105" s="363"/>
      <c r="AT105" s="363"/>
      <c r="AU105" s="75"/>
      <c r="AV105" s="76"/>
      <c r="AW105" s="363"/>
      <c r="AX105" s="363"/>
      <c r="AY105" s="75"/>
    </row>
    <row r="106" spans="1:51" s="984" customFormat="1" ht="15">
      <c r="A106" s="156"/>
      <c r="B106" s="2402"/>
      <c r="C106" s="985"/>
      <c r="D106" s="1400"/>
      <c r="E106" s="1400"/>
      <c r="F106" s="985"/>
      <c r="G106" s="1400"/>
      <c r="H106" s="1400"/>
      <c r="I106" s="1400"/>
      <c r="J106" s="39"/>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H106" s="156"/>
      <c r="AI106" s="156"/>
      <c r="AJ106" s="156"/>
      <c r="AK106" s="156"/>
      <c r="AL106" s="156"/>
      <c r="AM106" s="156"/>
      <c r="AN106" s="156"/>
      <c r="AO106" s="156"/>
      <c r="AP106" s="363"/>
      <c r="AQ106" s="75"/>
      <c r="AR106" s="76"/>
      <c r="AS106" s="363"/>
      <c r="AT106" s="363"/>
      <c r="AU106" s="75"/>
      <c r="AV106" s="76"/>
      <c r="AW106" s="363"/>
      <c r="AX106" s="363"/>
      <c r="AY106" s="75"/>
    </row>
    <row r="107" spans="1:51" s="984" customFormat="1" ht="15">
      <c r="A107" s="156"/>
      <c r="B107" s="2402"/>
      <c r="C107" s="985"/>
      <c r="D107" s="1400"/>
      <c r="E107" s="1400"/>
      <c r="F107" s="985"/>
      <c r="G107" s="1400"/>
      <c r="H107" s="1400"/>
      <c r="I107" s="1400"/>
      <c r="J107" s="39"/>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H107" s="156"/>
      <c r="AI107" s="156"/>
      <c r="AJ107" s="156"/>
      <c r="AK107" s="156"/>
      <c r="AL107" s="156"/>
      <c r="AM107" s="156"/>
      <c r="AN107" s="156"/>
      <c r="AO107" s="156"/>
      <c r="AP107" s="363"/>
      <c r="AQ107" s="75"/>
      <c r="AR107" s="76"/>
      <c r="AS107" s="363"/>
      <c r="AT107" s="363"/>
      <c r="AU107" s="75"/>
      <c r="AV107" s="76"/>
      <c r="AW107" s="363"/>
      <c r="AX107" s="363"/>
      <c r="AY107" s="75"/>
    </row>
    <row r="108" spans="1:51" s="984" customFormat="1">
      <c r="A108" s="156"/>
      <c r="B108" s="985"/>
      <c r="C108" s="985"/>
      <c r="D108" s="1400"/>
      <c r="E108" s="1400"/>
      <c r="F108" s="985"/>
      <c r="G108" s="1400"/>
      <c r="H108" s="1400"/>
      <c r="I108" s="1400"/>
      <c r="J108" s="39"/>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H108" s="156"/>
      <c r="AI108" s="156"/>
      <c r="AJ108" s="156"/>
      <c r="AK108" s="156"/>
      <c r="AL108" s="156"/>
      <c r="AM108" s="156"/>
      <c r="AN108" s="156"/>
      <c r="AO108" s="156"/>
      <c r="AP108" s="363"/>
      <c r="AQ108" s="75"/>
      <c r="AR108" s="76"/>
      <c r="AS108" s="363"/>
      <c r="AT108" s="363"/>
      <c r="AU108" s="75"/>
      <c r="AV108" s="76"/>
      <c r="AW108" s="363"/>
      <c r="AX108" s="363"/>
      <c r="AY108" s="75"/>
    </row>
    <row r="109" spans="1:51" s="984" customFormat="1">
      <c r="A109" s="156"/>
      <c r="B109" s="985"/>
      <c r="C109" s="985"/>
      <c r="D109" s="1400"/>
      <c r="E109" s="1400"/>
      <c r="F109" s="985"/>
      <c r="G109" s="1400"/>
      <c r="H109" s="1400"/>
      <c r="I109" s="1400"/>
      <c r="J109" s="39"/>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H109" s="156"/>
      <c r="AI109" s="156"/>
      <c r="AJ109" s="156"/>
      <c r="AK109" s="156"/>
      <c r="AL109" s="156"/>
      <c r="AM109" s="156"/>
      <c r="AN109" s="156"/>
      <c r="AO109" s="156"/>
      <c r="AP109" s="363"/>
      <c r="AQ109" s="75"/>
      <c r="AR109" s="76"/>
      <c r="AS109" s="363"/>
      <c r="AT109" s="363"/>
      <c r="AU109" s="75"/>
      <c r="AV109" s="76"/>
      <c r="AW109" s="363"/>
      <c r="AX109" s="363"/>
      <c r="AY109" s="75"/>
    </row>
    <row r="110" spans="1:51" s="984" customFormat="1">
      <c r="A110" s="156"/>
      <c r="B110" s="985"/>
      <c r="C110" s="985"/>
      <c r="D110" s="1400"/>
      <c r="E110" s="1400"/>
      <c r="F110" s="985"/>
      <c r="G110" s="1400"/>
      <c r="H110" s="1400"/>
      <c r="I110" s="1400"/>
      <c r="J110" s="39"/>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H110" s="156"/>
      <c r="AI110" s="156"/>
      <c r="AJ110" s="156"/>
      <c r="AK110" s="156"/>
      <c r="AL110" s="156"/>
      <c r="AM110" s="156"/>
      <c r="AN110" s="156"/>
      <c r="AO110" s="156"/>
      <c r="AP110" s="363"/>
      <c r="AQ110" s="75"/>
      <c r="AR110" s="76"/>
      <c r="AS110" s="363"/>
      <c r="AT110" s="363"/>
      <c r="AU110" s="75"/>
      <c r="AV110" s="76"/>
      <c r="AW110" s="363"/>
      <c r="AX110" s="363"/>
      <c r="AY110" s="75"/>
    </row>
    <row r="111" spans="1:51" s="984" customFormat="1">
      <c r="A111" s="156"/>
      <c r="B111" s="985"/>
      <c r="C111" s="985"/>
      <c r="D111" s="1400"/>
      <c r="E111" s="1400"/>
      <c r="F111" s="985"/>
      <c r="G111" s="1400"/>
      <c r="H111" s="1400"/>
      <c r="I111" s="1400"/>
      <c r="J111" s="39"/>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H111" s="156"/>
      <c r="AI111" s="156"/>
      <c r="AJ111" s="156"/>
      <c r="AK111" s="156"/>
      <c r="AL111" s="156"/>
      <c r="AM111" s="156"/>
      <c r="AN111" s="156"/>
      <c r="AO111" s="156"/>
      <c r="AP111" s="363"/>
      <c r="AQ111" s="75"/>
      <c r="AR111" s="76"/>
      <c r="AS111" s="363"/>
      <c r="AT111" s="363"/>
      <c r="AU111" s="75"/>
      <c r="AV111" s="76"/>
      <c r="AW111" s="363"/>
      <c r="AX111" s="363"/>
      <c r="AY111" s="75"/>
    </row>
    <row r="112" spans="1:51" s="984" customFormat="1">
      <c r="A112" s="156"/>
      <c r="B112" s="985"/>
      <c r="C112" s="985"/>
      <c r="D112" s="1400"/>
      <c r="E112" s="1400"/>
      <c r="F112" s="985"/>
      <c r="G112" s="1400"/>
      <c r="H112" s="1400"/>
      <c r="I112" s="1400"/>
      <c r="J112" s="39"/>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H112" s="156"/>
      <c r="AI112" s="156"/>
      <c r="AJ112" s="156"/>
      <c r="AK112" s="156"/>
      <c r="AL112" s="156"/>
      <c r="AM112" s="156"/>
      <c r="AN112" s="156"/>
      <c r="AO112" s="156"/>
      <c r="AP112" s="363"/>
      <c r="AQ112" s="75"/>
      <c r="AR112" s="76"/>
      <c r="AS112" s="363"/>
      <c r="AT112" s="363"/>
      <c r="AU112" s="75"/>
      <c r="AV112" s="76"/>
      <c r="AW112" s="363"/>
      <c r="AX112" s="363"/>
      <c r="AY112" s="75"/>
    </row>
    <row r="113" spans="1:51" s="984" customFormat="1">
      <c r="A113" s="156"/>
      <c r="B113" s="985"/>
      <c r="C113" s="985"/>
      <c r="D113" s="985"/>
      <c r="E113" s="985"/>
      <c r="F113" s="985"/>
      <c r="G113" s="985"/>
      <c r="H113" s="985"/>
      <c r="I113" s="985"/>
      <c r="J113" s="156"/>
      <c r="K113" s="156"/>
      <c r="L113" s="156"/>
      <c r="M113" s="156"/>
      <c r="N113" s="156"/>
      <c r="O113" s="156"/>
      <c r="P113" s="156"/>
      <c r="Q113" s="156"/>
      <c r="R113" s="156"/>
      <c r="S113" s="156"/>
      <c r="T113" s="156"/>
      <c r="U113" s="156"/>
      <c r="V113" s="156"/>
      <c r="W113" s="156"/>
      <c r="X113" s="156"/>
      <c r="Y113" s="156"/>
      <c r="Z113" s="156"/>
      <c r="AA113" s="156"/>
      <c r="AB113" s="156"/>
      <c r="AC113" s="156"/>
      <c r="AD113" s="156"/>
      <c r="AE113" s="156"/>
      <c r="AF113" s="156"/>
      <c r="AG113" s="156"/>
      <c r="AH113" s="156"/>
      <c r="AI113" s="156"/>
      <c r="AJ113" s="156"/>
      <c r="AK113" s="156"/>
      <c r="AL113" s="156"/>
      <c r="AM113" s="156"/>
      <c r="AN113" s="156"/>
      <c r="AO113" s="156"/>
      <c r="AP113" s="363"/>
      <c r="AQ113" s="75"/>
      <c r="AR113" s="76"/>
      <c r="AS113" s="363"/>
      <c r="AT113" s="363"/>
      <c r="AU113" s="75"/>
      <c r="AV113" s="76"/>
      <c r="AW113" s="363"/>
      <c r="AX113" s="363"/>
      <c r="AY113" s="75"/>
    </row>
    <row r="114" spans="1:51" s="984" customFormat="1" ht="15">
      <c r="A114" s="156"/>
      <c r="B114" s="985"/>
      <c r="C114" s="985"/>
      <c r="D114" s="985"/>
      <c r="E114" s="985"/>
      <c r="F114" s="2248"/>
      <c r="G114" s="985"/>
      <c r="H114" s="985"/>
      <c r="I114" s="985"/>
      <c r="J114" s="156"/>
      <c r="K114" s="156"/>
      <c r="L114" s="156"/>
      <c r="M114" s="156"/>
      <c r="N114" s="156"/>
      <c r="O114" s="156"/>
      <c r="P114" s="156"/>
      <c r="Q114" s="156"/>
      <c r="R114" s="156"/>
      <c r="S114" s="156"/>
      <c r="T114" s="156"/>
      <c r="U114" s="156"/>
      <c r="V114" s="156"/>
      <c r="W114" s="156"/>
      <c r="X114" s="156"/>
      <c r="Y114" s="156"/>
      <c r="Z114" s="156"/>
      <c r="AA114" s="156"/>
      <c r="AB114" s="156"/>
      <c r="AC114" s="156"/>
      <c r="AD114" s="156"/>
      <c r="AE114" s="156"/>
      <c r="AF114" s="156"/>
      <c r="AG114" s="156"/>
      <c r="AH114" s="156"/>
      <c r="AI114" s="156"/>
      <c r="AJ114" s="156"/>
      <c r="AK114" s="156"/>
      <c r="AL114" s="156"/>
      <c r="AM114" s="156"/>
      <c r="AN114" s="156"/>
      <c r="AO114" s="156"/>
      <c r="AP114" s="363"/>
      <c r="AQ114" s="75"/>
      <c r="AR114" s="76"/>
      <c r="AS114" s="363"/>
      <c r="AT114" s="363"/>
      <c r="AU114" s="75"/>
      <c r="AV114" s="76"/>
      <c r="AW114" s="363"/>
      <c r="AX114" s="363"/>
      <c r="AY114" s="75"/>
    </row>
    <row r="115" spans="1:51" s="984" customFormat="1" ht="21.75" hidden="1" thickBot="1">
      <c r="A115" s="156"/>
      <c r="B115" s="2399" t="s">
        <v>1158</v>
      </c>
      <c r="C115" s="2400"/>
      <c r="D115" s="2400"/>
      <c r="E115" s="2400"/>
      <c r="F115" s="2139"/>
      <c r="G115" s="2144"/>
      <c r="H115" s="2144"/>
      <c r="I115" s="2144"/>
      <c r="J115" s="2141"/>
      <c r="K115" s="156"/>
      <c r="L115" s="156"/>
      <c r="M115" s="156"/>
      <c r="N115" s="156"/>
      <c r="O115" s="156"/>
      <c r="P115" s="156"/>
      <c r="Q115" s="156"/>
      <c r="R115" s="156"/>
      <c r="S115" s="156"/>
      <c r="T115" s="156"/>
      <c r="U115" s="156"/>
      <c r="V115" s="156"/>
      <c r="W115" s="156"/>
      <c r="X115" s="156"/>
      <c r="Y115" s="156"/>
      <c r="Z115" s="156"/>
      <c r="AA115" s="156"/>
      <c r="AB115" s="156"/>
      <c r="AC115" s="156"/>
      <c r="AD115" s="156"/>
      <c r="AE115" s="156"/>
      <c r="AF115" s="156"/>
      <c r="AG115" s="156"/>
      <c r="AH115" s="156"/>
      <c r="AI115" s="156"/>
      <c r="AJ115" s="156"/>
      <c r="AK115" s="156"/>
      <c r="AL115" s="156"/>
      <c r="AM115" s="156"/>
      <c r="AN115" s="156"/>
      <c r="AO115" s="156"/>
      <c r="AP115" s="363"/>
      <c r="AQ115" s="75"/>
      <c r="AR115" s="76"/>
      <c r="AS115" s="363"/>
      <c r="AT115" s="363"/>
      <c r="AU115" s="75"/>
      <c r="AV115" s="76"/>
      <c r="AW115" s="363"/>
      <c r="AX115" s="363"/>
      <c r="AY115" s="75"/>
    </row>
    <row r="116" spans="1:51" s="984" customFormat="1" ht="21" hidden="1">
      <c r="A116" s="156"/>
      <c r="B116" s="2142" t="s">
        <v>1159</v>
      </c>
      <c r="C116" s="2139"/>
      <c r="D116" s="2139"/>
      <c r="E116" s="2139"/>
      <c r="F116" s="2139"/>
      <c r="G116" s="2139"/>
      <c r="H116" s="2139"/>
      <c r="I116" s="2139"/>
      <c r="J116" s="2143"/>
      <c r="K116" s="156"/>
      <c r="L116" s="156"/>
      <c r="M116" s="156"/>
      <c r="N116" s="156"/>
      <c r="O116" s="156"/>
      <c r="P116" s="156"/>
      <c r="Q116" s="156"/>
      <c r="R116" s="156"/>
      <c r="S116" s="156"/>
      <c r="T116" s="156"/>
      <c r="U116" s="156"/>
      <c r="V116" s="156"/>
      <c r="W116" s="156"/>
      <c r="X116" s="156"/>
      <c r="Y116" s="156"/>
      <c r="Z116" s="156"/>
      <c r="AA116" s="156"/>
      <c r="AB116" s="156"/>
      <c r="AC116" s="156"/>
      <c r="AD116" s="156"/>
      <c r="AE116" s="156"/>
      <c r="AF116" s="156"/>
      <c r="AG116" s="156"/>
      <c r="AH116" s="156"/>
      <c r="AI116" s="156"/>
      <c r="AJ116" s="156"/>
      <c r="AK116" s="156"/>
      <c r="AL116" s="156"/>
      <c r="AM116" s="156"/>
      <c r="AN116" s="156"/>
      <c r="AO116" s="156"/>
      <c r="AP116" s="363"/>
      <c r="AQ116" s="75"/>
      <c r="AR116" s="76"/>
      <c r="AS116" s="363"/>
      <c r="AT116" s="363"/>
      <c r="AU116" s="75"/>
      <c r="AV116" s="76"/>
      <c r="AW116" s="363"/>
      <c r="AX116" s="363"/>
      <c r="AY116" s="75"/>
    </row>
    <row r="117" spans="1:51" s="984" customFormat="1" ht="21" hidden="1">
      <c r="A117" s="156"/>
      <c r="B117" s="2142" t="s">
        <v>1258</v>
      </c>
      <c r="C117" s="2139"/>
      <c r="D117" s="2139"/>
      <c r="E117" s="2139"/>
      <c r="F117" s="2139"/>
      <c r="G117" s="2139"/>
      <c r="H117" s="2139"/>
      <c r="I117" s="2139"/>
      <c r="J117" s="2143"/>
      <c r="K117" s="156"/>
      <c r="L117" s="156"/>
      <c r="M117" s="156"/>
      <c r="N117" s="156"/>
      <c r="O117" s="156"/>
      <c r="P117" s="156"/>
      <c r="Q117" s="156"/>
      <c r="R117" s="156"/>
      <c r="S117" s="156"/>
      <c r="T117" s="156"/>
      <c r="U117" s="156"/>
      <c r="V117" s="156"/>
      <c r="W117" s="156"/>
      <c r="X117" s="156"/>
      <c r="Y117" s="156"/>
      <c r="Z117" s="156"/>
      <c r="AA117" s="156"/>
      <c r="AB117" s="156"/>
      <c r="AC117" s="156"/>
      <c r="AD117" s="156"/>
      <c r="AE117" s="156"/>
      <c r="AF117" s="156"/>
      <c r="AG117" s="156"/>
      <c r="AH117" s="156"/>
      <c r="AI117" s="156"/>
      <c r="AJ117" s="156"/>
      <c r="AK117" s="156"/>
      <c r="AL117" s="156"/>
      <c r="AM117" s="156"/>
      <c r="AN117" s="156"/>
      <c r="AO117" s="156"/>
      <c r="AP117" s="363"/>
      <c r="AQ117" s="75"/>
      <c r="AR117" s="76"/>
      <c r="AS117" s="363"/>
      <c r="AT117" s="363"/>
      <c r="AU117" s="75"/>
      <c r="AV117" s="76"/>
      <c r="AW117" s="363"/>
      <c r="AX117" s="363"/>
      <c r="AY117" s="75"/>
    </row>
    <row r="118" spans="1:51" s="984" customFormat="1" ht="21" hidden="1">
      <c r="A118" s="156"/>
      <c r="B118" s="2142" t="s">
        <v>1160</v>
      </c>
      <c r="C118" s="2139"/>
      <c r="D118" s="2139"/>
      <c r="E118" s="2139"/>
      <c r="F118" s="2139"/>
      <c r="G118" s="2139"/>
      <c r="H118" s="2139"/>
      <c r="I118" s="2139"/>
      <c r="J118" s="2143"/>
      <c r="K118" s="156"/>
      <c r="L118" s="156"/>
      <c r="M118" s="156"/>
      <c r="N118" s="156"/>
      <c r="O118" s="156"/>
      <c r="P118" s="156"/>
      <c r="Q118" s="156"/>
      <c r="R118" s="156"/>
      <c r="S118" s="156"/>
      <c r="T118" s="156"/>
      <c r="U118" s="156"/>
      <c r="V118" s="156"/>
      <c r="W118" s="156"/>
      <c r="X118" s="156"/>
      <c r="Y118" s="156"/>
      <c r="Z118" s="156"/>
      <c r="AA118" s="156"/>
      <c r="AB118" s="156"/>
      <c r="AC118" s="156"/>
      <c r="AD118" s="156"/>
      <c r="AE118" s="156"/>
      <c r="AF118" s="156"/>
      <c r="AG118" s="156"/>
      <c r="AH118" s="156"/>
      <c r="AI118" s="156"/>
      <c r="AJ118" s="156"/>
      <c r="AK118" s="156"/>
      <c r="AL118" s="156"/>
      <c r="AM118" s="156"/>
      <c r="AN118" s="156"/>
      <c r="AO118" s="156"/>
      <c r="AP118" s="363"/>
      <c r="AQ118" s="75"/>
      <c r="AR118" s="76"/>
      <c r="AS118" s="363"/>
      <c r="AT118" s="363"/>
      <c r="AU118" s="75"/>
      <c r="AV118" s="76"/>
      <c r="AW118" s="363"/>
      <c r="AX118" s="363"/>
      <c r="AY118" s="75"/>
    </row>
    <row r="119" spans="1:51" s="984" customFormat="1" ht="21" hidden="1">
      <c r="A119" s="156"/>
      <c r="B119" s="2142" t="s">
        <v>1165</v>
      </c>
      <c r="C119" s="2139"/>
      <c r="D119" s="2139"/>
      <c r="E119" s="2139"/>
      <c r="F119" s="2139"/>
      <c r="G119" s="2139"/>
      <c r="H119" s="2139"/>
      <c r="I119" s="2139"/>
      <c r="J119" s="2143"/>
      <c r="K119" s="156"/>
      <c r="L119" s="156"/>
      <c r="M119" s="156"/>
      <c r="N119" s="156"/>
      <c r="O119" s="156"/>
      <c r="P119" s="156"/>
      <c r="Q119" s="156"/>
      <c r="R119" s="156"/>
      <c r="S119" s="156"/>
      <c r="T119" s="156"/>
      <c r="U119" s="156"/>
      <c r="V119" s="156"/>
      <c r="W119" s="156"/>
      <c r="X119" s="156"/>
      <c r="Y119" s="156"/>
      <c r="Z119" s="156"/>
      <c r="AA119" s="156"/>
      <c r="AB119" s="156"/>
      <c r="AC119" s="156"/>
      <c r="AD119" s="156"/>
      <c r="AE119" s="156"/>
      <c r="AF119" s="156"/>
      <c r="AG119" s="156"/>
      <c r="AH119" s="156"/>
      <c r="AI119" s="156"/>
      <c r="AJ119" s="156"/>
      <c r="AK119" s="156"/>
      <c r="AL119" s="156"/>
      <c r="AM119" s="156"/>
      <c r="AN119" s="156"/>
      <c r="AO119" s="156"/>
      <c r="AP119" s="363"/>
      <c r="AQ119" s="75"/>
      <c r="AR119" s="76"/>
      <c r="AS119" s="363"/>
      <c r="AT119" s="363"/>
      <c r="AU119" s="75"/>
      <c r="AV119" s="76"/>
      <c r="AW119" s="363"/>
      <c r="AX119" s="363"/>
      <c r="AY119" s="75"/>
    </row>
    <row r="120" spans="1:51" s="984" customFormat="1" ht="21" hidden="1">
      <c r="A120" s="156"/>
      <c r="B120" s="2142" t="s">
        <v>1166</v>
      </c>
      <c r="C120" s="2139"/>
      <c r="D120" s="2139"/>
      <c r="E120" s="2139"/>
      <c r="F120" s="2139"/>
      <c r="G120" s="2139"/>
      <c r="H120" s="2139"/>
      <c r="I120" s="2139"/>
      <c r="J120" s="2143"/>
      <c r="K120" s="156"/>
      <c r="L120" s="156"/>
      <c r="M120" s="156"/>
      <c r="N120" s="156"/>
      <c r="O120" s="156"/>
      <c r="P120" s="156"/>
      <c r="Q120" s="156"/>
      <c r="R120" s="156"/>
      <c r="S120" s="156"/>
      <c r="T120" s="156"/>
      <c r="U120" s="156"/>
      <c r="V120" s="156"/>
      <c r="W120" s="156"/>
      <c r="X120" s="156"/>
      <c r="Y120" s="156"/>
      <c r="Z120" s="156"/>
      <c r="AA120" s="156"/>
      <c r="AB120" s="156"/>
      <c r="AC120" s="156"/>
      <c r="AD120" s="156"/>
      <c r="AE120" s="156"/>
      <c r="AF120" s="156"/>
      <c r="AG120" s="156"/>
      <c r="AH120" s="156"/>
      <c r="AI120" s="156"/>
      <c r="AJ120" s="156"/>
      <c r="AK120" s="156"/>
      <c r="AL120" s="156"/>
      <c r="AM120" s="156"/>
      <c r="AN120" s="156"/>
      <c r="AO120" s="156"/>
      <c r="AP120" s="363"/>
      <c r="AQ120" s="75"/>
      <c r="AR120" s="76"/>
      <c r="AS120" s="363"/>
      <c r="AT120" s="363"/>
      <c r="AU120" s="75"/>
      <c r="AV120" s="76"/>
      <c r="AW120" s="363"/>
      <c r="AX120" s="363"/>
      <c r="AY120" s="75"/>
    </row>
    <row r="121" spans="1:51" s="984" customFormat="1" ht="21" hidden="1">
      <c r="A121" s="156"/>
      <c r="B121" s="2142" t="s">
        <v>1163</v>
      </c>
      <c r="C121" s="2139"/>
      <c r="D121" s="2139"/>
      <c r="E121" s="2139"/>
      <c r="F121" s="2139"/>
      <c r="G121" s="2139"/>
      <c r="H121" s="2139"/>
      <c r="I121" s="2139"/>
      <c r="J121" s="2143"/>
      <c r="K121" s="156"/>
      <c r="L121" s="156"/>
      <c r="M121" s="156"/>
      <c r="N121" s="156"/>
      <c r="O121" s="156"/>
      <c r="P121" s="156"/>
      <c r="Q121" s="156"/>
      <c r="R121" s="156"/>
      <c r="S121" s="156"/>
      <c r="T121" s="156"/>
      <c r="U121" s="156"/>
      <c r="V121" s="156"/>
      <c r="W121" s="156"/>
      <c r="X121" s="156"/>
      <c r="Y121" s="156"/>
      <c r="Z121" s="156"/>
      <c r="AA121" s="156"/>
      <c r="AB121" s="156"/>
      <c r="AC121" s="156"/>
      <c r="AD121" s="156"/>
      <c r="AE121" s="156"/>
      <c r="AF121" s="156"/>
      <c r="AG121" s="156"/>
      <c r="AH121" s="156"/>
      <c r="AI121" s="156"/>
      <c r="AJ121" s="156"/>
      <c r="AK121" s="156"/>
      <c r="AL121" s="156"/>
      <c r="AM121" s="156"/>
      <c r="AN121" s="156"/>
      <c r="AO121" s="156"/>
      <c r="AP121" s="363"/>
      <c r="AQ121" s="75"/>
      <c r="AR121" s="76"/>
      <c r="AS121" s="363"/>
      <c r="AT121" s="363"/>
      <c r="AU121" s="75"/>
      <c r="AV121" s="76"/>
      <c r="AW121" s="363"/>
      <c r="AX121" s="363"/>
      <c r="AY121" s="75"/>
    </row>
    <row r="122" spans="1:51" s="984" customFormat="1" ht="21.75" hidden="1" thickBot="1">
      <c r="A122" s="156"/>
      <c r="B122" s="2147"/>
      <c r="C122" s="2148"/>
      <c r="D122" s="2149"/>
      <c r="E122" s="2144"/>
      <c r="F122" s="2144"/>
      <c r="G122" s="2144"/>
      <c r="H122" s="2144"/>
      <c r="I122" s="2144"/>
      <c r="J122" s="214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c r="AF122" s="156"/>
      <c r="AG122" s="156"/>
      <c r="AH122" s="156"/>
      <c r="AI122" s="156"/>
      <c r="AJ122" s="156"/>
      <c r="AK122" s="156"/>
      <c r="AL122" s="156"/>
      <c r="AM122" s="156"/>
      <c r="AN122" s="156"/>
      <c r="AO122" s="156"/>
      <c r="AP122" s="363"/>
      <c r="AQ122" s="75"/>
      <c r="AR122" s="76"/>
      <c r="AS122" s="363"/>
      <c r="AT122" s="363"/>
      <c r="AU122" s="75"/>
      <c r="AV122" s="76"/>
      <c r="AW122" s="363"/>
      <c r="AX122" s="363"/>
      <c r="AY122" s="75"/>
    </row>
    <row r="123" spans="1:51" s="984" customFormat="1" hidden="1">
      <c r="A123" s="156"/>
      <c r="B123" s="156"/>
      <c r="C123" s="156"/>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c r="AF123" s="156"/>
      <c r="AG123" s="156"/>
      <c r="AH123" s="156"/>
      <c r="AI123" s="156"/>
      <c r="AJ123" s="156"/>
      <c r="AK123" s="156"/>
      <c r="AL123" s="156"/>
      <c r="AM123" s="156"/>
      <c r="AN123" s="156"/>
      <c r="AO123" s="156"/>
      <c r="AP123" s="363"/>
      <c r="AQ123" s="75"/>
      <c r="AR123" s="76"/>
      <c r="AS123" s="363"/>
      <c r="AT123" s="363"/>
      <c r="AU123" s="75"/>
      <c r="AV123" s="76"/>
      <c r="AW123" s="363"/>
      <c r="AX123" s="363"/>
      <c r="AY123" s="75"/>
    </row>
    <row r="124" spans="1:51" s="984" customFormat="1" hidden="1">
      <c r="A124" s="156"/>
      <c r="B124" s="156"/>
      <c r="C124" s="156"/>
      <c r="D124" s="156"/>
      <c r="E124" s="156"/>
      <c r="F124" s="156"/>
      <c r="G124" s="156"/>
      <c r="H124" s="156"/>
      <c r="I124" s="156"/>
      <c r="J124" s="156"/>
      <c r="K124" s="156"/>
      <c r="L124" s="156"/>
      <c r="M124" s="156"/>
      <c r="N124" s="156"/>
      <c r="O124" s="156"/>
      <c r="P124" s="156"/>
      <c r="Q124" s="156"/>
      <c r="R124" s="156"/>
      <c r="S124" s="156"/>
      <c r="T124" s="156"/>
      <c r="U124" s="156"/>
      <c r="V124" s="156"/>
      <c r="W124" s="156"/>
      <c r="X124" s="156"/>
      <c r="Y124" s="156"/>
      <c r="Z124" s="156"/>
      <c r="AA124" s="156"/>
      <c r="AB124" s="156"/>
      <c r="AC124" s="156"/>
      <c r="AD124" s="156"/>
      <c r="AE124" s="156"/>
      <c r="AF124" s="156"/>
      <c r="AG124" s="156"/>
      <c r="AH124" s="156"/>
      <c r="AI124" s="156"/>
      <c r="AJ124" s="156"/>
      <c r="AK124" s="156"/>
      <c r="AL124" s="156"/>
      <c r="AM124" s="156"/>
      <c r="AN124" s="156"/>
      <c r="AO124" s="156"/>
      <c r="AP124" s="363"/>
      <c r="AQ124" s="75"/>
      <c r="AR124" s="76"/>
      <c r="AS124" s="363"/>
      <c r="AT124" s="363"/>
      <c r="AU124" s="75"/>
      <c r="AV124" s="76"/>
      <c r="AW124" s="363"/>
      <c r="AX124" s="363"/>
      <c r="AY124" s="75"/>
    </row>
    <row r="125" spans="1:51" s="984" customFormat="1" ht="13.5" hidden="1" thickBot="1">
      <c r="A125" s="156"/>
      <c r="B125" s="156"/>
      <c r="C125" s="156"/>
      <c r="D125" s="156"/>
      <c r="E125" s="156"/>
      <c r="F125" s="156"/>
      <c r="G125" s="156"/>
      <c r="H125" s="156"/>
      <c r="I125" s="156"/>
      <c r="J125" s="156"/>
      <c r="K125" s="156"/>
      <c r="L125" s="156"/>
      <c r="M125" s="156"/>
      <c r="N125" s="156"/>
      <c r="O125" s="156"/>
      <c r="P125" s="156"/>
      <c r="Q125" s="156"/>
      <c r="R125" s="156"/>
      <c r="S125" s="156"/>
      <c r="T125" s="156"/>
      <c r="U125" s="156"/>
      <c r="V125" s="156"/>
      <c r="W125" s="156"/>
      <c r="X125" s="156"/>
      <c r="Y125" s="156"/>
      <c r="Z125" s="156"/>
      <c r="AA125" s="156"/>
      <c r="AB125" s="156"/>
      <c r="AC125" s="156"/>
      <c r="AD125" s="156"/>
      <c r="AE125" s="156"/>
      <c r="AF125" s="156"/>
      <c r="AG125" s="156"/>
      <c r="AH125" s="156"/>
      <c r="AI125" s="156"/>
      <c r="AJ125" s="156"/>
      <c r="AK125" s="156"/>
      <c r="AL125" s="156"/>
      <c r="AM125" s="156"/>
      <c r="AN125" s="156"/>
      <c r="AO125" s="156"/>
      <c r="AP125" s="363"/>
      <c r="AQ125" s="75"/>
      <c r="AR125" s="76"/>
      <c r="AS125" s="363"/>
      <c r="AT125" s="363"/>
      <c r="AU125" s="75"/>
      <c r="AV125" s="76"/>
      <c r="AW125" s="363"/>
      <c r="AX125" s="363"/>
      <c r="AY125" s="75"/>
    </row>
    <row r="126" spans="1:51" s="984" customFormat="1" ht="21.75" hidden="1" thickBot="1">
      <c r="A126" s="156"/>
      <c r="B126" s="2138" t="s">
        <v>1329</v>
      </c>
      <c r="C126" s="2137"/>
      <c r="D126" s="2137"/>
      <c r="E126" s="2137"/>
      <c r="F126" s="2139"/>
      <c r="G126" s="2140"/>
      <c r="H126" s="2140"/>
      <c r="I126" s="2140"/>
      <c r="J126" s="2141"/>
      <c r="K126" s="156"/>
      <c r="L126" s="156"/>
      <c r="M126" s="156"/>
      <c r="N126" s="156"/>
      <c r="O126" s="156"/>
      <c r="P126" s="156"/>
      <c r="Q126" s="156"/>
      <c r="R126" s="156"/>
      <c r="S126" s="156"/>
      <c r="T126" s="156"/>
      <c r="U126" s="156"/>
      <c r="V126" s="156"/>
      <c r="W126" s="156"/>
      <c r="X126" s="156"/>
      <c r="Y126" s="156"/>
      <c r="Z126" s="156"/>
      <c r="AA126" s="156"/>
      <c r="AB126" s="156"/>
      <c r="AC126" s="156"/>
      <c r="AD126" s="156"/>
      <c r="AE126" s="156"/>
      <c r="AF126" s="156"/>
      <c r="AG126" s="156"/>
      <c r="AH126" s="156"/>
      <c r="AI126" s="156"/>
      <c r="AJ126" s="156"/>
      <c r="AK126" s="156"/>
      <c r="AL126" s="156"/>
      <c r="AM126" s="156"/>
      <c r="AN126" s="156"/>
      <c r="AO126" s="156"/>
      <c r="AP126" s="363"/>
      <c r="AQ126" s="75"/>
      <c r="AR126" s="76"/>
      <c r="AS126" s="363"/>
      <c r="AT126" s="363"/>
      <c r="AU126" s="75"/>
      <c r="AV126" s="76"/>
      <c r="AW126" s="363"/>
      <c r="AX126" s="363"/>
      <c r="AY126" s="75"/>
    </row>
    <row r="127" spans="1:51" s="984" customFormat="1" ht="21" hidden="1">
      <c r="A127" s="156"/>
      <c r="B127" s="1878" t="s">
        <v>1335</v>
      </c>
      <c r="C127" s="2139"/>
      <c r="D127" s="2139"/>
      <c r="E127" s="2139"/>
      <c r="F127" s="2139"/>
      <c r="G127" s="2139"/>
      <c r="H127" s="2139"/>
      <c r="I127" s="2139"/>
      <c r="J127" s="2143"/>
      <c r="K127" s="156"/>
      <c r="L127" s="156"/>
      <c r="M127" s="156"/>
      <c r="N127" s="156"/>
      <c r="O127" s="156"/>
      <c r="P127" s="156"/>
      <c r="Q127" s="156"/>
      <c r="R127" s="156"/>
      <c r="S127" s="156"/>
      <c r="T127" s="156"/>
      <c r="U127" s="156"/>
      <c r="V127" s="156"/>
      <c r="W127" s="156"/>
      <c r="X127" s="156"/>
      <c r="Y127" s="156"/>
      <c r="Z127" s="156"/>
      <c r="AA127" s="156"/>
      <c r="AB127" s="156"/>
      <c r="AC127" s="156"/>
      <c r="AD127" s="156"/>
      <c r="AE127" s="156"/>
      <c r="AF127" s="156"/>
      <c r="AG127" s="156"/>
      <c r="AH127" s="156"/>
      <c r="AI127" s="156"/>
      <c r="AJ127" s="156"/>
      <c r="AK127" s="156"/>
      <c r="AL127" s="156"/>
      <c r="AM127" s="156"/>
      <c r="AN127" s="156"/>
      <c r="AO127" s="156"/>
      <c r="AP127" s="363"/>
      <c r="AQ127" s="75"/>
      <c r="AR127" s="76"/>
      <c r="AS127" s="363"/>
      <c r="AT127" s="363"/>
      <c r="AU127" s="75"/>
      <c r="AV127" s="76"/>
      <c r="AW127" s="363"/>
      <c r="AX127" s="363"/>
      <c r="AY127" s="75"/>
    </row>
    <row r="128" spans="1:51" s="984" customFormat="1" ht="21" hidden="1">
      <c r="A128" s="156"/>
      <c r="B128" s="1878" t="s">
        <v>1336</v>
      </c>
      <c r="C128" s="2139"/>
      <c r="D128" s="2139"/>
      <c r="E128" s="2139"/>
      <c r="F128" s="2139"/>
      <c r="G128" s="2139"/>
      <c r="H128" s="2139"/>
      <c r="I128" s="2139"/>
      <c r="J128" s="2143"/>
      <c r="K128" s="156"/>
      <c r="L128" s="156"/>
      <c r="M128" s="156"/>
      <c r="N128" s="156"/>
      <c r="O128" s="156"/>
      <c r="P128" s="156"/>
      <c r="Q128" s="156"/>
      <c r="R128" s="156"/>
      <c r="S128" s="156"/>
      <c r="T128" s="156"/>
      <c r="U128" s="156"/>
      <c r="V128" s="156"/>
      <c r="W128" s="156"/>
      <c r="X128" s="156"/>
      <c r="Y128" s="156"/>
      <c r="Z128" s="156"/>
      <c r="AA128" s="156"/>
      <c r="AB128" s="156"/>
      <c r="AC128" s="156"/>
      <c r="AD128" s="156"/>
      <c r="AE128" s="156"/>
      <c r="AF128" s="156"/>
      <c r="AG128" s="156"/>
      <c r="AH128" s="156"/>
      <c r="AI128" s="156"/>
      <c r="AJ128" s="156"/>
      <c r="AK128" s="156"/>
      <c r="AL128" s="156"/>
      <c r="AM128" s="156"/>
      <c r="AN128" s="156"/>
      <c r="AO128" s="156"/>
      <c r="AP128" s="363"/>
      <c r="AQ128" s="75"/>
      <c r="AR128" s="76"/>
      <c r="AS128" s="363"/>
      <c r="AT128" s="363"/>
      <c r="AU128" s="75"/>
      <c r="AV128" s="76"/>
      <c r="AW128" s="363"/>
      <c r="AX128" s="363"/>
      <c r="AY128" s="75"/>
    </row>
    <row r="129" spans="1:51" s="984" customFormat="1" ht="15.75" hidden="1" thickBot="1">
      <c r="A129" s="156"/>
      <c r="B129" s="2145"/>
      <c r="C129" s="2144"/>
      <c r="D129" s="2144"/>
      <c r="E129" s="2144"/>
      <c r="F129" s="156"/>
      <c r="G129" s="2144"/>
      <c r="H129" s="2144"/>
      <c r="I129" s="2144"/>
      <c r="J129" s="2146"/>
      <c r="K129" s="156"/>
      <c r="L129" s="156"/>
      <c r="M129" s="156"/>
      <c r="N129" s="156"/>
      <c r="O129" s="156"/>
      <c r="P129" s="156"/>
      <c r="Q129" s="156"/>
      <c r="R129" s="156"/>
      <c r="S129" s="156"/>
      <c r="T129" s="156"/>
      <c r="U129" s="156"/>
      <c r="V129" s="156"/>
      <c r="W129" s="156"/>
      <c r="X129" s="156"/>
      <c r="Y129" s="156"/>
      <c r="Z129" s="156"/>
      <c r="AA129" s="156"/>
      <c r="AB129" s="156"/>
      <c r="AC129" s="156"/>
      <c r="AD129" s="156"/>
      <c r="AE129" s="156"/>
      <c r="AF129" s="156"/>
      <c r="AG129" s="156"/>
      <c r="AH129" s="156"/>
      <c r="AI129" s="156"/>
      <c r="AJ129" s="156"/>
      <c r="AK129" s="156"/>
      <c r="AL129" s="156"/>
      <c r="AM129" s="156"/>
      <c r="AN129" s="156"/>
      <c r="AO129" s="156"/>
      <c r="AP129" s="363"/>
      <c r="AQ129" s="75"/>
      <c r="AR129" s="76"/>
      <c r="AS129" s="363"/>
      <c r="AT129" s="363"/>
      <c r="AU129" s="75"/>
      <c r="AV129" s="76"/>
      <c r="AW129" s="363"/>
      <c r="AX129" s="363"/>
      <c r="AY129" s="75"/>
    </row>
    <row r="130" spans="1:51" s="984" customFormat="1">
      <c r="A130" s="156"/>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156"/>
      <c r="AA130" s="156"/>
      <c r="AB130" s="156"/>
      <c r="AC130" s="156"/>
      <c r="AD130" s="156"/>
      <c r="AE130" s="156"/>
      <c r="AF130" s="156"/>
      <c r="AG130" s="156"/>
      <c r="AH130" s="156"/>
      <c r="AI130" s="156"/>
      <c r="AJ130" s="156"/>
      <c r="AK130" s="156"/>
      <c r="AL130" s="156"/>
      <c r="AM130" s="156"/>
      <c r="AN130" s="156"/>
      <c r="AO130" s="156"/>
      <c r="AP130" s="363"/>
      <c r="AQ130" s="75"/>
      <c r="AR130" s="76"/>
      <c r="AS130" s="363"/>
      <c r="AT130" s="363"/>
      <c r="AU130" s="75"/>
      <c r="AV130" s="76"/>
      <c r="AW130" s="363"/>
      <c r="AX130" s="363"/>
      <c r="AY130" s="75"/>
    </row>
    <row r="131" spans="1:51" s="984" customFormat="1">
      <c r="A131" s="156"/>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c r="AA131" s="156"/>
      <c r="AB131" s="156"/>
      <c r="AC131" s="156"/>
      <c r="AD131" s="156"/>
      <c r="AE131" s="156"/>
      <c r="AF131" s="156"/>
      <c r="AG131" s="156"/>
      <c r="AH131" s="156"/>
      <c r="AI131" s="156"/>
      <c r="AJ131" s="156"/>
      <c r="AK131" s="156"/>
      <c r="AL131" s="156"/>
      <c r="AM131" s="156"/>
      <c r="AN131" s="156"/>
      <c r="AO131" s="156"/>
      <c r="AP131" s="363"/>
      <c r="AQ131" s="75"/>
      <c r="AR131" s="76"/>
      <c r="AS131" s="363"/>
      <c r="AT131" s="363"/>
      <c r="AU131" s="75"/>
      <c r="AV131" s="76"/>
      <c r="AW131" s="363"/>
      <c r="AX131" s="363"/>
      <c r="AY131" s="75"/>
    </row>
    <row r="132" spans="1:51" s="984" customFormat="1">
      <c r="A132" s="156"/>
      <c r="B132" s="156"/>
      <c r="C132" s="156"/>
      <c r="D132" s="156"/>
      <c r="E132" s="156"/>
      <c r="F132" s="156"/>
      <c r="G132" s="156"/>
      <c r="H132" s="156"/>
      <c r="I132" s="156"/>
      <c r="J132" s="156"/>
      <c r="K132" s="156"/>
      <c r="L132" s="156"/>
      <c r="M132" s="156"/>
      <c r="N132" s="156"/>
      <c r="O132" s="156"/>
      <c r="P132" s="156"/>
      <c r="Q132" s="156"/>
      <c r="R132" s="156"/>
      <c r="S132" s="156"/>
      <c r="T132" s="156"/>
      <c r="U132" s="156"/>
      <c r="V132" s="156"/>
      <c r="W132" s="156"/>
      <c r="X132" s="156"/>
      <c r="Y132" s="156"/>
      <c r="Z132" s="156"/>
      <c r="AA132" s="156"/>
      <c r="AB132" s="156"/>
      <c r="AC132" s="156"/>
      <c r="AD132" s="156"/>
      <c r="AE132" s="156"/>
      <c r="AF132" s="156"/>
      <c r="AG132" s="156"/>
      <c r="AH132" s="156"/>
      <c r="AI132" s="156"/>
      <c r="AJ132" s="156"/>
      <c r="AK132" s="156"/>
      <c r="AL132" s="156"/>
      <c r="AM132" s="156"/>
      <c r="AN132" s="156"/>
      <c r="AO132" s="156"/>
      <c r="AP132" s="363"/>
      <c r="AQ132" s="75"/>
      <c r="AR132" s="76"/>
      <c r="AS132" s="363"/>
      <c r="AT132" s="363"/>
      <c r="AU132" s="75"/>
      <c r="AV132" s="76"/>
      <c r="AW132" s="363"/>
      <c r="AX132" s="363"/>
      <c r="AY132" s="75"/>
    </row>
    <row r="133" spans="1:51" s="984" customFormat="1">
      <c r="A133" s="156"/>
      <c r="B133" s="156"/>
      <c r="C133" s="156"/>
      <c r="D133" s="156"/>
      <c r="E133" s="156"/>
      <c r="F133" s="156"/>
      <c r="G133" s="156"/>
      <c r="H133" s="156"/>
      <c r="I133" s="156"/>
      <c r="J133" s="156"/>
      <c r="K133" s="156"/>
      <c r="L133" s="156"/>
      <c r="M133" s="156"/>
      <c r="N133" s="156"/>
      <c r="O133" s="156"/>
      <c r="P133" s="156"/>
      <c r="Q133" s="156"/>
      <c r="R133" s="156"/>
      <c r="S133" s="156"/>
      <c r="T133" s="156"/>
      <c r="U133" s="156"/>
      <c r="V133" s="156"/>
      <c r="W133" s="156"/>
      <c r="X133" s="156"/>
      <c r="Y133" s="156"/>
      <c r="Z133" s="156"/>
      <c r="AA133" s="156"/>
      <c r="AB133" s="156"/>
      <c r="AC133" s="156"/>
      <c r="AD133" s="156"/>
      <c r="AE133" s="156"/>
      <c r="AF133" s="156"/>
      <c r="AG133" s="156"/>
      <c r="AH133" s="156"/>
      <c r="AI133" s="156"/>
      <c r="AJ133" s="156"/>
      <c r="AK133" s="156"/>
      <c r="AL133" s="156"/>
      <c r="AM133" s="156"/>
      <c r="AN133" s="156"/>
      <c r="AO133" s="156"/>
      <c r="AP133" s="363"/>
      <c r="AQ133" s="75"/>
      <c r="AR133" s="76"/>
      <c r="AS133" s="363"/>
      <c r="AT133" s="363"/>
      <c r="AU133" s="75"/>
      <c r="AV133" s="76"/>
      <c r="AW133" s="363"/>
      <c r="AX133" s="363"/>
      <c r="AY133" s="75"/>
    </row>
    <row r="134" spans="1:51" s="984" customFormat="1">
      <c r="A134" s="156"/>
      <c r="B134" s="156"/>
      <c r="C134" s="156"/>
      <c r="D134" s="156"/>
      <c r="E134" s="156"/>
      <c r="F134" s="156"/>
      <c r="G134" s="156"/>
      <c r="H134" s="156"/>
      <c r="I134" s="156"/>
      <c r="J134" s="156"/>
      <c r="K134" s="156"/>
      <c r="L134" s="156"/>
      <c r="M134" s="156"/>
      <c r="N134" s="156"/>
      <c r="O134" s="156"/>
      <c r="P134" s="156"/>
      <c r="Q134" s="156"/>
      <c r="R134" s="156"/>
      <c r="S134" s="156"/>
      <c r="T134" s="156"/>
      <c r="U134" s="156"/>
      <c r="V134" s="156"/>
      <c r="W134" s="156"/>
      <c r="X134" s="156"/>
      <c r="Y134" s="156"/>
      <c r="Z134" s="156"/>
      <c r="AA134" s="156"/>
      <c r="AB134" s="156"/>
      <c r="AC134" s="156"/>
      <c r="AD134" s="156"/>
      <c r="AE134" s="156"/>
      <c r="AF134" s="156"/>
      <c r="AG134" s="156"/>
      <c r="AH134" s="156"/>
      <c r="AI134" s="156"/>
      <c r="AJ134" s="156"/>
      <c r="AK134" s="156"/>
      <c r="AL134" s="156"/>
      <c r="AM134" s="156"/>
      <c r="AN134" s="156"/>
      <c r="AO134" s="156"/>
      <c r="AP134" s="363"/>
      <c r="AQ134" s="75"/>
      <c r="AR134" s="76"/>
      <c r="AS134" s="363"/>
      <c r="AT134" s="363"/>
      <c r="AU134" s="75"/>
      <c r="AV134" s="76"/>
      <c r="AW134" s="363"/>
      <c r="AX134" s="363"/>
      <c r="AY134" s="75"/>
    </row>
    <row r="135" spans="1:51" s="984" customFormat="1">
      <c r="A135" s="156"/>
      <c r="B135" s="156"/>
      <c r="C135" s="156"/>
      <c r="D135" s="156"/>
      <c r="E135" s="156"/>
      <c r="F135" s="156"/>
      <c r="G135" s="156"/>
      <c r="H135" s="156"/>
      <c r="I135" s="156"/>
      <c r="J135" s="156"/>
      <c r="K135" s="156"/>
      <c r="L135" s="156"/>
      <c r="M135" s="156"/>
      <c r="N135" s="156"/>
      <c r="O135" s="156"/>
      <c r="P135" s="156"/>
      <c r="Q135" s="156"/>
      <c r="R135" s="156"/>
      <c r="S135" s="156"/>
      <c r="T135" s="156"/>
      <c r="U135" s="156"/>
      <c r="V135" s="156"/>
      <c r="W135" s="156"/>
      <c r="X135" s="156"/>
      <c r="Y135" s="156"/>
      <c r="Z135" s="156"/>
      <c r="AA135" s="156"/>
      <c r="AB135" s="156"/>
      <c r="AC135" s="156"/>
      <c r="AD135" s="156"/>
      <c r="AE135" s="156"/>
      <c r="AF135" s="156"/>
      <c r="AG135" s="156"/>
      <c r="AH135" s="156"/>
      <c r="AI135" s="156"/>
      <c r="AJ135" s="156"/>
      <c r="AK135" s="156"/>
      <c r="AL135" s="156"/>
      <c r="AM135" s="156"/>
      <c r="AN135" s="156"/>
      <c r="AO135" s="156"/>
      <c r="AP135" s="363"/>
      <c r="AQ135" s="75"/>
      <c r="AR135" s="76"/>
      <c r="AS135" s="363"/>
      <c r="AT135" s="363"/>
      <c r="AU135" s="75"/>
      <c r="AV135" s="76"/>
      <c r="AW135" s="363"/>
      <c r="AX135" s="363"/>
      <c r="AY135" s="75"/>
    </row>
    <row r="136" spans="1:51" s="984" customFormat="1">
      <c r="W136" s="156"/>
      <c r="X136" s="156"/>
      <c r="Y136" s="156"/>
      <c r="Z136" s="156"/>
      <c r="AA136" s="156"/>
      <c r="AB136" s="156"/>
      <c r="AC136" s="156"/>
      <c r="AD136" s="156"/>
      <c r="AE136" s="156"/>
      <c r="AF136" s="156"/>
      <c r="AG136" s="156"/>
      <c r="AH136" s="156"/>
      <c r="AI136" s="156"/>
      <c r="AJ136" s="156"/>
      <c r="AK136" s="156"/>
      <c r="AL136" s="156"/>
      <c r="AM136" s="156"/>
      <c r="AN136" s="156"/>
      <c r="AO136" s="156"/>
      <c r="AP136" s="363"/>
      <c r="AQ136" s="75"/>
      <c r="AR136" s="76"/>
      <c r="AS136" s="363"/>
      <c r="AT136" s="363"/>
      <c r="AU136" s="75"/>
      <c r="AV136" s="76"/>
      <c r="AW136" s="363"/>
      <c r="AX136" s="363"/>
      <c r="AY136" s="75"/>
    </row>
    <row r="137" spans="1:51" s="984" customFormat="1">
      <c r="W137" s="156"/>
      <c r="X137" s="156"/>
      <c r="Y137" s="156"/>
      <c r="Z137" s="156"/>
      <c r="AA137" s="156"/>
      <c r="AB137" s="156"/>
      <c r="AC137" s="156"/>
      <c r="AD137" s="156"/>
      <c r="AE137" s="156"/>
      <c r="AF137" s="156"/>
      <c r="AG137" s="156"/>
      <c r="AH137" s="156"/>
      <c r="AI137" s="156"/>
      <c r="AJ137" s="156"/>
      <c r="AK137" s="156"/>
      <c r="AL137" s="156"/>
      <c r="AM137" s="156"/>
      <c r="AN137" s="156"/>
      <c r="AO137" s="156"/>
      <c r="AP137" s="363"/>
      <c r="AQ137" s="75"/>
      <c r="AR137" s="76"/>
      <c r="AS137" s="363"/>
      <c r="AT137" s="363"/>
      <c r="AU137" s="75"/>
      <c r="AV137" s="76"/>
      <c r="AW137" s="363"/>
      <c r="AX137" s="363"/>
      <c r="AY137" s="75"/>
    </row>
    <row r="138" spans="1:51" s="984" customFormat="1">
      <c r="W138" s="156"/>
      <c r="X138" s="156"/>
      <c r="Y138" s="156"/>
      <c r="Z138" s="156"/>
      <c r="AA138" s="156"/>
      <c r="AB138" s="156"/>
      <c r="AC138" s="156"/>
      <c r="AD138" s="156"/>
      <c r="AE138" s="156"/>
      <c r="AF138" s="156"/>
      <c r="AG138" s="156"/>
      <c r="AH138" s="156"/>
      <c r="AI138" s="156"/>
      <c r="AJ138" s="156"/>
      <c r="AK138" s="156"/>
      <c r="AL138" s="156"/>
      <c r="AM138" s="156"/>
      <c r="AN138" s="156"/>
      <c r="AO138" s="156"/>
      <c r="AP138" s="363"/>
      <c r="AQ138" s="75"/>
      <c r="AR138" s="76"/>
      <c r="AS138" s="363"/>
      <c r="AT138" s="363"/>
      <c r="AU138" s="75"/>
      <c r="AV138" s="76"/>
      <c r="AW138" s="363"/>
      <c r="AX138" s="363"/>
      <c r="AY138" s="75"/>
    </row>
    <row r="139" spans="1:51" s="984" customFormat="1">
      <c r="W139" s="156"/>
      <c r="X139" s="156"/>
      <c r="Y139" s="156"/>
      <c r="Z139" s="156"/>
      <c r="AA139" s="156"/>
      <c r="AB139" s="156"/>
      <c r="AC139" s="156"/>
      <c r="AD139" s="156"/>
      <c r="AE139" s="156"/>
      <c r="AF139" s="156"/>
      <c r="AG139" s="156"/>
      <c r="AH139" s="156"/>
      <c r="AI139" s="156"/>
      <c r="AJ139" s="156"/>
      <c r="AK139" s="156"/>
      <c r="AL139" s="156"/>
      <c r="AM139" s="156"/>
      <c r="AN139" s="156"/>
      <c r="AO139" s="156"/>
      <c r="AP139" s="363"/>
      <c r="AQ139" s="75"/>
      <c r="AR139" s="76"/>
      <c r="AS139" s="363"/>
      <c r="AT139" s="363"/>
      <c r="AU139" s="75"/>
      <c r="AV139" s="76"/>
      <c r="AW139" s="363"/>
      <c r="AX139" s="363"/>
      <c r="AY139" s="75"/>
    </row>
    <row r="140" spans="1:51" s="984" customFormat="1">
      <c r="W140" s="156"/>
      <c r="X140" s="156"/>
      <c r="Y140" s="156"/>
      <c r="Z140" s="156"/>
      <c r="AA140" s="156"/>
      <c r="AB140" s="156"/>
      <c r="AC140" s="156"/>
      <c r="AD140" s="156"/>
      <c r="AE140" s="156"/>
      <c r="AF140" s="156"/>
      <c r="AG140" s="156"/>
      <c r="AH140" s="156"/>
      <c r="AI140" s="156"/>
      <c r="AJ140" s="156"/>
      <c r="AK140" s="156"/>
      <c r="AL140" s="156"/>
      <c r="AM140" s="156"/>
      <c r="AN140" s="156"/>
      <c r="AO140" s="156"/>
      <c r="AP140" s="363"/>
      <c r="AQ140" s="75"/>
      <c r="AR140" s="76"/>
      <c r="AS140" s="363"/>
      <c r="AT140" s="363"/>
      <c r="AU140" s="75"/>
      <c r="AV140" s="76"/>
      <c r="AW140" s="363"/>
      <c r="AX140" s="363"/>
      <c r="AY140" s="75"/>
    </row>
    <row r="141" spans="1:51" s="984" customFormat="1">
      <c r="W141" s="156"/>
      <c r="X141" s="156"/>
      <c r="Y141" s="156"/>
      <c r="Z141" s="156"/>
      <c r="AA141" s="156"/>
      <c r="AB141" s="156"/>
      <c r="AC141" s="156"/>
      <c r="AD141" s="156"/>
      <c r="AE141" s="156"/>
      <c r="AF141" s="156"/>
      <c r="AG141" s="156"/>
      <c r="AH141" s="156"/>
      <c r="AI141" s="156"/>
      <c r="AJ141" s="156"/>
      <c r="AK141" s="156"/>
      <c r="AL141" s="156"/>
      <c r="AM141" s="156"/>
      <c r="AN141" s="156"/>
      <c r="AO141" s="156"/>
      <c r="AP141" s="363"/>
      <c r="AQ141" s="75"/>
      <c r="AR141" s="76"/>
      <c r="AS141" s="363"/>
      <c r="AT141" s="363"/>
      <c r="AU141" s="75"/>
      <c r="AV141" s="76"/>
      <c r="AW141" s="363"/>
      <c r="AX141" s="363"/>
      <c r="AY141" s="75"/>
    </row>
    <row r="142" spans="1:51" s="984" customFormat="1">
      <c r="W142" s="156"/>
      <c r="X142" s="156"/>
      <c r="Y142" s="156"/>
      <c r="Z142" s="156"/>
      <c r="AA142" s="156"/>
      <c r="AB142" s="156"/>
      <c r="AC142" s="156"/>
      <c r="AD142" s="156"/>
      <c r="AE142" s="156"/>
      <c r="AF142" s="156"/>
      <c r="AG142" s="156"/>
      <c r="AH142" s="156"/>
      <c r="AI142" s="156"/>
      <c r="AJ142" s="156"/>
      <c r="AK142" s="156"/>
      <c r="AL142" s="156"/>
      <c r="AM142" s="156"/>
      <c r="AN142" s="156"/>
      <c r="AO142" s="156"/>
      <c r="AP142" s="363"/>
      <c r="AQ142" s="75"/>
      <c r="AR142" s="76"/>
      <c r="AS142" s="363"/>
      <c r="AT142" s="363"/>
      <c r="AU142" s="75"/>
      <c r="AV142" s="76"/>
      <c r="AW142" s="363"/>
      <c r="AX142" s="363"/>
      <c r="AY142" s="75"/>
    </row>
    <row r="143" spans="1:51" s="984" customFormat="1">
      <c r="W143" s="156"/>
      <c r="X143" s="156"/>
      <c r="Y143" s="156"/>
      <c r="Z143" s="156"/>
      <c r="AA143" s="156"/>
      <c r="AB143" s="156"/>
      <c r="AC143" s="156"/>
      <c r="AD143" s="156"/>
      <c r="AE143" s="156"/>
      <c r="AF143" s="156"/>
      <c r="AG143" s="156"/>
      <c r="AH143" s="156"/>
      <c r="AI143" s="156"/>
      <c r="AJ143" s="156"/>
      <c r="AK143" s="156"/>
      <c r="AL143" s="156"/>
      <c r="AM143" s="156"/>
      <c r="AN143" s="156"/>
      <c r="AO143" s="156"/>
      <c r="AP143" s="363"/>
      <c r="AQ143" s="75"/>
      <c r="AR143" s="76"/>
      <c r="AS143" s="363"/>
      <c r="AT143" s="363"/>
      <c r="AU143" s="75"/>
      <c r="AV143" s="76"/>
      <c r="AW143" s="363"/>
      <c r="AX143" s="363"/>
      <c r="AY143" s="75"/>
    </row>
    <row r="144" spans="1:51" s="984" customFormat="1">
      <c r="W144" s="156"/>
      <c r="X144" s="156"/>
      <c r="Y144" s="156"/>
      <c r="Z144" s="156"/>
      <c r="AA144" s="156"/>
      <c r="AB144" s="156"/>
      <c r="AC144" s="156"/>
      <c r="AD144" s="156"/>
      <c r="AE144" s="156"/>
      <c r="AF144" s="156"/>
      <c r="AG144" s="156"/>
      <c r="AH144" s="156"/>
      <c r="AI144" s="156"/>
      <c r="AJ144" s="156"/>
      <c r="AK144" s="156"/>
      <c r="AL144" s="156"/>
      <c r="AM144" s="156"/>
      <c r="AN144" s="156"/>
      <c r="AO144" s="156"/>
      <c r="AP144" s="363"/>
      <c r="AQ144" s="75"/>
      <c r="AR144" s="76"/>
      <c r="AS144" s="363"/>
      <c r="AT144" s="363"/>
      <c r="AU144" s="75"/>
      <c r="AV144" s="76"/>
      <c r="AW144" s="363"/>
      <c r="AX144" s="363"/>
      <c r="AY144" s="75"/>
    </row>
    <row r="145" spans="23:51" s="984" customFormat="1">
      <c r="W145" s="156"/>
      <c r="X145" s="156"/>
      <c r="Y145" s="156"/>
      <c r="Z145" s="156"/>
      <c r="AA145" s="156"/>
      <c r="AB145" s="156"/>
      <c r="AC145" s="156"/>
      <c r="AD145" s="156"/>
      <c r="AE145" s="156"/>
      <c r="AF145" s="156"/>
      <c r="AG145" s="156"/>
      <c r="AH145" s="156"/>
      <c r="AI145" s="156"/>
      <c r="AJ145" s="156"/>
      <c r="AK145" s="156"/>
      <c r="AL145" s="156"/>
      <c r="AM145" s="156"/>
      <c r="AN145" s="156"/>
      <c r="AO145" s="156"/>
      <c r="AP145" s="363"/>
      <c r="AQ145" s="75"/>
      <c r="AR145" s="76"/>
      <c r="AS145" s="363"/>
      <c r="AT145" s="363"/>
      <c r="AU145" s="75"/>
      <c r="AV145" s="76"/>
      <c r="AW145" s="363"/>
      <c r="AX145" s="363"/>
      <c r="AY145" s="75"/>
    </row>
    <row r="146" spans="23:51" s="984" customFormat="1">
      <c r="W146" s="156"/>
      <c r="X146" s="156"/>
      <c r="Y146" s="156"/>
      <c r="Z146" s="156"/>
      <c r="AA146" s="156"/>
      <c r="AB146" s="156"/>
      <c r="AC146" s="156"/>
      <c r="AD146" s="156"/>
      <c r="AE146" s="156"/>
      <c r="AF146" s="156"/>
      <c r="AG146" s="156"/>
      <c r="AH146" s="156"/>
      <c r="AI146" s="156"/>
      <c r="AJ146" s="156"/>
      <c r="AK146" s="156"/>
      <c r="AL146" s="156"/>
      <c r="AM146" s="156"/>
      <c r="AN146" s="156"/>
      <c r="AO146" s="156"/>
      <c r="AP146" s="363"/>
      <c r="AQ146" s="75"/>
      <c r="AR146" s="76"/>
      <c r="AS146" s="363"/>
      <c r="AT146" s="363"/>
      <c r="AU146" s="75"/>
      <c r="AV146" s="76"/>
      <c r="AW146" s="363"/>
      <c r="AX146" s="363"/>
      <c r="AY146" s="75"/>
    </row>
    <row r="147" spans="23:51" s="984" customFormat="1">
      <c r="W147" s="156"/>
      <c r="X147" s="156"/>
      <c r="Y147" s="156"/>
      <c r="Z147" s="156"/>
      <c r="AA147" s="156"/>
      <c r="AB147" s="156"/>
      <c r="AC147" s="156"/>
      <c r="AD147" s="156"/>
      <c r="AE147" s="156"/>
      <c r="AF147" s="156"/>
      <c r="AG147" s="156"/>
      <c r="AH147" s="156"/>
      <c r="AI147" s="156"/>
      <c r="AJ147" s="156"/>
      <c r="AK147" s="156"/>
      <c r="AL147" s="156"/>
      <c r="AM147" s="156"/>
      <c r="AN147" s="156"/>
      <c r="AO147" s="156"/>
      <c r="AP147" s="363"/>
      <c r="AQ147" s="75"/>
      <c r="AR147" s="76"/>
      <c r="AS147" s="363"/>
      <c r="AT147" s="363"/>
      <c r="AU147" s="75"/>
      <c r="AV147" s="76"/>
      <c r="AW147" s="363"/>
      <c r="AX147" s="363"/>
      <c r="AY147" s="75"/>
    </row>
    <row r="148" spans="23:51" s="984" customFormat="1">
      <c r="W148" s="156"/>
      <c r="X148" s="156"/>
      <c r="Y148" s="156"/>
      <c r="Z148" s="156"/>
      <c r="AA148" s="156"/>
      <c r="AB148" s="156"/>
      <c r="AC148" s="156"/>
      <c r="AD148" s="156"/>
      <c r="AE148" s="156"/>
      <c r="AF148" s="156"/>
      <c r="AG148" s="156"/>
      <c r="AH148" s="156"/>
      <c r="AI148" s="156"/>
      <c r="AJ148" s="156"/>
      <c r="AK148" s="156"/>
      <c r="AL148" s="156"/>
      <c r="AM148" s="156"/>
      <c r="AN148" s="156"/>
      <c r="AO148" s="156"/>
      <c r="AP148" s="363"/>
      <c r="AQ148" s="75"/>
      <c r="AR148" s="76"/>
      <c r="AS148" s="363"/>
      <c r="AT148" s="363"/>
      <c r="AU148" s="75"/>
      <c r="AV148" s="76"/>
      <c r="AW148" s="363"/>
      <c r="AX148" s="363"/>
      <c r="AY148" s="75"/>
    </row>
    <row r="149" spans="23:51" s="984" customFormat="1">
      <c r="W149" s="156"/>
      <c r="X149" s="156"/>
      <c r="Y149" s="156"/>
      <c r="Z149" s="156"/>
      <c r="AA149" s="156"/>
      <c r="AB149" s="156"/>
      <c r="AC149" s="156"/>
      <c r="AD149" s="156"/>
      <c r="AE149" s="156"/>
      <c r="AF149" s="156"/>
      <c r="AG149" s="156"/>
      <c r="AH149" s="156"/>
      <c r="AI149" s="156"/>
      <c r="AJ149" s="156"/>
      <c r="AK149" s="156"/>
      <c r="AL149" s="156"/>
      <c r="AM149" s="156"/>
      <c r="AN149" s="156"/>
      <c r="AO149" s="156"/>
      <c r="AP149" s="363"/>
      <c r="AQ149" s="75"/>
      <c r="AR149" s="76"/>
      <c r="AS149" s="363"/>
      <c r="AT149" s="363"/>
      <c r="AU149" s="75"/>
      <c r="AV149" s="76"/>
      <c r="AW149" s="363"/>
      <c r="AX149" s="363"/>
      <c r="AY149" s="75"/>
    </row>
    <row r="150" spans="23:51" s="984" customFormat="1">
      <c r="W150" s="156"/>
      <c r="X150" s="156"/>
      <c r="Y150" s="156"/>
      <c r="Z150" s="156"/>
      <c r="AA150" s="156"/>
      <c r="AB150" s="156"/>
      <c r="AC150" s="156"/>
      <c r="AD150" s="156"/>
      <c r="AE150" s="156"/>
      <c r="AF150" s="156"/>
      <c r="AG150" s="156"/>
      <c r="AH150" s="156"/>
      <c r="AI150" s="156"/>
      <c r="AJ150" s="156"/>
      <c r="AK150" s="156"/>
      <c r="AL150" s="156"/>
      <c r="AM150" s="156"/>
      <c r="AN150" s="156"/>
      <c r="AO150" s="156"/>
      <c r="AP150" s="363"/>
      <c r="AQ150" s="75"/>
      <c r="AR150" s="76"/>
      <c r="AS150" s="363"/>
      <c r="AT150" s="363"/>
      <c r="AU150" s="75"/>
      <c r="AV150" s="76"/>
      <c r="AW150" s="363"/>
      <c r="AX150" s="363"/>
      <c r="AY150" s="75"/>
    </row>
    <row r="151" spans="23:51" s="984" customFormat="1">
      <c r="W151" s="156"/>
      <c r="X151" s="156"/>
      <c r="Y151" s="156"/>
      <c r="Z151" s="156"/>
      <c r="AA151" s="156"/>
      <c r="AB151" s="156"/>
      <c r="AC151" s="156"/>
      <c r="AD151" s="156"/>
      <c r="AE151" s="156"/>
      <c r="AF151" s="156"/>
      <c r="AG151" s="156"/>
      <c r="AH151" s="156"/>
      <c r="AI151" s="156"/>
      <c r="AJ151" s="156"/>
      <c r="AK151" s="156"/>
      <c r="AL151" s="156"/>
      <c r="AM151" s="156"/>
      <c r="AN151" s="156"/>
      <c r="AO151" s="156"/>
      <c r="AP151" s="363"/>
      <c r="AQ151" s="75"/>
      <c r="AR151" s="76"/>
      <c r="AS151" s="363"/>
      <c r="AT151" s="363"/>
      <c r="AU151" s="75"/>
      <c r="AV151" s="76"/>
      <c r="AW151" s="363"/>
      <c r="AX151" s="363"/>
      <c r="AY151" s="75"/>
    </row>
    <row r="152" spans="23:51" s="984" customFormat="1">
      <c r="W152" s="156"/>
      <c r="X152" s="156"/>
      <c r="Y152" s="156"/>
      <c r="Z152" s="156"/>
      <c r="AA152" s="156"/>
      <c r="AB152" s="156"/>
      <c r="AC152" s="156"/>
      <c r="AD152" s="156"/>
      <c r="AE152" s="156"/>
      <c r="AF152" s="156"/>
      <c r="AG152" s="156"/>
      <c r="AH152" s="156"/>
      <c r="AI152" s="156"/>
      <c r="AJ152" s="156"/>
      <c r="AK152" s="156"/>
      <c r="AL152" s="156"/>
      <c r="AM152" s="156"/>
      <c r="AN152" s="156"/>
      <c r="AO152" s="156"/>
      <c r="AP152" s="363"/>
      <c r="AQ152" s="75"/>
      <c r="AR152" s="76"/>
      <c r="AS152" s="363"/>
      <c r="AT152" s="363"/>
      <c r="AU152" s="75"/>
      <c r="AV152" s="76"/>
      <c r="AW152" s="363"/>
      <c r="AX152" s="363"/>
      <c r="AY152" s="75"/>
    </row>
    <row r="153" spans="23:51" s="984" customFormat="1">
      <c r="W153" s="156"/>
      <c r="X153" s="156"/>
      <c r="Y153" s="156"/>
      <c r="Z153" s="156"/>
      <c r="AA153" s="156"/>
      <c r="AB153" s="156"/>
      <c r="AC153" s="156"/>
      <c r="AD153" s="156"/>
      <c r="AE153" s="156"/>
      <c r="AF153" s="156"/>
      <c r="AG153" s="156"/>
      <c r="AH153" s="156"/>
      <c r="AI153" s="156"/>
      <c r="AJ153" s="156"/>
      <c r="AK153" s="156"/>
      <c r="AL153" s="156"/>
      <c r="AM153" s="156"/>
      <c r="AN153" s="156"/>
      <c r="AO153" s="156"/>
      <c r="AP153" s="363"/>
      <c r="AQ153" s="75"/>
      <c r="AR153" s="76"/>
      <c r="AS153" s="363"/>
      <c r="AT153" s="363"/>
      <c r="AU153" s="75"/>
      <c r="AV153" s="76"/>
      <c r="AW153" s="363"/>
      <c r="AX153" s="363"/>
      <c r="AY153" s="75"/>
    </row>
    <row r="154" spans="23:51" s="984" customFormat="1">
      <c r="W154" s="156"/>
      <c r="X154" s="156"/>
      <c r="Y154" s="156"/>
      <c r="Z154" s="156"/>
      <c r="AA154" s="156"/>
      <c r="AB154" s="156"/>
      <c r="AC154" s="156"/>
      <c r="AD154" s="156"/>
      <c r="AE154" s="156"/>
      <c r="AF154" s="156"/>
      <c r="AG154" s="156"/>
      <c r="AH154" s="156"/>
      <c r="AI154" s="156"/>
      <c r="AJ154" s="156"/>
      <c r="AK154" s="156"/>
      <c r="AL154" s="156"/>
      <c r="AM154" s="156"/>
      <c r="AN154" s="156"/>
      <c r="AO154" s="156"/>
      <c r="AP154" s="363"/>
      <c r="AQ154" s="75"/>
      <c r="AR154" s="76"/>
      <c r="AS154" s="363"/>
      <c r="AT154" s="363"/>
      <c r="AU154" s="75"/>
      <c r="AV154" s="76"/>
      <c r="AW154" s="363"/>
      <c r="AX154" s="363"/>
      <c r="AY154" s="75"/>
    </row>
    <row r="155" spans="23:51" s="984" customFormat="1">
      <c r="W155" s="156"/>
      <c r="X155" s="156"/>
      <c r="Y155" s="156"/>
      <c r="Z155" s="156"/>
      <c r="AA155" s="156"/>
      <c r="AB155" s="156"/>
      <c r="AC155" s="156"/>
      <c r="AD155" s="156"/>
      <c r="AE155" s="156"/>
      <c r="AF155" s="156"/>
      <c r="AG155" s="156"/>
      <c r="AH155" s="156"/>
      <c r="AI155" s="156"/>
      <c r="AJ155" s="156"/>
      <c r="AK155" s="156"/>
      <c r="AL155" s="156"/>
      <c r="AM155" s="156"/>
      <c r="AN155" s="156"/>
      <c r="AO155" s="156"/>
      <c r="AP155" s="363"/>
      <c r="AQ155" s="75"/>
      <c r="AR155" s="76"/>
      <c r="AS155" s="363"/>
      <c r="AT155" s="363"/>
      <c r="AU155" s="75"/>
      <c r="AV155" s="76"/>
      <c r="AW155" s="363"/>
      <c r="AX155" s="363"/>
      <c r="AY155" s="75"/>
    </row>
    <row r="156" spans="23:51" s="984" customFormat="1">
      <c r="W156" s="156"/>
      <c r="X156" s="156"/>
      <c r="Y156" s="156"/>
      <c r="Z156" s="156"/>
      <c r="AA156" s="156"/>
      <c r="AB156" s="156"/>
      <c r="AC156" s="156"/>
      <c r="AD156" s="156"/>
      <c r="AE156" s="156"/>
      <c r="AF156" s="156"/>
      <c r="AG156" s="156"/>
      <c r="AH156" s="156"/>
      <c r="AI156" s="156"/>
      <c r="AJ156" s="156"/>
      <c r="AK156" s="156"/>
      <c r="AL156" s="156"/>
      <c r="AM156" s="156"/>
      <c r="AN156" s="156"/>
      <c r="AO156" s="156"/>
      <c r="AP156" s="363"/>
      <c r="AQ156" s="75"/>
      <c r="AR156" s="76"/>
      <c r="AS156" s="363"/>
      <c r="AT156" s="363"/>
      <c r="AU156" s="75"/>
      <c r="AV156" s="76"/>
      <c r="AW156" s="363"/>
      <c r="AX156" s="363"/>
      <c r="AY156" s="75"/>
    </row>
    <row r="157" spans="23:51" s="984" customFormat="1">
      <c r="W157" s="156"/>
      <c r="X157" s="156"/>
      <c r="Y157" s="156"/>
      <c r="Z157" s="156"/>
      <c r="AA157" s="156"/>
      <c r="AB157" s="156"/>
      <c r="AC157" s="156"/>
      <c r="AD157" s="156"/>
      <c r="AE157" s="156"/>
      <c r="AF157" s="156"/>
      <c r="AG157" s="156"/>
      <c r="AH157" s="156"/>
      <c r="AI157" s="156"/>
      <c r="AJ157" s="156"/>
      <c r="AK157" s="156"/>
      <c r="AL157" s="156"/>
      <c r="AM157" s="156"/>
      <c r="AN157" s="156"/>
      <c r="AO157" s="156"/>
      <c r="AP157" s="363"/>
      <c r="AQ157" s="75"/>
      <c r="AR157" s="76"/>
      <c r="AS157" s="363"/>
      <c r="AT157" s="363"/>
      <c r="AU157" s="75"/>
      <c r="AV157" s="76"/>
      <c r="AW157" s="363"/>
      <c r="AX157" s="363"/>
      <c r="AY157" s="75"/>
    </row>
    <row r="158" spans="23:51" s="984" customFormat="1">
      <c r="W158" s="156"/>
      <c r="X158" s="156"/>
      <c r="Y158" s="156"/>
      <c r="Z158" s="156"/>
      <c r="AA158" s="156"/>
      <c r="AB158" s="156"/>
      <c r="AC158" s="156"/>
      <c r="AD158" s="156"/>
      <c r="AE158" s="156"/>
      <c r="AF158" s="156"/>
      <c r="AG158" s="156"/>
      <c r="AH158" s="156"/>
      <c r="AI158" s="156"/>
      <c r="AJ158" s="156"/>
      <c r="AK158" s="156"/>
      <c r="AL158" s="156"/>
      <c r="AM158" s="156"/>
      <c r="AN158" s="156"/>
      <c r="AO158" s="156"/>
      <c r="AP158" s="363"/>
      <c r="AQ158" s="75"/>
      <c r="AR158" s="76"/>
      <c r="AS158" s="363"/>
      <c r="AT158" s="363"/>
      <c r="AU158" s="75"/>
      <c r="AV158" s="76"/>
      <c r="AW158" s="363"/>
      <c r="AX158" s="363"/>
      <c r="AY158" s="75"/>
    </row>
    <row r="159" spans="23:51" s="984" customFormat="1">
      <c r="W159" s="156"/>
      <c r="X159" s="156"/>
      <c r="Y159" s="156"/>
      <c r="Z159" s="156"/>
      <c r="AA159" s="156"/>
      <c r="AB159" s="156"/>
      <c r="AC159" s="156"/>
      <c r="AD159" s="156"/>
      <c r="AE159" s="156"/>
      <c r="AF159" s="156"/>
      <c r="AG159" s="156"/>
      <c r="AH159" s="156"/>
      <c r="AI159" s="156"/>
      <c r="AJ159" s="156"/>
      <c r="AK159" s="156"/>
      <c r="AL159" s="156"/>
      <c r="AM159" s="156"/>
      <c r="AN159" s="156"/>
      <c r="AO159" s="156"/>
      <c r="AP159" s="363"/>
      <c r="AQ159" s="75"/>
      <c r="AR159" s="76"/>
      <c r="AS159" s="363"/>
      <c r="AT159" s="363"/>
      <c r="AU159" s="75"/>
      <c r="AV159" s="76"/>
      <c r="AW159" s="363"/>
      <c r="AX159" s="363"/>
      <c r="AY159" s="75"/>
    </row>
    <row r="160" spans="23:51" s="984" customFormat="1">
      <c r="W160" s="156"/>
      <c r="X160" s="156"/>
      <c r="Y160" s="156"/>
      <c r="Z160" s="156"/>
      <c r="AA160" s="156"/>
      <c r="AB160" s="156"/>
      <c r="AC160" s="156"/>
      <c r="AD160" s="156"/>
      <c r="AE160" s="156"/>
      <c r="AF160" s="156"/>
      <c r="AG160" s="156"/>
      <c r="AH160" s="156"/>
      <c r="AI160" s="156"/>
      <c r="AJ160" s="156"/>
      <c r="AK160" s="156"/>
      <c r="AL160" s="156"/>
      <c r="AM160" s="156"/>
      <c r="AN160" s="156"/>
      <c r="AO160" s="156"/>
      <c r="AP160" s="363"/>
      <c r="AQ160" s="75"/>
      <c r="AR160" s="76"/>
      <c r="AS160" s="363"/>
      <c r="AT160" s="363"/>
      <c r="AU160" s="75"/>
      <c r="AV160" s="76"/>
      <c r="AW160" s="363"/>
      <c r="AX160" s="363"/>
      <c r="AY160" s="75"/>
    </row>
    <row r="161" spans="23:51" s="984" customFormat="1">
      <c r="W161" s="156"/>
      <c r="X161" s="156"/>
      <c r="Y161" s="156"/>
      <c r="Z161" s="156"/>
      <c r="AA161" s="156"/>
      <c r="AB161" s="156"/>
      <c r="AC161" s="156"/>
      <c r="AD161" s="156"/>
      <c r="AE161" s="156"/>
      <c r="AF161" s="156"/>
      <c r="AG161" s="156"/>
      <c r="AH161" s="156"/>
      <c r="AI161" s="156"/>
      <c r="AJ161" s="156"/>
      <c r="AK161" s="156"/>
      <c r="AL161" s="156"/>
      <c r="AM161" s="156"/>
      <c r="AN161" s="156"/>
      <c r="AO161" s="156"/>
      <c r="AP161" s="363"/>
      <c r="AQ161" s="75"/>
      <c r="AR161" s="76"/>
      <c r="AS161" s="363"/>
      <c r="AT161" s="363"/>
      <c r="AU161" s="75"/>
      <c r="AV161" s="76"/>
      <c r="AW161" s="363"/>
      <c r="AX161" s="363"/>
      <c r="AY161" s="75"/>
    </row>
    <row r="162" spans="23:51" s="984" customFormat="1">
      <c r="W162" s="156"/>
      <c r="X162" s="156"/>
      <c r="Y162" s="156"/>
      <c r="Z162" s="156"/>
      <c r="AA162" s="156"/>
      <c r="AB162" s="156"/>
      <c r="AC162" s="156"/>
      <c r="AD162" s="156"/>
      <c r="AE162" s="156"/>
      <c r="AF162" s="156"/>
      <c r="AG162" s="156"/>
      <c r="AH162" s="156"/>
      <c r="AI162" s="156"/>
      <c r="AJ162" s="156"/>
      <c r="AK162" s="156"/>
      <c r="AL162" s="156"/>
      <c r="AM162" s="156"/>
      <c r="AN162" s="156"/>
      <c r="AO162" s="156"/>
      <c r="AP162" s="363"/>
      <c r="AQ162" s="75"/>
      <c r="AR162" s="76"/>
      <c r="AS162" s="363"/>
      <c r="AT162" s="363"/>
      <c r="AU162" s="75"/>
      <c r="AV162" s="76"/>
      <c r="AW162" s="363"/>
      <c r="AX162" s="363"/>
      <c r="AY162" s="75"/>
    </row>
    <row r="163" spans="23:51" s="984" customFormat="1">
      <c r="W163" s="156"/>
      <c r="X163" s="156"/>
      <c r="Y163" s="156"/>
      <c r="Z163" s="156"/>
      <c r="AA163" s="156"/>
      <c r="AB163" s="156"/>
      <c r="AC163" s="156"/>
      <c r="AD163" s="156"/>
      <c r="AE163" s="156"/>
      <c r="AF163" s="156"/>
      <c r="AG163" s="156"/>
      <c r="AH163" s="156"/>
      <c r="AI163" s="156"/>
      <c r="AJ163" s="156"/>
      <c r="AK163" s="156"/>
      <c r="AL163" s="156"/>
      <c r="AM163" s="156"/>
      <c r="AN163" s="156"/>
      <c r="AO163" s="156"/>
      <c r="AP163" s="363"/>
      <c r="AQ163" s="75"/>
      <c r="AR163" s="76"/>
      <c r="AS163" s="363"/>
      <c r="AT163" s="363"/>
      <c r="AU163" s="75"/>
      <c r="AV163" s="76"/>
      <c r="AW163" s="363"/>
      <c r="AX163" s="363"/>
      <c r="AY163" s="75"/>
    </row>
    <row r="164" spans="23:51" s="984" customFormat="1">
      <c r="W164" s="156"/>
      <c r="X164" s="156"/>
      <c r="Y164" s="156"/>
      <c r="Z164" s="156"/>
      <c r="AA164" s="156"/>
      <c r="AB164" s="156"/>
      <c r="AC164" s="156"/>
      <c r="AD164" s="156"/>
      <c r="AE164" s="156"/>
      <c r="AF164" s="156"/>
      <c r="AG164" s="156"/>
      <c r="AH164" s="156"/>
      <c r="AI164" s="156"/>
      <c r="AJ164" s="156"/>
      <c r="AK164" s="156"/>
      <c r="AL164" s="156"/>
      <c r="AM164" s="156"/>
      <c r="AN164" s="156"/>
      <c r="AO164" s="156"/>
      <c r="AP164" s="363"/>
      <c r="AQ164" s="75"/>
      <c r="AR164" s="76"/>
      <c r="AS164" s="363"/>
      <c r="AT164" s="363"/>
      <c r="AU164" s="75"/>
      <c r="AV164" s="76"/>
      <c r="AW164" s="363"/>
      <c r="AX164" s="363"/>
      <c r="AY164" s="75"/>
    </row>
    <row r="165" spans="23:51" s="984" customFormat="1">
      <c r="W165" s="156"/>
      <c r="X165" s="156"/>
      <c r="Y165" s="156"/>
      <c r="Z165" s="156"/>
      <c r="AA165" s="156"/>
      <c r="AB165" s="156"/>
      <c r="AC165" s="156"/>
      <c r="AD165" s="156"/>
      <c r="AE165" s="156"/>
      <c r="AF165" s="156"/>
      <c r="AG165" s="156"/>
      <c r="AH165" s="156"/>
      <c r="AI165" s="156"/>
      <c r="AJ165" s="156"/>
      <c r="AK165" s="156"/>
      <c r="AL165" s="156"/>
      <c r="AM165" s="156"/>
      <c r="AN165" s="156"/>
      <c r="AO165" s="156"/>
      <c r="AP165" s="363"/>
      <c r="AQ165" s="75"/>
      <c r="AR165" s="76"/>
      <c r="AS165" s="363"/>
      <c r="AT165" s="363"/>
      <c r="AU165" s="75"/>
      <c r="AV165" s="76"/>
      <c r="AW165" s="363"/>
      <c r="AX165" s="363"/>
      <c r="AY165" s="75"/>
    </row>
    <row r="166" spans="23:51" s="984" customFormat="1">
      <c r="W166" s="156"/>
      <c r="X166" s="156"/>
      <c r="Y166" s="156"/>
      <c r="Z166" s="156"/>
      <c r="AA166" s="156"/>
      <c r="AB166" s="156"/>
      <c r="AC166" s="156"/>
      <c r="AD166" s="156"/>
      <c r="AE166" s="156"/>
      <c r="AF166" s="156"/>
      <c r="AG166" s="156"/>
      <c r="AH166" s="156"/>
      <c r="AI166" s="156"/>
      <c r="AJ166" s="156"/>
      <c r="AK166" s="156"/>
      <c r="AL166" s="156"/>
      <c r="AM166" s="156"/>
      <c r="AN166" s="156"/>
      <c r="AO166" s="156"/>
      <c r="AP166" s="363"/>
      <c r="AQ166" s="75"/>
      <c r="AR166" s="76"/>
      <c r="AS166" s="363"/>
      <c r="AT166" s="363"/>
      <c r="AU166" s="75"/>
      <c r="AV166" s="76"/>
      <c r="AW166" s="363"/>
      <c r="AX166" s="363"/>
      <c r="AY166" s="75"/>
    </row>
    <row r="167" spans="23:51" s="984" customFormat="1">
      <c r="W167" s="156"/>
      <c r="X167" s="156"/>
      <c r="Y167" s="156"/>
      <c r="Z167" s="156"/>
      <c r="AA167" s="156"/>
      <c r="AB167" s="156"/>
      <c r="AC167" s="156"/>
      <c r="AD167" s="156"/>
      <c r="AE167" s="156"/>
      <c r="AF167" s="156"/>
      <c r="AG167" s="156"/>
      <c r="AH167" s="156"/>
      <c r="AI167" s="156"/>
      <c r="AJ167" s="156"/>
      <c r="AK167" s="156"/>
      <c r="AL167" s="156"/>
      <c r="AM167" s="156"/>
      <c r="AN167" s="156"/>
      <c r="AO167" s="156"/>
      <c r="AP167" s="363"/>
      <c r="AQ167" s="75"/>
      <c r="AR167" s="76"/>
      <c r="AS167" s="363"/>
      <c r="AT167" s="363"/>
      <c r="AU167" s="75"/>
      <c r="AV167" s="76"/>
      <c r="AW167" s="363"/>
      <c r="AX167" s="363"/>
      <c r="AY167" s="75"/>
    </row>
    <row r="168" spans="23:51" s="984" customFormat="1">
      <c r="W168" s="156"/>
      <c r="X168" s="156"/>
      <c r="Y168" s="156"/>
      <c r="Z168" s="156"/>
      <c r="AA168" s="156"/>
      <c r="AB168" s="156"/>
      <c r="AC168" s="156"/>
      <c r="AD168" s="156"/>
      <c r="AE168" s="156"/>
      <c r="AF168" s="156"/>
      <c r="AG168" s="156"/>
      <c r="AH168" s="156"/>
      <c r="AI168" s="156"/>
      <c r="AJ168" s="156"/>
      <c r="AK168" s="156"/>
      <c r="AL168" s="156"/>
      <c r="AM168" s="156"/>
      <c r="AN168" s="156"/>
      <c r="AO168" s="156"/>
      <c r="AP168" s="363"/>
      <c r="AQ168" s="75"/>
      <c r="AR168" s="76"/>
      <c r="AS168" s="363"/>
      <c r="AT168" s="363"/>
      <c r="AU168" s="75"/>
      <c r="AV168" s="76"/>
      <c r="AW168" s="363"/>
      <c r="AX168" s="363"/>
      <c r="AY168" s="75"/>
    </row>
    <row r="169" spans="23:51" s="984" customFormat="1">
      <c r="W169" s="156"/>
      <c r="X169" s="156"/>
      <c r="Y169" s="156"/>
      <c r="Z169" s="156"/>
      <c r="AA169" s="156"/>
      <c r="AB169" s="156"/>
      <c r="AC169" s="156"/>
      <c r="AD169" s="156"/>
      <c r="AE169" s="156"/>
      <c r="AF169" s="156"/>
      <c r="AG169" s="156"/>
      <c r="AH169" s="156"/>
      <c r="AI169" s="156"/>
      <c r="AJ169" s="156"/>
      <c r="AK169" s="156"/>
      <c r="AL169" s="156"/>
      <c r="AM169" s="156"/>
      <c r="AN169" s="156"/>
      <c r="AO169" s="156"/>
      <c r="AP169" s="363"/>
      <c r="AQ169" s="75"/>
      <c r="AR169" s="76"/>
      <c r="AS169" s="363"/>
      <c r="AT169" s="363"/>
      <c r="AU169" s="75"/>
      <c r="AV169" s="76"/>
      <c r="AW169" s="363"/>
      <c r="AX169" s="363"/>
      <c r="AY169" s="75"/>
    </row>
    <row r="170" spans="23:51" s="984" customFormat="1">
      <c r="W170" s="156"/>
      <c r="X170" s="156"/>
      <c r="Y170" s="156"/>
      <c r="Z170" s="156"/>
      <c r="AA170" s="156"/>
      <c r="AB170" s="156"/>
      <c r="AC170" s="156"/>
      <c r="AD170" s="156"/>
      <c r="AE170" s="156"/>
      <c r="AF170" s="156"/>
      <c r="AG170" s="156"/>
      <c r="AH170" s="156"/>
      <c r="AI170" s="156"/>
      <c r="AJ170" s="156"/>
      <c r="AK170" s="156"/>
      <c r="AL170" s="156"/>
      <c r="AM170" s="156"/>
      <c r="AN170" s="156"/>
      <c r="AO170" s="156"/>
      <c r="AP170" s="363"/>
      <c r="AQ170" s="75"/>
      <c r="AR170" s="76"/>
      <c r="AS170" s="363"/>
      <c r="AT170" s="363"/>
      <c r="AU170" s="75"/>
      <c r="AV170" s="76"/>
      <c r="AW170" s="363"/>
      <c r="AX170" s="363"/>
      <c r="AY170" s="75"/>
    </row>
    <row r="171" spans="23:51" s="984" customFormat="1">
      <c r="W171" s="156"/>
      <c r="X171" s="156"/>
      <c r="Y171" s="156"/>
      <c r="Z171" s="156"/>
      <c r="AA171" s="156"/>
      <c r="AB171" s="156"/>
      <c r="AC171" s="156"/>
      <c r="AD171" s="156"/>
      <c r="AE171" s="156"/>
      <c r="AF171" s="156"/>
      <c r="AG171" s="156"/>
      <c r="AH171" s="156"/>
      <c r="AI171" s="156"/>
      <c r="AJ171" s="156"/>
      <c r="AK171" s="156"/>
      <c r="AL171" s="156"/>
      <c r="AM171" s="156"/>
      <c r="AN171" s="156"/>
      <c r="AO171" s="156"/>
      <c r="AP171" s="363"/>
      <c r="AQ171" s="75"/>
      <c r="AR171" s="76"/>
      <c r="AS171" s="363"/>
      <c r="AT171" s="363"/>
      <c r="AU171" s="75"/>
      <c r="AV171" s="76"/>
      <c r="AW171" s="363"/>
      <c r="AX171" s="363"/>
      <c r="AY171" s="75"/>
    </row>
    <row r="172" spans="23:51" s="984" customFormat="1">
      <c r="W172" s="156"/>
      <c r="X172" s="156"/>
      <c r="Y172" s="156"/>
      <c r="Z172" s="156"/>
      <c r="AA172" s="156"/>
      <c r="AB172" s="156"/>
      <c r="AC172" s="156"/>
      <c r="AD172" s="156"/>
      <c r="AE172" s="156"/>
      <c r="AF172" s="156"/>
      <c r="AG172" s="156"/>
      <c r="AH172" s="156"/>
      <c r="AI172" s="156"/>
      <c r="AJ172" s="156"/>
      <c r="AK172" s="156"/>
      <c r="AL172" s="156"/>
      <c r="AM172" s="156"/>
      <c r="AN172" s="156"/>
      <c r="AO172" s="156"/>
      <c r="AP172" s="363"/>
      <c r="AQ172" s="75"/>
      <c r="AR172" s="76"/>
      <c r="AS172" s="363"/>
      <c r="AT172" s="363"/>
      <c r="AU172" s="75"/>
      <c r="AV172" s="76"/>
      <c r="AW172" s="363"/>
      <c r="AX172" s="363"/>
      <c r="AY172" s="75"/>
    </row>
    <row r="173" spans="23:51" s="984" customFormat="1">
      <c r="W173" s="156"/>
      <c r="X173" s="156"/>
      <c r="Y173" s="156"/>
      <c r="Z173" s="156"/>
      <c r="AA173" s="156"/>
      <c r="AB173" s="156"/>
      <c r="AC173" s="156"/>
      <c r="AD173" s="156"/>
      <c r="AE173" s="156"/>
      <c r="AF173" s="156"/>
      <c r="AG173" s="156"/>
      <c r="AH173" s="156"/>
      <c r="AI173" s="156"/>
      <c r="AJ173" s="156"/>
      <c r="AK173" s="156"/>
      <c r="AL173" s="156"/>
      <c r="AM173" s="156"/>
      <c r="AN173" s="156"/>
      <c r="AO173" s="156"/>
      <c r="AP173" s="363"/>
      <c r="AQ173" s="75"/>
      <c r="AR173" s="76"/>
      <c r="AS173" s="363"/>
      <c r="AT173" s="363"/>
      <c r="AU173" s="75"/>
      <c r="AV173" s="76"/>
      <c r="AW173" s="363"/>
      <c r="AX173" s="363"/>
      <c r="AY173" s="75"/>
    </row>
    <row r="174" spans="23:51" s="984" customFormat="1">
      <c r="W174" s="156"/>
      <c r="X174" s="156"/>
      <c r="Y174" s="156"/>
      <c r="Z174" s="156"/>
      <c r="AA174" s="156"/>
      <c r="AB174" s="156"/>
      <c r="AC174" s="156"/>
      <c r="AD174" s="156"/>
      <c r="AE174" s="156"/>
      <c r="AF174" s="156"/>
      <c r="AG174" s="156"/>
      <c r="AH174" s="156"/>
      <c r="AI174" s="156"/>
      <c r="AJ174" s="156"/>
      <c r="AK174" s="156"/>
      <c r="AL174" s="156"/>
      <c r="AM174" s="156"/>
      <c r="AN174" s="156"/>
      <c r="AO174" s="156"/>
      <c r="AP174" s="363"/>
      <c r="AQ174" s="75"/>
      <c r="AR174" s="76"/>
      <c r="AS174" s="363"/>
      <c r="AT174" s="363"/>
      <c r="AU174" s="75"/>
      <c r="AV174" s="76"/>
      <c r="AW174" s="363"/>
      <c r="AX174" s="363"/>
      <c r="AY174" s="75"/>
    </row>
    <row r="175" spans="23:51" s="984" customFormat="1">
      <c r="W175" s="156"/>
      <c r="X175" s="156"/>
      <c r="Y175" s="156"/>
      <c r="Z175" s="156"/>
      <c r="AA175" s="156"/>
      <c r="AB175" s="156"/>
      <c r="AC175" s="156"/>
      <c r="AD175" s="156"/>
      <c r="AE175" s="156"/>
      <c r="AF175" s="156"/>
      <c r="AG175" s="156"/>
      <c r="AH175" s="156"/>
      <c r="AI175" s="156"/>
      <c r="AJ175" s="156"/>
      <c r="AK175" s="156"/>
      <c r="AL175" s="156"/>
      <c r="AM175" s="156"/>
      <c r="AN175" s="156"/>
      <c r="AO175" s="156"/>
      <c r="AP175" s="363"/>
      <c r="AQ175" s="75"/>
      <c r="AR175" s="76"/>
      <c r="AS175" s="363"/>
      <c r="AT175" s="363"/>
      <c r="AU175" s="75"/>
      <c r="AV175" s="76"/>
      <c r="AW175" s="363"/>
      <c r="AX175" s="363"/>
      <c r="AY175" s="75"/>
    </row>
    <row r="176" spans="23:51" s="984" customFormat="1">
      <c r="W176" s="156"/>
      <c r="X176" s="156"/>
      <c r="Y176" s="156"/>
      <c r="Z176" s="156"/>
      <c r="AA176" s="156"/>
      <c r="AB176" s="156"/>
      <c r="AC176" s="156"/>
      <c r="AD176" s="156"/>
      <c r="AE176" s="156"/>
      <c r="AF176" s="156"/>
      <c r="AG176" s="156"/>
      <c r="AH176" s="156"/>
      <c r="AI176" s="156"/>
      <c r="AJ176" s="156"/>
      <c r="AK176" s="156"/>
      <c r="AL176" s="156"/>
      <c r="AM176" s="156"/>
      <c r="AN176" s="156"/>
      <c r="AO176" s="156"/>
      <c r="AP176" s="363"/>
      <c r="AQ176" s="75"/>
      <c r="AR176" s="76"/>
      <c r="AS176" s="363"/>
      <c r="AT176" s="363"/>
      <c r="AU176" s="75"/>
      <c r="AV176" s="76"/>
      <c r="AW176" s="363"/>
      <c r="AX176" s="363"/>
      <c r="AY176" s="75"/>
    </row>
    <row r="177" spans="23:51" s="984" customFormat="1">
      <c r="W177" s="156"/>
      <c r="X177" s="156"/>
      <c r="Y177" s="156"/>
      <c r="Z177" s="156"/>
      <c r="AA177" s="156"/>
      <c r="AB177" s="156"/>
      <c r="AC177" s="156"/>
      <c r="AD177" s="156"/>
      <c r="AE177" s="156"/>
      <c r="AF177" s="156"/>
      <c r="AG177" s="156"/>
      <c r="AH177" s="156"/>
      <c r="AI177" s="156"/>
      <c r="AJ177" s="156"/>
      <c r="AK177" s="156"/>
      <c r="AL177" s="156"/>
      <c r="AM177" s="156"/>
      <c r="AN177" s="156"/>
      <c r="AO177" s="156"/>
      <c r="AP177" s="363"/>
      <c r="AQ177" s="75"/>
      <c r="AR177" s="76"/>
      <c r="AS177" s="363"/>
      <c r="AT177" s="363"/>
      <c r="AU177" s="75"/>
      <c r="AV177" s="76"/>
      <c r="AW177" s="363"/>
      <c r="AX177" s="363"/>
      <c r="AY177" s="75"/>
    </row>
    <row r="178" spans="23:51" s="984" customFormat="1">
      <c r="W178" s="156"/>
      <c r="X178" s="156"/>
      <c r="Y178" s="156"/>
      <c r="Z178" s="156"/>
      <c r="AA178" s="156"/>
      <c r="AB178" s="156"/>
      <c r="AC178" s="156"/>
      <c r="AD178" s="156"/>
      <c r="AE178" s="156"/>
      <c r="AF178" s="156"/>
      <c r="AG178" s="156"/>
      <c r="AH178" s="156"/>
      <c r="AI178" s="156"/>
      <c r="AJ178" s="156"/>
      <c r="AK178" s="156"/>
      <c r="AL178" s="156"/>
      <c r="AM178" s="156"/>
      <c r="AN178" s="156"/>
      <c r="AO178" s="156"/>
      <c r="AP178" s="363"/>
      <c r="AQ178" s="75"/>
      <c r="AR178" s="76"/>
      <c r="AS178" s="363"/>
      <c r="AT178" s="363"/>
      <c r="AU178" s="75"/>
      <c r="AV178" s="76"/>
      <c r="AW178" s="363"/>
      <c r="AX178" s="363"/>
      <c r="AY178" s="75"/>
    </row>
    <row r="179" spans="23:51" s="984" customFormat="1">
      <c r="W179" s="156"/>
      <c r="X179" s="156"/>
      <c r="Y179" s="156"/>
      <c r="Z179" s="156"/>
      <c r="AA179" s="156"/>
      <c r="AB179" s="156"/>
      <c r="AC179" s="156"/>
      <c r="AD179" s="156"/>
      <c r="AE179" s="156"/>
      <c r="AF179" s="156"/>
      <c r="AG179" s="156"/>
      <c r="AH179" s="156"/>
      <c r="AI179" s="156"/>
      <c r="AJ179" s="156"/>
      <c r="AK179" s="156"/>
      <c r="AL179" s="156"/>
      <c r="AM179" s="156"/>
      <c r="AN179" s="156"/>
      <c r="AO179" s="156"/>
      <c r="AP179" s="363"/>
      <c r="AQ179" s="75"/>
      <c r="AR179" s="76"/>
      <c r="AS179" s="363"/>
      <c r="AT179" s="363"/>
      <c r="AU179" s="75"/>
      <c r="AV179" s="76"/>
      <c r="AW179" s="363"/>
      <c r="AX179" s="363"/>
      <c r="AY179" s="75"/>
    </row>
    <row r="180" spans="23:51" s="984" customFormat="1">
      <c r="W180" s="156"/>
      <c r="X180" s="156"/>
      <c r="Y180" s="156"/>
      <c r="Z180" s="156"/>
      <c r="AA180" s="156"/>
      <c r="AB180" s="156"/>
      <c r="AC180" s="156"/>
      <c r="AD180" s="156"/>
      <c r="AE180" s="156"/>
      <c r="AF180" s="156"/>
      <c r="AG180" s="156"/>
      <c r="AH180" s="156"/>
      <c r="AI180" s="156"/>
      <c r="AJ180" s="156"/>
      <c r="AK180" s="156"/>
      <c r="AL180" s="156"/>
      <c r="AM180" s="156"/>
      <c r="AN180" s="156"/>
      <c r="AO180" s="156"/>
      <c r="AP180" s="363"/>
      <c r="AQ180" s="75"/>
      <c r="AR180" s="76"/>
      <c r="AS180" s="363"/>
      <c r="AT180" s="363"/>
      <c r="AU180" s="75"/>
      <c r="AV180" s="76"/>
      <c r="AW180" s="363"/>
      <c r="AX180" s="363"/>
      <c r="AY180" s="75"/>
    </row>
    <row r="181" spans="23:51" s="984" customFormat="1">
      <c r="W181" s="156"/>
      <c r="X181" s="156"/>
      <c r="Y181" s="156"/>
      <c r="Z181" s="156"/>
      <c r="AA181" s="156"/>
      <c r="AB181" s="156"/>
      <c r="AC181" s="156"/>
      <c r="AD181" s="156"/>
      <c r="AE181" s="156"/>
      <c r="AF181" s="156"/>
      <c r="AG181" s="156"/>
      <c r="AH181" s="156"/>
      <c r="AI181" s="156"/>
      <c r="AJ181" s="156"/>
      <c r="AK181" s="156"/>
      <c r="AL181" s="156"/>
      <c r="AM181" s="156"/>
      <c r="AN181" s="156"/>
      <c r="AO181" s="156"/>
      <c r="AP181" s="363"/>
      <c r="AQ181" s="75"/>
      <c r="AR181" s="76"/>
      <c r="AS181" s="363"/>
      <c r="AT181" s="363"/>
      <c r="AU181" s="75"/>
      <c r="AV181" s="76"/>
      <c r="AW181" s="363"/>
      <c r="AX181" s="363"/>
      <c r="AY181" s="75"/>
    </row>
    <row r="182" spans="23:51" s="984" customFormat="1">
      <c r="W182" s="156"/>
      <c r="X182" s="156"/>
      <c r="Y182" s="156"/>
      <c r="Z182" s="156"/>
      <c r="AA182" s="156"/>
      <c r="AB182" s="156"/>
      <c r="AC182" s="156"/>
      <c r="AD182" s="156"/>
      <c r="AE182" s="156"/>
      <c r="AF182" s="156"/>
      <c r="AG182" s="156"/>
      <c r="AH182" s="156"/>
      <c r="AI182" s="156"/>
      <c r="AJ182" s="156"/>
      <c r="AK182" s="156"/>
      <c r="AL182" s="156"/>
      <c r="AM182" s="156"/>
      <c r="AN182" s="156"/>
      <c r="AO182" s="156"/>
      <c r="AP182" s="363"/>
      <c r="AQ182" s="75"/>
      <c r="AR182" s="76"/>
      <c r="AS182" s="363"/>
      <c r="AT182" s="363"/>
      <c r="AU182" s="75"/>
      <c r="AV182" s="76"/>
      <c r="AW182" s="363"/>
      <c r="AX182" s="363"/>
      <c r="AY182" s="75"/>
    </row>
    <row r="183" spans="23:51" s="984" customFormat="1">
      <c r="W183" s="156"/>
      <c r="X183" s="156"/>
      <c r="Y183" s="156"/>
      <c r="Z183" s="156"/>
      <c r="AA183" s="156"/>
      <c r="AB183" s="156"/>
      <c r="AC183" s="156"/>
      <c r="AD183" s="156"/>
      <c r="AE183" s="156"/>
      <c r="AF183" s="156"/>
      <c r="AG183" s="156"/>
      <c r="AH183" s="156"/>
      <c r="AI183" s="156"/>
      <c r="AJ183" s="156"/>
      <c r="AK183" s="156"/>
      <c r="AL183" s="156"/>
      <c r="AM183" s="156"/>
      <c r="AN183" s="156"/>
      <c r="AO183" s="156"/>
      <c r="AP183" s="363"/>
      <c r="AQ183" s="75"/>
      <c r="AR183" s="76"/>
      <c r="AS183" s="363"/>
      <c r="AT183" s="363"/>
      <c r="AU183" s="75"/>
      <c r="AV183" s="76"/>
      <c r="AW183" s="363"/>
      <c r="AX183" s="363"/>
      <c r="AY183" s="75"/>
    </row>
    <row r="184" spans="23:51" s="984" customFormat="1">
      <c r="W184" s="156"/>
      <c r="X184" s="156"/>
      <c r="Y184" s="156"/>
      <c r="Z184" s="156"/>
      <c r="AA184" s="156"/>
      <c r="AB184" s="156"/>
      <c r="AC184" s="156"/>
      <c r="AD184" s="156"/>
      <c r="AE184" s="156"/>
      <c r="AF184" s="156"/>
      <c r="AG184" s="156"/>
      <c r="AH184" s="156"/>
      <c r="AI184" s="156"/>
      <c r="AJ184" s="156"/>
      <c r="AK184" s="156"/>
      <c r="AL184" s="156"/>
      <c r="AM184" s="156"/>
      <c r="AN184" s="156"/>
      <c r="AO184" s="156"/>
      <c r="AP184" s="363"/>
      <c r="AQ184" s="75"/>
      <c r="AR184" s="76"/>
      <c r="AS184" s="363"/>
      <c r="AT184" s="363"/>
      <c r="AU184" s="75"/>
      <c r="AV184" s="76"/>
      <c r="AW184" s="363"/>
      <c r="AX184" s="363"/>
      <c r="AY184" s="75"/>
    </row>
    <row r="185" spans="23:51" s="984" customFormat="1">
      <c r="W185" s="156"/>
      <c r="X185" s="156"/>
      <c r="Y185" s="156"/>
      <c r="Z185" s="156"/>
      <c r="AA185" s="156"/>
      <c r="AB185" s="156"/>
      <c r="AC185" s="156"/>
      <c r="AD185" s="156"/>
      <c r="AE185" s="156"/>
      <c r="AF185" s="156"/>
      <c r="AG185" s="156"/>
      <c r="AH185" s="156"/>
      <c r="AI185" s="156"/>
      <c r="AJ185" s="156"/>
      <c r="AK185" s="156"/>
      <c r="AL185" s="156"/>
      <c r="AM185" s="156"/>
      <c r="AN185" s="156"/>
      <c r="AO185" s="156"/>
      <c r="AP185" s="363"/>
      <c r="AQ185" s="75"/>
      <c r="AR185" s="76"/>
      <c r="AS185" s="363"/>
      <c r="AT185" s="363"/>
      <c r="AU185" s="75"/>
      <c r="AV185" s="76"/>
      <c r="AW185" s="363"/>
      <c r="AX185" s="363"/>
      <c r="AY185" s="75"/>
    </row>
    <row r="186" spans="23:51" s="984" customFormat="1">
      <c r="W186" s="156"/>
      <c r="X186" s="156"/>
      <c r="Y186" s="156"/>
      <c r="Z186" s="156"/>
      <c r="AA186" s="156"/>
      <c r="AB186" s="156"/>
      <c r="AC186" s="156"/>
      <c r="AD186" s="156"/>
      <c r="AE186" s="156"/>
      <c r="AF186" s="156"/>
      <c r="AG186" s="156"/>
      <c r="AH186" s="156"/>
      <c r="AI186" s="156"/>
      <c r="AJ186" s="156"/>
      <c r="AK186" s="156"/>
      <c r="AL186" s="156"/>
      <c r="AM186" s="156"/>
      <c r="AN186" s="156"/>
      <c r="AO186" s="156"/>
      <c r="AP186" s="363"/>
      <c r="AQ186" s="75"/>
      <c r="AR186" s="76"/>
      <c r="AS186" s="363"/>
      <c r="AT186" s="363"/>
      <c r="AU186" s="75"/>
      <c r="AV186" s="76"/>
      <c r="AW186" s="363"/>
      <c r="AX186" s="363"/>
      <c r="AY186" s="75"/>
    </row>
    <row r="187" spans="23:51" s="984" customFormat="1">
      <c r="W187" s="156"/>
      <c r="X187" s="156"/>
      <c r="Y187" s="156"/>
      <c r="Z187" s="156"/>
      <c r="AA187" s="156"/>
      <c r="AB187" s="156"/>
      <c r="AC187" s="156"/>
      <c r="AD187" s="156"/>
      <c r="AE187" s="156"/>
      <c r="AF187" s="156"/>
      <c r="AG187" s="156"/>
      <c r="AH187" s="156"/>
      <c r="AI187" s="156"/>
      <c r="AJ187" s="156"/>
      <c r="AK187" s="156"/>
      <c r="AL187" s="156"/>
      <c r="AM187" s="156"/>
      <c r="AN187" s="156"/>
      <c r="AO187" s="156"/>
      <c r="AP187" s="363"/>
      <c r="AQ187" s="75"/>
      <c r="AR187" s="76"/>
      <c r="AS187" s="363"/>
      <c r="AT187" s="363"/>
      <c r="AU187" s="75"/>
      <c r="AV187" s="76"/>
      <c r="AW187" s="363"/>
      <c r="AX187" s="363"/>
      <c r="AY187" s="75"/>
    </row>
    <row r="188" spans="23:51" s="984" customFormat="1">
      <c r="W188" s="156"/>
      <c r="X188" s="156"/>
      <c r="Y188" s="156"/>
      <c r="Z188" s="156"/>
      <c r="AA188" s="156"/>
      <c r="AB188" s="156"/>
      <c r="AC188" s="156"/>
      <c r="AD188" s="156"/>
      <c r="AE188" s="156"/>
      <c r="AF188" s="156"/>
      <c r="AG188" s="156"/>
      <c r="AH188" s="156"/>
      <c r="AI188" s="156"/>
      <c r="AJ188" s="156"/>
      <c r="AK188" s="156"/>
      <c r="AL188" s="156"/>
      <c r="AM188" s="156"/>
      <c r="AN188" s="156"/>
      <c r="AO188" s="156"/>
      <c r="AP188" s="363"/>
      <c r="AQ188" s="75"/>
      <c r="AR188" s="76"/>
      <c r="AS188" s="363"/>
      <c r="AT188" s="363"/>
      <c r="AU188" s="75"/>
      <c r="AV188" s="76"/>
      <c r="AW188" s="363"/>
      <c r="AX188" s="363"/>
      <c r="AY188" s="75"/>
    </row>
    <row r="189" spans="23:51" s="984" customFormat="1">
      <c r="W189" s="156"/>
      <c r="X189" s="156"/>
      <c r="Y189" s="156"/>
      <c r="Z189" s="156"/>
      <c r="AA189" s="156"/>
      <c r="AB189" s="156"/>
      <c r="AC189" s="156"/>
      <c r="AD189" s="156"/>
      <c r="AE189" s="156"/>
      <c r="AF189" s="156"/>
      <c r="AG189" s="156"/>
      <c r="AH189" s="156"/>
      <c r="AI189" s="156"/>
      <c r="AJ189" s="156"/>
      <c r="AK189" s="156"/>
      <c r="AL189" s="156"/>
      <c r="AM189" s="156"/>
      <c r="AN189" s="156"/>
      <c r="AO189" s="156"/>
      <c r="AP189" s="363"/>
      <c r="AQ189" s="75"/>
      <c r="AR189" s="76"/>
      <c r="AS189" s="363"/>
      <c r="AT189" s="363"/>
      <c r="AU189" s="75"/>
      <c r="AV189" s="76"/>
      <c r="AW189" s="363"/>
      <c r="AX189" s="363"/>
      <c r="AY189" s="75"/>
    </row>
    <row r="190" spans="23:51" s="984" customFormat="1">
      <c r="W190" s="156"/>
      <c r="X190" s="156"/>
      <c r="Y190" s="156"/>
      <c r="Z190" s="156"/>
      <c r="AA190" s="156"/>
      <c r="AB190" s="156"/>
      <c r="AC190" s="156"/>
      <c r="AD190" s="156"/>
      <c r="AE190" s="156"/>
      <c r="AF190" s="156"/>
      <c r="AG190" s="156"/>
      <c r="AH190" s="156"/>
      <c r="AI190" s="156"/>
      <c r="AJ190" s="156"/>
      <c r="AK190" s="156"/>
      <c r="AL190" s="156"/>
      <c r="AM190" s="156"/>
      <c r="AN190" s="156"/>
      <c r="AO190" s="156"/>
      <c r="AP190" s="363"/>
      <c r="AQ190" s="75"/>
      <c r="AR190" s="76"/>
      <c r="AS190" s="363"/>
      <c r="AT190" s="363"/>
      <c r="AU190" s="75"/>
      <c r="AV190" s="76"/>
      <c r="AW190" s="363"/>
      <c r="AX190" s="363"/>
      <c r="AY190" s="75"/>
    </row>
    <row r="191" spans="23:51" s="984" customFormat="1">
      <c r="W191" s="156"/>
      <c r="X191" s="156"/>
      <c r="Y191" s="156"/>
      <c r="Z191" s="156"/>
      <c r="AA191" s="156"/>
      <c r="AB191" s="156"/>
      <c r="AC191" s="156"/>
      <c r="AD191" s="156"/>
      <c r="AE191" s="156"/>
      <c r="AF191" s="156"/>
      <c r="AG191" s="156"/>
      <c r="AH191" s="156"/>
      <c r="AI191" s="156"/>
      <c r="AJ191" s="156"/>
      <c r="AK191" s="156"/>
      <c r="AL191" s="156"/>
      <c r="AM191" s="156"/>
      <c r="AN191" s="156"/>
      <c r="AO191" s="156"/>
      <c r="AP191" s="363"/>
      <c r="AQ191" s="75"/>
      <c r="AR191" s="76"/>
      <c r="AS191" s="363"/>
      <c r="AT191" s="363"/>
      <c r="AU191" s="75"/>
      <c r="AV191" s="76"/>
      <c r="AW191" s="363"/>
      <c r="AX191" s="363"/>
      <c r="AY191" s="75"/>
    </row>
    <row r="192" spans="23:51" s="984" customFormat="1">
      <c r="W192" s="156"/>
      <c r="X192" s="156"/>
      <c r="Y192" s="156"/>
      <c r="Z192" s="156"/>
      <c r="AA192" s="156"/>
      <c r="AB192" s="156"/>
      <c r="AC192" s="156"/>
      <c r="AD192" s="156"/>
      <c r="AE192" s="156"/>
      <c r="AF192" s="156"/>
      <c r="AG192" s="156"/>
      <c r="AH192" s="156"/>
      <c r="AI192" s="156"/>
      <c r="AJ192" s="156"/>
      <c r="AK192" s="156"/>
      <c r="AL192" s="156"/>
      <c r="AM192" s="156"/>
      <c r="AN192" s="156"/>
      <c r="AO192" s="156"/>
      <c r="AP192" s="363"/>
      <c r="AQ192" s="75"/>
      <c r="AR192" s="76"/>
      <c r="AS192" s="363"/>
      <c r="AT192" s="363"/>
      <c r="AU192" s="75"/>
      <c r="AV192" s="76"/>
      <c r="AW192" s="363"/>
      <c r="AX192" s="363"/>
      <c r="AY192" s="75"/>
    </row>
    <row r="193" spans="23:51" s="984" customFormat="1">
      <c r="W193" s="156"/>
      <c r="X193" s="156"/>
      <c r="Y193" s="156"/>
      <c r="Z193" s="156"/>
      <c r="AA193" s="156"/>
      <c r="AB193" s="156"/>
      <c r="AC193" s="156"/>
      <c r="AD193" s="156"/>
      <c r="AE193" s="156"/>
      <c r="AF193" s="156"/>
      <c r="AG193" s="156"/>
      <c r="AH193" s="156"/>
      <c r="AI193" s="156"/>
      <c r="AJ193" s="156"/>
      <c r="AK193" s="156"/>
      <c r="AL193" s="156"/>
      <c r="AM193" s="156"/>
      <c r="AN193" s="156"/>
      <c r="AO193" s="156"/>
      <c r="AP193" s="363"/>
      <c r="AQ193" s="75"/>
      <c r="AR193" s="76"/>
      <c r="AS193" s="363"/>
      <c r="AT193" s="363"/>
      <c r="AU193" s="75"/>
      <c r="AV193" s="76"/>
      <c r="AW193" s="363"/>
      <c r="AX193" s="363"/>
      <c r="AY193" s="75"/>
    </row>
    <row r="194" spans="23:51" s="984" customFormat="1">
      <c r="W194" s="156"/>
      <c r="X194" s="156"/>
      <c r="Y194" s="156"/>
      <c r="Z194" s="156"/>
      <c r="AA194" s="156"/>
      <c r="AB194" s="156"/>
      <c r="AC194" s="156"/>
      <c r="AD194" s="156"/>
      <c r="AE194" s="156"/>
      <c r="AF194" s="156"/>
      <c r="AG194" s="156"/>
      <c r="AH194" s="156"/>
      <c r="AI194" s="156"/>
      <c r="AJ194" s="156"/>
      <c r="AK194" s="156"/>
      <c r="AL194" s="156"/>
      <c r="AM194" s="156"/>
      <c r="AN194" s="156"/>
      <c r="AO194" s="156"/>
      <c r="AP194" s="363"/>
      <c r="AQ194" s="75"/>
      <c r="AR194" s="76"/>
      <c r="AS194" s="363"/>
      <c r="AT194" s="363"/>
      <c r="AU194" s="75"/>
      <c r="AV194" s="76"/>
      <c r="AW194" s="363"/>
      <c r="AX194" s="363"/>
      <c r="AY194" s="75"/>
    </row>
    <row r="195" spans="23:51" s="984" customFormat="1">
      <c r="W195" s="156"/>
      <c r="X195" s="156"/>
      <c r="Y195" s="156"/>
      <c r="Z195" s="156"/>
      <c r="AA195" s="156"/>
      <c r="AB195" s="156"/>
      <c r="AC195" s="156"/>
      <c r="AD195" s="156"/>
      <c r="AE195" s="156"/>
      <c r="AF195" s="156"/>
      <c r="AG195" s="156"/>
      <c r="AH195" s="156"/>
      <c r="AI195" s="156"/>
      <c r="AJ195" s="156"/>
      <c r="AK195" s="156"/>
      <c r="AL195" s="156"/>
      <c r="AM195" s="156"/>
      <c r="AN195" s="156"/>
      <c r="AO195" s="156"/>
      <c r="AP195" s="363"/>
      <c r="AQ195" s="75"/>
      <c r="AR195" s="76"/>
      <c r="AS195" s="363"/>
      <c r="AT195" s="363"/>
      <c r="AU195" s="75"/>
      <c r="AV195" s="76"/>
      <c r="AW195" s="363"/>
      <c r="AX195" s="363"/>
      <c r="AY195" s="75"/>
    </row>
    <row r="196" spans="23:51" s="984" customFormat="1">
      <c r="W196" s="156"/>
      <c r="X196" s="156"/>
      <c r="Y196" s="156"/>
      <c r="Z196" s="156"/>
      <c r="AA196" s="156"/>
      <c r="AB196" s="156"/>
      <c r="AC196" s="156"/>
      <c r="AD196" s="156"/>
      <c r="AE196" s="156"/>
      <c r="AF196" s="156"/>
      <c r="AG196" s="156"/>
      <c r="AH196" s="156"/>
      <c r="AI196" s="156"/>
      <c r="AJ196" s="156"/>
      <c r="AK196" s="156"/>
      <c r="AL196" s="156"/>
      <c r="AM196" s="156"/>
      <c r="AN196" s="156"/>
      <c r="AO196" s="156"/>
      <c r="AP196" s="363"/>
      <c r="AQ196" s="75"/>
      <c r="AR196" s="76"/>
      <c r="AS196" s="363"/>
      <c r="AT196" s="363"/>
      <c r="AU196" s="75"/>
      <c r="AV196" s="76"/>
      <c r="AW196" s="363"/>
      <c r="AX196" s="363"/>
      <c r="AY196" s="75"/>
    </row>
    <row r="197" spans="23:51" s="984" customFormat="1">
      <c r="W197" s="156"/>
      <c r="X197" s="156"/>
      <c r="Y197" s="156"/>
      <c r="Z197" s="156"/>
      <c r="AA197" s="156"/>
      <c r="AB197" s="156"/>
      <c r="AC197" s="156"/>
      <c r="AD197" s="156"/>
      <c r="AE197" s="156"/>
      <c r="AF197" s="156"/>
      <c r="AG197" s="156"/>
      <c r="AH197" s="156"/>
      <c r="AI197" s="156"/>
      <c r="AJ197" s="156"/>
      <c r="AK197" s="156"/>
      <c r="AL197" s="156"/>
      <c r="AM197" s="156"/>
      <c r="AN197" s="156"/>
      <c r="AO197" s="156"/>
      <c r="AP197" s="363"/>
      <c r="AQ197" s="75"/>
      <c r="AR197" s="76"/>
      <c r="AS197" s="363"/>
      <c r="AT197" s="363"/>
      <c r="AU197" s="75"/>
      <c r="AV197" s="76"/>
      <c r="AW197" s="363"/>
      <c r="AX197" s="363"/>
      <c r="AY197" s="75"/>
    </row>
    <row r="198" spans="23:51" s="984" customFormat="1">
      <c r="W198" s="156"/>
      <c r="X198" s="156"/>
      <c r="Y198" s="156"/>
      <c r="Z198" s="156"/>
      <c r="AA198" s="156"/>
      <c r="AB198" s="156"/>
      <c r="AC198" s="156"/>
      <c r="AD198" s="156"/>
      <c r="AE198" s="156"/>
      <c r="AF198" s="156"/>
      <c r="AG198" s="156"/>
      <c r="AH198" s="156"/>
      <c r="AI198" s="156"/>
      <c r="AJ198" s="156"/>
      <c r="AK198" s="156"/>
      <c r="AL198" s="156"/>
      <c r="AM198" s="156"/>
      <c r="AN198" s="156"/>
      <c r="AO198" s="156"/>
      <c r="AP198" s="363"/>
      <c r="AQ198" s="75"/>
      <c r="AR198" s="76"/>
      <c r="AS198" s="363"/>
      <c r="AT198" s="363"/>
      <c r="AU198" s="75"/>
      <c r="AV198" s="76"/>
      <c r="AW198" s="363"/>
      <c r="AX198" s="363"/>
      <c r="AY198" s="75"/>
    </row>
    <row r="199" spans="23:51" s="984" customFormat="1">
      <c r="W199" s="156"/>
      <c r="X199" s="156"/>
      <c r="Y199" s="156"/>
      <c r="Z199" s="156"/>
      <c r="AA199" s="156"/>
      <c r="AB199" s="156"/>
      <c r="AC199" s="156"/>
      <c r="AD199" s="156"/>
      <c r="AE199" s="156"/>
      <c r="AF199" s="156"/>
      <c r="AG199" s="156"/>
      <c r="AH199" s="156"/>
      <c r="AI199" s="156"/>
      <c r="AJ199" s="156"/>
      <c r="AK199" s="156"/>
      <c r="AL199" s="156"/>
      <c r="AM199" s="156"/>
      <c r="AN199" s="156"/>
      <c r="AO199" s="156"/>
      <c r="AP199" s="363"/>
      <c r="AQ199" s="75"/>
      <c r="AR199" s="76"/>
      <c r="AS199" s="363"/>
      <c r="AT199" s="363"/>
      <c r="AU199" s="75"/>
      <c r="AV199" s="76"/>
      <c r="AW199" s="363"/>
      <c r="AX199" s="363"/>
      <c r="AY199" s="75"/>
    </row>
    <row r="200" spans="23:51" s="984" customFormat="1">
      <c r="W200" s="156"/>
      <c r="X200" s="156"/>
      <c r="Y200" s="156"/>
      <c r="Z200" s="156"/>
      <c r="AA200" s="156"/>
      <c r="AB200" s="156"/>
      <c r="AC200" s="156"/>
      <c r="AD200" s="156"/>
      <c r="AE200" s="156"/>
      <c r="AF200" s="156"/>
      <c r="AG200" s="156"/>
      <c r="AH200" s="156"/>
      <c r="AI200" s="156"/>
      <c r="AJ200" s="156"/>
      <c r="AK200" s="156"/>
      <c r="AL200" s="156"/>
      <c r="AM200" s="156"/>
      <c r="AN200" s="156"/>
      <c r="AO200" s="156"/>
      <c r="AP200" s="363"/>
      <c r="AQ200" s="75"/>
      <c r="AR200" s="76"/>
      <c r="AS200" s="363"/>
      <c r="AT200" s="363"/>
      <c r="AU200" s="75"/>
      <c r="AV200" s="76"/>
      <c r="AW200" s="363"/>
      <c r="AX200" s="363"/>
      <c r="AY200" s="75"/>
    </row>
    <row r="201" spans="23:51" s="984" customFormat="1">
      <c r="W201" s="156"/>
      <c r="X201" s="156"/>
      <c r="Y201" s="156"/>
      <c r="Z201" s="156"/>
      <c r="AA201" s="156"/>
      <c r="AB201" s="156"/>
      <c r="AC201" s="156"/>
      <c r="AD201" s="156"/>
      <c r="AE201" s="156"/>
      <c r="AF201" s="156"/>
      <c r="AG201" s="156"/>
      <c r="AH201" s="156"/>
      <c r="AI201" s="156"/>
      <c r="AJ201" s="156"/>
      <c r="AK201" s="156"/>
      <c r="AL201" s="156"/>
      <c r="AM201" s="156"/>
      <c r="AN201" s="156"/>
      <c r="AO201" s="156"/>
      <c r="AP201" s="363"/>
      <c r="AQ201" s="75"/>
      <c r="AR201" s="76"/>
      <c r="AS201" s="363"/>
      <c r="AT201" s="363"/>
      <c r="AU201" s="75"/>
      <c r="AV201" s="76"/>
      <c r="AW201" s="363"/>
      <c r="AX201" s="363"/>
      <c r="AY201" s="75"/>
    </row>
    <row r="202" spans="23:51" s="984" customFormat="1">
      <c r="W202" s="156"/>
      <c r="X202" s="156"/>
      <c r="Y202" s="156"/>
      <c r="Z202" s="156"/>
      <c r="AA202" s="156"/>
      <c r="AB202" s="156"/>
      <c r="AC202" s="156"/>
      <c r="AD202" s="156"/>
      <c r="AE202" s="156"/>
      <c r="AF202" s="156"/>
      <c r="AG202" s="156"/>
      <c r="AH202" s="156"/>
      <c r="AI202" s="156"/>
      <c r="AJ202" s="156"/>
      <c r="AK202" s="156"/>
      <c r="AL202" s="156"/>
      <c r="AM202" s="156"/>
      <c r="AN202" s="156"/>
      <c r="AO202" s="156"/>
      <c r="AP202" s="363"/>
      <c r="AQ202" s="75"/>
      <c r="AR202" s="76"/>
      <c r="AS202" s="363"/>
      <c r="AT202" s="363"/>
      <c r="AU202" s="75"/>
      <c r="AV202" s="76"/>
      <c r="AW202" s="363"/>
      <c r="AX202" s="363"/>
      <c r="AY202" s="75"/>
    </row>
    <row r="203" spans="23:51" s="984" customFormat="1">
      <c r="W203" s="156"/>
      <c r="X203" s="156"/>
      <c r="Y203" s="156"/>
      <c r="Z203" s="156"/>
      <c r="AA203" s="156"/>
      <c r="AB203" s="156"/>
      <c r="AC203" s="156"/>
      <c r="AD203" s="156"/>
      <c r="AE203" s="156"/>
      <c r="AF203" s="156"/>
      <c r="AG203" s="156"/>
      <c r="AH203" s="156"/>
      <c r="AI203" s="156"/>
      <c r="AJ203" s="156"/>
      <c r="AK203" s="156"/>
      <c r="AL203" s="156"/>
      <c r="AM203" s="156"/>
      <c r="AN203" s="156"/>
      <c r="AO203" s="156"/>
      <c r="AP203" s="363"/>
      <c r="AQ203" s="75"/>
      <c r="AR203" s="76"/>
      <c r="AS203" s="363"/>
      <c r="AT203" s="363"/>
      <c r="AU203" s="75"/>
      <c r="AV203" s="76"/>
      <c r="AW203" s="363"/>
      <c r="AX203" s="363"/>
      <c r="AY203" s="75"/>
    </row>
    <row r="204" spans="23:51" s="984" customFormat="1">
      <c r="W204" s="156"/>
      <c r="X204" s="156"/>
      <c r="Y204" s="156"/>
      <c r="Z204" s="156"/>
      <c r="AA204" s="156"/>
      <c r="AB204" s="156"/>
      <c r="AC204" s="156"/>
      <c r="AD204" s="156"/>
      <c r="AE204" s="156"/>
      <c r="AF204" s="156"/>
      <c r="AG204" s="156"/>
      <c r="AH204" s="156"/>
      <c r="AI204" s="156"/>
      <c r="AJ204" s="156"/>
      <c r="AK204" s="156"/>
      <c r="AL204" s="156"/>
      <c r="AM204" s="156"/>
      <c r="AN204" s="156"/>
      <c r="AO204" s="156"/>
      <c r="AP204" s="363"/>
      <c r="AQ204" s="75"/>
      <c r="AR204" s="76"/>
      <c r="AS204" s="363"/>
      <c r="AT204" s="363"/>
      <c r="AU204" s="75"/>
      <c r="AV204" s="76"/>
      <c r="AW204" s="363"/>
      <c r="AX204" s="363"/>
      <c r="AY204" s="75"/>
    </row>
    <row r="205" spans="23:51" s="984" customFormat="1">
      <c r="W205" s="156"/>
      <c r="X205" s="156"/>
      <c r="Y205" s="156"/>
      <c r="Z205" s="156"/>
      <c r="AA205" s="156"/>
      <c r="AB205" s="156"/>
      <c r="AC205" s="156"/>
      <c r="AD205" s="156"/>
      <c r="AE205" s="156"/>
      <c r="AF205" s="156"/>
      <c r="AG205" s="156"/>
      <c r="AH205" s="156"/>
      <c r="AI205" s="156"/>
      <c r="AJ205" s="156"/>
      <c r="AK205" s="156"/>
      <c r="AL205" s="156"/>
      <c r="AM205" s="156"/>
      <c r="AN205" s="156"/>
      <c r="AO205" s="156"/>
      <c r="AP205" s="363"/>
      <c r="AQ205" s="75"/>
      <c r="AR205" s="76"/>
      <c r="AS205" s="363"/>
      <c r="AT205" s="363"/>
      <c r="AU205" s="75"/>
      <c r="AV205" s="76"/>
      <c r="AW205" s="363"/>
      <c r="AX205" s="363"/>
      <c r="AY205" s="75"/>
    </row>
    <row r="206" spans="23:51" s="984" customFormat="1">
      <c r="W206" s="156"/>
      <c r="X206" s="156"/>
      <c r="Y206" s="156"/>
      <c r="Z206" s="156"/>
      <c r="AA206" s="156"/>
      <c r="AB206" s="156"/>
      <c r="AC206" s="156"/>
      <c r="AD206" s="156"/>
      <c r="AE206" s="156"/>
      <c r="AF206" s="156"/>
      <c r="AG206" s="156"/>
      <c r="AH206" s="156"/>
      <c r="AI206" s="156"/>
      <c r="AJ206" s="156"/>
      <c r="AK206" s="156"/>
      <c r="AL206" s="156"/>
      <c r="AM206" s="156"/>
      <c r="AN206" s="156"/>
      <c r="AO206" s="156"/>
      <c r="AP206" s="363"/>
      <c r="AQ206" s="75"/>
      <c r="AR206" s="76"/>
      <c r="AS206" s="363"/>
      <c r="AT206" s="363"/>
      <c r="AU206" s="75"/>
      <c r="AV206" s="76"/>
      <c r="AW206" s="363"/>
      <c r="AX206" s="363"/>
      <c r="AY206" s="75"/>
    </row>
    <row r="207" spans="23:51" s="984" customFormat="1">
      <c r="W207" s="156"/>
      <c r="X207" s="156"/>
      <c r="Y207" s="156"/>
      <c r="Z207" s="156"/>
      <c r="AA207" s="156"/>
      <c r="AB207" s="156"/>
      <c r="AC207" s="156"/>
      <c r="AD207" s="156"/>
      <c r="AE207" s="156"/>
      <c r="AF207" s="156"/>
      <c r="AG207" s="156"/>
      <c r="AH207" s="156"/>
      <c r="AI207" s="156"/>
      <c r="AJ207" s="156"/>
      <c r="AK207" s="156"/>
      <c r="AL207" s="156"/>
      <c r="AM207" s="156"/>
      <c r="AN207" s="156"/>
      <c r="AO207" s="156"/>
      <c r="AP207" s="363"/>
      <c r="AQ207" s="75"/>
      <c r="AR207" s="76"/>
      <c r="AS207" s="363"/>
      <c r="AT207" s="363"/>
      <c r="AU207" s="75"/>
      <c r="AV207" s="76"/>
      <c r="AW207" s="363"/>
      <c r="AX207" s="363"/>
      <c r="AY207" s="75"/>
    </row>
    <row r="208" spans="23:51" s="984" customFormat="1">
      <c r="W208" s="156"/>
      <c r="X208" s="156"/>
      <c r="Y208" s="156"/>
      <c r="Z208" s="156"/>
      <c r="AA208" s="156"/>
      <c r="AB208" s="156"/>
      <c r="AC208" s="156"/>
      <c r="AD208" s="156"/>
      <c r="AE208" s="156"/>
      <c r="AF208" s="156"/>
      <c r="AG208" s="156"/>
      <c r="AH208" s="156"/>
      <c r="AI208" s="156"/>
      <c r="AJ208" s="156"/>
      <c r="AK208" s="156"/>
      <c r="AL208" s="156"/>
      <c r="AM208" s="156"/>
      <c r="AN208" s="156"/>
      <c r="AO208" s="156"/>
      <c r="AP208" s="363"/>
      <c r="AQ208" s="75"/>
      <c r="AR208" s="76"/>
      <c r="AS208" s="363"/>
      <c r="AT208" s="363"/>
      <c r="AU208" s="75"/>
      <c r="AV208" s="76"/>
      <c r="AW208" s="363"/>
      <c r="AX208" s="363"/>
      <c r="AY208" s="75"/>
    </row>
    <row r="209" spans="23:51" s="984" customFormat="1">
      <c r="W209" s="156"/>
      <c r="X209" s="156"/>
      <c r="Y209" s="156"/>
      <c r="Z209" s="156"/>
      <c r="AA209" s="156"/>
      <c r="AB209" s="156"/>
      <c r="AC209" s="156"/>
      <c r="AD209" s="156"/>
      <c r="AE209" s="156"/>
      <c r="AF209" s="156"/>
      <c r="AG209" s="156"/>
      <c r="AH209" s="156"/>
      <c r="AI209" s="156"/>
      <c r="AJ209" s="156"/>
      <c r="AK209" s="156"/>
      <c r="AL209" s="156"/>
      <c r="AM209" s="156"/>
      <c r="AN209" s="156"/>
      <c r="AO209" s="156"/>
      <c r="AP209" s="363"/>
      <c r="AQ209" s="75"/>
      <c r="AR209" s="76"/>
      <c r="AS209" s="363"/>
      <c r="AT209" s="363"/>
      <c r="AU209" s="75"/>
      <c r="AV209" s="76"/>
      <c r="AW209" s="363"/>
      <c r="AX209" s="363"/>
      <c r="AY209" s="75"/>
    </row>
    <row r="210" spans="23:51" s="984" customFormat="1">
      <c r="W210" s="156"/>
      <c r="X210" s="156"/>
      <c r="Y210" s="156"/>
      <c r="Z210" s="156"/>
      <c r="AA210" s="156"/>
      <c r="AB210" s="156"/>
      <c r="AC210" s="156"/>
      <c r="AD210" s="156"/>
      <c r="AE210" s="156"/>
      <c r="AF210" s="156"/>
      <c r="AG210" s="156"/>
      <c r="AH210" s="156"/>
      <c r="AI210" s="156"/>
      <c r="AJ210" s="156"/>
      <c r="AK210" s="156"/>
      <c r="AL210" s="156"/>
      <c r="AM210" s="156"/>
      <c r="AN210" s="156"/>
      <c r="AO210" s="156"/>
      <c r="AP210" s="363"/>
      <c r="AQ210" s="75"/>
      <c r="AR210" s="76"/>
      <c r="AS210" s="363"/>
      <c r="AT210" s="363"/>
      <c r="AU210" s="75"/>
      <c r="AV210" s="76"/>
      <c r="AW210" s="363"/>
      <c r="AX210" s="363"/>
      <c r="AY210" s="75"/>
    </row>
    <row r="211" spans="23:51" s="984" customFormat="1">
      <c r="W211" s="156"/>
      <c r="X211" s="156"/>
      <c r="Y211" s="156"/>
      <c r="Z211" s="156"/>
      <c r="AA211" s="156"/>
      <c r="AB211" s="156"/>
      <c r="AC211" s="156"/>
      <c r="AD211" s="156"/>
      <c r="AE211" s="156"/>
      <c r="AF211" s="156"/>
      <c r="AG211" s="156"/>
      <c r="AH211" s="156"/>
      <c r="AI211" s="156"/>
      <c r="AJ211" s="156"/>
      <c r="AK211" s="156"/>
      <c r="AL211" s="156"/>
      <c r="AM211" s="156"/>
      <c r="AN211" s="156"/>
      <c r="AO211" s="156"/>
      <c r="AP211" s="363"/>
      <c r="AQ211" s="75"/>
      <c r="AR211" s="76"/>
      <c r="AS211" s="363"/>
      <c r="AT211" s="363"/>
      <c r="AU211" s="75"/>
      <c r="AV211" s="76"/>
      <c r="AW211" s="363"/>
      <c r="AX211" s="363"/>
      <c r="AY211" s="75"/>
    </row>
    <row r="212" spans="23:51" s="984" customFormat="1">
      <c r="W212" s="156"/>
      <c r="X212" s="156"/>
      <c r="Y212" s="156"/>
      <c r="Z212" s="156"/>
      <c r="AA212" s="156"/>
      <c r="AB212" s="156"/>
      <c r="AC212" s="156"/>
      <c r="AD212" s="156"/>
      <c r="AE212" s="156"/>
      <c r="AF212" s="156"/>
      <c r="AG212" s="156"/>
      <c r="AH212" s="156"/>
      <c r="AI212" s="156"/>
      <c r="AJ212" s="156"/>
      <c r="AK212" s="156"/>
      <c r="AL212" s="156"/>
      <c r="AM212" s="156"/>
      <c r="AN212" s="156"/>
      <c r="AO212" s="156"/>
      <c r="AP212" s="363"/>
      <c r="AQ212" s="75"/>
      <c r="AR212" s="76"/>
      <c r="AS212" s="363"/>
      <c r="AT212" s="363"/>
      <c r="AU212" s="75"/>
      <c r="AV212" s="76"/>
      <c r="AW212" s="363"/>
      <c r="AX212" s="363"/>
      <c r="AY212" s="75"/>
    </row>
    <row r="213" spans="23:51" s="984" customFormat="1">
      <c r="W213" s="156"/>
      <c r="X213" s="156"/>
      <c r="Y213" s="156"/>
      <c r="Z213" s="156"/>
      <c r="AA213" s="156"/>
      <c r="AB213" s="156"/>
      <c r="AC213" s="156"/>
      <c r="AD213" s="156"/>
      <c r="AE213" s="156"/>
      <c r="AF213" s="156"/>
      <c r="AG213" s="156"/>
      <c r="AH213" s="156"/>
      <c r="AI213" s="156"/>
      <c r="AJ213" s="156"/>
      <c r="AK213" s="156"/>
      <c r="AL213" s="156"/>
      <c r="AM213" s="156"/>
      <c r="AN213" s="156"/>
      <c r="AO213" s="156"/>
      <c r="AP213" s="363"/>
      <c r="AQ213" s="75"/>
      <c r="AR213" s="76"/>
      <c r="AS213" s="363"/>
      <c r="AT213" s="363"/>
      <c r="AU213" s="75"/>
      <c r="AV213" s="76"/>
      <c r="AW213" s="363"/>
      <c r="AX213" s="363"/>
      <c r="AY213" s="75"/>
    </row>
    <row r="214" spans="23:51" s="984" customFormat="1">
      <c r="W214" s="156"/>
      <c r="X214" s="156"/>
      <c r="Y214" s="156"/>
      <c r="Z214" s="156"/>
      <c r="AA214" s="156"/>
      <c r="AB214" s="156"/>
      <c r="AC214" s="156"/>
      <c r="AD214" s="156"/>
      <c r="AE214" s="156"/>
      <c r="AF214" s="156"/>
      <c r="AG214" s="156"/>
      <c r="AH214" s="156"/>
      <c r="AI214" s="156"/>
      <c r="AJ214" s="156"/>
      <c r="AK214" s="156"/>
      <c r="AL214" s="156"/>
      <c r="AM214" s="156"/>
      <c r="AN214" s="156"/>
      <c r="AO214" s="156"/>
      <c r="AP214" s="363"/>
      <c r="AQ214" s="75"/>
      <c r="AR214" s="76"/>
      <c r="AS214" s="363"/>
      <c r="AT214" s="363"/>
      <c r="AU214" s="75"/>
      <c r="AV214" s="76"/>
      <c r="AW214" s="363"/>
      <c r="AX214" s="363"/>
      <c r="AY214" s="75"/>
    </row>
    <row r="215" spans="23:51" s="984" customFormat="1">
      <c r="W215" s="156"/>
      <c r="X215" s="156"/>
      <c r="Y215" s="156"/>
      <c r="Z215" s="156"/>
      <c r="AA215" s="156"/>
      <c r="AB215" s="156"/>
      <c r="AC215" s="156"/>
      <c r="AD215" s="156"/>
      <c r="AE215" s="156"/>
      <c r="AF215" s="156"/>
      <c r="AG215" s="156"/>
      <c r="AH215" s="156"/>
      <c r="AI215" s="156"/>
      <c r="AJ215" s="156"/>
      <c r="AK215" s="156"/>
      <c r="AL215" s="156"/>
      <c r="AM215" s="156"/>
      <c r="AN215" s="156"/>
      <c r="AO215" s="156"/>
      <c r="AP215" s="363"/>
      <c r="AQ215" s="75"/>
      <c r="AR215" s="76"/>
      <c r="AS215" s="363"/>
      <c r="AT215" s="363"/>
      <c r="AU215" s="75"/>
      <c r="AV215" s="76"/>
      <c r="AW215" s="363"/>
      <c r="AX215" s="363"/>
      <c r="AY215" s="75"/>
    </row>
    <row r="216" spans="23:51" s="984" customFormat="1">
      <c r="W216" s="156"/>
      <c r="X216" s="156"/>
      <c r="Y216" s="156"/>
      <c r="Z216" s="156"/>
      <c r="AA216" s="156"/>
      <c r="AB216" s="156"/>
      <c r="AC216" s="156"/>
      <c r="AD216" s="156"/>
      <c r="AE216" s="156"/>
      <c r="AF216" s="156"/>
      <c r="AG216" s="156"/>
      <c r="AH216" s="156"/>
      <c r="AI216" s="156"/>
      <c r="AJ216" s="156"/>
      <c r="AK216" s="156"/>
      <c r="AL216" s="156"/>
      <c r="AM216" s="156"/>
      <c r="AN216" s="156"/>
      <c r="AO216" s="156"/>
      <c r="AP216" s="363"/>
      <c r="AQ216" s="75"/>
      <c r="AR216" s="76"/>
      <c r="AS216" s="363"/>
      <c r="AT216" s="363"/>
      <c r="AU216" s="75"/>
      <c r="AV216" s="76"/>
      <c r="AW216" s="363"/>
      <c r="AX216" s="363"/>
      <c r="AY216" s="75"/>
    </row>
    <row r="217" spans="23:51" s="984" customFormat="1">
      <c r="W217" s="156"/>
      <c r="X217" s="156"/>
      <c r="Y217" s="156"/>
      <c r="Z217" s="156"/>
      <c r="AA217" s="156"/>
      <c r="AB217" s="156"/>
      <c r="AC217" s="156"/>
      <c r="AD217" s="156"/>
      <c r="AE217" s="156"/>
      <c r="AF217" s="156"/>
      <c r="AG217" s="156"/>
      <c r="AH217" s="156"/>
      <c r="AI217" s="156"/>
      <c r="AJ217" s="156"/>
      <c r="AK217" s="156"/>
      <c r="AL217" s="156"/>
      <c r="AM217" s="156"/>
      <c r="AN217" s="156"/>
      <c r="AO217" s="156"/>
      <c r="AP217" s="363"/>
      <c r="AQ217" s="75"/>
      <c r="AR217" s="76"/>
      <c r="AS217" s="363"/>
      <c r="AT217" s="363"/>
      <c r="AU217" s="75"/>
      <c r="AV217" s="76"/>
      <c r="AW217" s="363"/>
      <c r="AX217" s="363"/>
      <c r="AY217" s="75"/>
    </row>
    <row r="218" spans="23:51" s="984" customFormat="1">
      <c r="W218" s="156"/>
      <c r="X218" s="156"/>
      <c r="Y218" s="156"/>
      <c r="Z218" s="156"/>
      <c r="AA218" s="156"/>
      <c r="AB218" s="156"/>
      <c r="AC218" s="156"/>
      <c r="AD218" s="156"/>
      <c r="AE218" s="156"/>
      <c r="AF218" s="156"/>
      <c r="AG218" s="156"/>
      <c r="AH218" s="156"/>
      <c r="AI218" s="156"/>
      <c r="AJ218" s="156"/>
      <c r="AK218" s="156"/>
      <c r="AL218" s="156"/>
      <c r="AM218" s="156"/>
      <c r="AN218" s="156"/>
      <c r="AO218" s="156"/>
      <c r="AP218" s="363"/>
      <c r="AQ218" s="75"/>
      <c r="AR218" s="76"/>
      <c r="AS218" s="363"/>
      <c r="AT218" s="363"/>
      <c r="AU218" s="75"/>
      <c r="AV218" s="76"/>
      <c r="AW218" s="363"/>
      <c r="AX218" s="363"/>
      <c r="AY218" s="75"/>
    </row>
    <row r="219" spans="23:51" s="984" customFormat="1">
      <c r="W219" s="156"/>
      <c r="X219" s="156"/>
      <c r="Y219" s="156"/>
      <c r="Z219" s="156"/>
      <c r="AA219" s="156"/>
      <c r="AB219" s="156"/>
      <c r="AC219" s="156"/>
      <c r="AD219" s="156"/>
      <c r="AE219" s="156"/>
      <c r="AF219" s="156"/>
      <c r="AG219" s="156"/>
      <c r="AH219" s="156"/>
      <c r="AI219" s="156"/>
      <c r="AJ219" s="156"/>
      <c r="AK219" s="156"/>
      <c r="AL219" s="156"/>
      <c r="AM219" s="156"/>
      <c r="AN219" s="156"/>
      <c r="AO219" s="156"/>
      <c r="AP219" s="363"/>
      <c r="AQ219" s="75"/>
      <c r="AR219" s="76"/>
      <c r="AS219" s="363"/>
      <c r="AT219" s="363"/>
      <c r="AU219" s="75"/>
      <c r="AV219" s="76"/>
      <c r="AW219" s="363"/>
      <c r="AX219" s="363"/>
      <c r="AY219" s="75"/>
    </row>
    <row r="220" spans="23:51" s="984" customFormat="1">
      <c r="W220" s="156"/>
      <c r="X220" s="156"/>
      <c r="Y220" s="156"/>
      <c r="Z220" s="156"/>
      <c r="AA220" s="156"/>
      <c r="AB220" s="156"/>
      <c r="AC220" s="156"/>
      <c r="AD220" s="156"/>
      <c r="AE220" s="156"/>
      <c r="AF220" s="156"/>
      <c r="AG220" s="156"/>
      <c r="AH220" s="156"/>
      <c r="AI220" s="156"/>
      <c r="AJ220" s="156"/>
      <c r="AK220" s="156"/>
      <c r="AL220" s="156"/>
      <c r="AM220" s="156"/>
      <c r="AN220" s="156"/>
      <c r="AO220" s="156"/>
      <c r="AP220" s="363"/>
      <c r="AQ220" s="75"/>
      <c r="AR220" s="76"/>
      <c r="AS220" s="363"/>
      <c r="AT220" s="363"/>
      <c r="AU220" s="75"/>
      <c r="AV220" s="76"/>
      <c r="AW220" s="363"/>
      <c r="AX220" s="363"/>
      <c r="AY220" s="75"/>
    </row>
    <row r="221" spans="23:51" s="984" customFormat="1">
      <c r="W221" s="156"/>
      <c r="X221" s="156"/>
      <c r="Y221" s="156"/>
      <c r="Z221" s="156"/>
      <c r="AA221" s="156"/>
      <c r="AB221" s="156"/>
      <c r="AC221" s="156"/>
      <c r="AD221" s="156"/>
      <c r="AE221" s="156"/>
      <c r="AF221" s="156"/>
      <c r="AG221" s="156"/>
      <c r="AH221" s="156"/>
      <c r="AI221" s="156"/>
      <c r="AJ221" s="156"/>
      <c r="AK221" s="156"/>
      <c r="AL221" s="156"/>
      <c r="AM221" s="156"/>
      <c r="AN221" s="156"/>
      <c r="AO221" s="156"/>
      <c r="AP221" s="363"/>
      <c r="AQ221" s="75"/>
      <c r="AR221" s="76"/>
      <c r="AS221" s="363"/>
      <c r="AT221" s="363"/>
      <c r="AU221" s="75"/>
      <c r="AV221" s="76"/>
      <c r="AW221" s="363"/>
      <c r="AX221" s="363"/>
      <c r="AY221" s="75"/>
    </row>
    <row r="222" spans="23:51" s="984" customFormat="1">
      <c r="W222" s="156"/>
      <c r="X222" s="156"/>
      <c r="Y222" s="156"/>
      <c r="Z222" s="156"/>
      <c r="AA222" s="156"/>
      <c r="AB222" s="156"/>
      <c r="AC222" s="156"/>
      <c r="AD222" s="156"/>
      <c r="AE222" s="156"/>
      <c r="AF222" s="156"/>
      <c r="AG222" s="156"/>
      <c r="AH222" s="156"/>
      <c r="AI222" s="156"/>
      <c r="AJ222" s="156"/>
      <c r="AK222" s="156"/>
      <c r="AL222" s="156"/>
      <c r="AM222" s="156"/>
      <c r="AN222" s="156"/>
      <c r="AO222" s="156"/>
      <c r="AP222" s="363"/>
      <c r="AQ222" s="75"/>
      <c r="AR222" s="76"/>
      <c r="AS222" s="363"/>
      <c r="AT222" s="363"/>
      <c r="AU222" s="75"/>
      <c r="AV222" s="76"/>
      <c r="AW222" s="363"/>
      <c r="AX222" s="363"/>
      <c r="AY222" s="75"/>
    </row>
    <row r="223" spans="23:51" s="984" customFormat="1">
      <c r="W223" s="156"/>
      <c r="X223" s="156"/>
      <c r="Y223" s="156"/>
      <c r="Z223" s="156"/>
      <c r="AA223" s="156"/>
      <c r="AB223" s="156"/>
      <c r="AC223" s="156"/>
      <c r="AD223" s="156"/>
      <c r="AE223" s="156"/>
      <c r="AF223" s="156"/>
      <c r="AG223" s="156"/>
      <c r="AH223" s="156"/>
      <c r="AI223" s="156"/>
      <c r="AJ223" s="156"/>
      <c r="AK223" s="156"/>
      <c r="AL223" s="156"/>
      <c r="AM223" s="156"/>
      <c r="AN223" s="156"/>
      <c r="AO223" s="156"/>
      <c r="AP223" s="363"/>
      <c r="AQ223" s="75"/>
      <c r="AR223" s="76"/>
      <c r="AS223" s="363"/>
      <c r="AT223" s="363"/>
      <c r="AU223" s="75"/>
      <c r="AV223" s="76"/>
      <c r="AW223" s="363"/>
      <c r="AX223" s="363"/>
      <c r="AY223" s="75"/>
    </row>
    <row r="224" spans="23:51" s="984" customFormat="1">
      <c r="W224" s="156"/>
      <c r="X224" s="156"/>
      <c r="Y224" s="156"/>
      <c r="Z224" s="156"/>
      <c r="AA224" s="156"/>
      <c r="AB224" s="156"/>
      <c r="AC224" s="156"/>
      <c r="AD224" s="156"/>
      <c r="AE224" s="156"/>
      <c r="AF224" s="156"/>
      <c r="AG224" s="156"/>
      <c r="AH224" s="156"/>
      <c r="AI224" s="156"/>
      <c r="AJ224" s="156"/>
      <c r="AK224" s="156"/>
      <c r="AL224" s="156"/>
      <c r="AM224" s="156"/>
      <c r="AN224" s="156"/>
      <c r="AO224" s="156"/>
      <c r="AP224" s="363"/>
      <c r="AQ224" s="75"/>
      <c r="AR224" s="76"/>
      <c r="AS224" s="363"/>
      <c r="AT224" s="363"/>
      <c r="AU224" s="75"/>
      <c r="AV224" s="76"/>
      <c r="AW224" s="363"/>
      <c r="AX224" s="363"/>
      <c r="AY224" s="75"/>
    </row>
    <row r="225" spans="23:51" s="984" customFormat="1">
      <c r="W225" s="156"/>
      <c r="X225" s="156"/>
      <c r="Y225" s="156"/>
      <c r="Z225" s="156"/>
      <c r="AA225" s="156"/>
      <c r="AB225" s="156"/>
      <c r="AC225" s="156"/>
      <c r="AD225" s="156"/>
      <c r="AE225" s="156"/>
      <c r="AF225" s="156"/>
      <c r="AG225" s="156"/>
      <c r="AH225" s="156"/>
      <c r="AI225" s="156"/>
      <c r="AJ225" s="156"/>
      <c r="AK225" s="156"/>
      <c r="AL225" s="156"/>
      <c r="AM225" s="156"/>
      <c r="AN225" s="156"/>
      <c r="AO225" s="156"/>
      <c r="AP225" s="363"/>
      <c r="AQ225" s="75"/>
      <c r="AR225" s="76"/>
      <c r="AS225" s="363"/>
      <c r="AT225" s="363"/>
      <c r="AU225" s="75"/>
      <c r="AV225" s="76"/>
      <c r="AW225" s="363"/>
      <c r="AX225" s="363"/>
      <c r="AY225" s="75"/>
    </row>
    <row r="226" spans="23:51" s="984" customFormat="1">
      <c r="W226" s="156"/>
      <c r="X226" s="156"/>
      <c r="Y226" s="156"/>
      <c r="Z226" s="156"/>
      <c r="AA226" s="156"/>
      <c r="AB226" s="156"/>
      <c r="AC226" s="156"/>
      <c r="AD226" s="156"/>
      <c r="AE226" s="156"/>
      <c r="AF226" s="156"/>
      <c r="AG226" s="156"/>
      <c r="AH226" s="156"/>
      <c r="AI226" s="156"/>
      <c r="AJ226" s="156"/>
      <c r="AK226" s="156"/>
      <c r="AL226" s="156"/>
      <c r="AM226" s="156"/>
      <c r="AN226" s="156"/>
      <c r="AO226" s="156"/>
      <c r="AP226" s="363"/>
      <c r="AQ226" s="75"/>
      <c r="AR226" s="76"/>
      <c r="AS226" s="363"/>
      <c r="AT226" s="363"/>
      <c r="AU226" s="75"/>
      <c r="AV226" s="76"/>
      <c r="AW226" s="363"/>
      <c r="AX226" s="363"/>
      <c r="AY226" s="75"/>
    </row>
    <row r="227" spans="23:51" s="984" customFormat="1">
      <c r="W227" s="156"/>
      <c r="X227" s="156"/>
      <c r="Y227" s="156"/>
      <c r="Z227" s="156"/>
      <c r="AA227" s="156"/>
      <c r="AB227" s="156"/>
      <c r="AC227" s="156"/>
      <c r="AD227" s="156"/>
      <c r="AE227" s="156"/>
      <c r="AF227" s="156"/>
      <c r="AG227" s="156"/>
      <c r="AH227" s="156"/>
      <c r="AI227" s="156"/>
      <c r="AJ227" s="156"/>
      <c r="AK227" s="156"/>
      <c r="AL227" s="156"/>
      <c r="AM227" s="156"/>
      <c r="AN227" s="156"/>
      <c r="AO227" s="156"/>
      <c r="AP227" s="363"/>
      <c r="AQ227" s="75"/>
      <c r="AR227" s="76"/>
      <c r="AS227" s="363"/>
      <c r="AT227" s="363"/>
      <c r="AU227" s="75"/>
      <c r="AV227" s="76"/>
      <c r="AW227" s="363"/>
      <c r="AX227" s="363"/>
      <c r="AY227" s="75"/>
    </row>
    <row r="228" spans="23:51" s="984" customFormat="1">
      <c r="W228" s="156"/>
      <c r="X228" s="156"/>
      <c r="Y228" s="156"/>
      <c r="Z228" s="156"/>
      <c r="AA228" s="156"/>
      <c r="AB228" s="156"/>
      <c r="AC228" s="156"/>
      <c r="AD228" s="156"/>
      <c r="AE228" s="156"/>
      <c r="AF228" s="156"/>
      <c r="AG228" s="156"/>
      <c r="AH228" s="156"/>
      <c r="AI228" s="156"/>
      <c r="AJ228" s="156"/>
      <c r="AK228" s="156"/>
      <c r="AL228" s="156"/>
      <c r="AM228" s="156"/>
      <c r="AN228" s="156"/>
      <c r="AO228" s="156"/>
      <c r="AP228" s="363"/>
      <c r="AQ228" s="75"/>
      <c r="AR228" s="76"/>
      <c r="AS228" s="363"/>
      <c r="AT228" s="363"/>
      <c r="AU228" s="75"/>
      <c r="AV228" s="76"/>
      <c r="AW228" s="363"/>
      <c r="AX228" s="363"/>
      <c r="AY228" s="75"/>
    </row>
    <row r="229" spans="23:51" s="984" customFormat="1">
      <c r="W229" s="156"/>
      <c r="X229" s="156"/>
      <c r="Y229" s="156"/>
      <c r="Z229" s="156"/>
      <c r="AA229" s="156"/>
      <c r="AB229" s="156"/>
      <c r="AC229" s="156"/>
      <c r="AD229" s="156"/>
      <c r="AE229" s="156"/>
      <c r="AF229" s="156"/>
      <c r="AG229" s="156"/>
      <c r="AH229" s="156"/>
      <c r="AI229" s="156"/>
      <c r="AJ229" s="156"/>
      <c r="AK229" s="156"/>
      <c r="AL229" s="156"/>
      <c r="AM229" s="156"/>
      <c r="AN229" s="156"/>
      <c r="AO229" s="156"/>
      <c r="AP229" s="363"/>
      <c r="AQ229" s="75"/>
      <c r="AR229" s="76"/>
      <c r="AS229" s="363"/>
      <c r="AT229" s="363"/>
      <c r="AU229" s="75"/>
      <c r="AV229" s="76"/>
      <c r="AW229" s="363"/>
      <c r="AX229" s="363"/>
      <c r="AY229" s="75"/>
    </row>
    <row r="230" spans="23:51" s="984" customFormat="1">
      <c r="W230" s="156"/>
      <c r="X230" s="156"/>
      <c r="Y230" s="156"/>
      <c r="Z230" s="156"/>
      <c r="AA230" s="156"/>
      <c r="AB230" s="156"/>
      <c r="AC230" s="156"/>
      <c r="AD230" s="156"/>
      <c r="AE230" s="156"/>
      <c r="AF230" s="156"/>
      <c r="AG230" s="156"/>
      <c r="AH230" s="156"/>
      <c r="AI230" s="156"/>
      <c r="AJ230" s="156"/>
      <c r="AK230" s="156"/>
      <c r="AL230" s="156"/>
      <c r="AM230" s="156"/>
      <c r="AN230" s="156"/>
      <c r="AO230" s="156"/>
      <c r="AP230" s="363"/>
      <c r="AQ230" s="75"/>
      <c r="AR230" s="76"/>
      <c r="AS230" s="363"/>
      <c r="AT230" s="363"/>
      <c r="AU230" s="75"/>
      <c r="AV230" s="76"/>
      <c r="AW230" s="363"/>
      <c r="AX230" s="363"/>
      <c r="AY230" s="75"/>
    </row>
    <row r="231" spans="23:51" s="984" customFormat="1">
      <c r="W231" s="156"/>
      <c r="X231" s="156"/>
      <c r="Y231" s="156"/>
      <c r="Z231" s="156"/>
      <c r="AA231" s="156"/>
      <c r="AB231" s="156"/>
      <c r="AC231" s="156"/>
      <c r="AD231" s="156"/>
      <c r="AE231" s="156"/>
      <c r="AF231" s="156"/>
      <c r="AG231" s="156"/>
      <c r="AH231" s="156"/>
      <c r="AI231" s="156"/>
      <c r="AJ231" s="156"/>
      <c r="AK231" s="156"/>
      <c r="AL231" s="156"/>
      <c r="AM231" s="156"/>
      <c r="AN231" s="156"/>
      <c r="AO231" s="156"/>
      <c r="AP231" s="363"/>
      <c r="AQ231" s="75"/>
      <c r="AR231" s="76"/>
      <c r="AS231" s="363"/>
      <c r="AT231" s="363"/>
      <c r="AU231" s="75"/>
      <c r="AV231" s="76"/>
      <c r="AW231" s="363"/>
      <c r="AX231" s="363"/>
      <c r="AY231" s="75"/>
    </row>
    <row r="232" spans="23:51" s="984" customFormat="1">
      <c r="W232" s="156"/>
      <c r="X232" s="156"/>
      <c r="Y232" s="156"/>
      <c r="Z232" s="156"/>
      <c r="AA232" s="156"/>
      <c r="AB232" s="156"/>
      <c r="AC232" s="156"/>
      <c r="AD232" s="156"/>
      <c r="AE232" s="156"/>
      <c r="AF232" s="156"/>
      <c r="AG232" s="156"/>
      <c r="AH232" s="156"/>
      <c r="AI232" s="156"/>
      <c r="AJ232" s="156"/>
      <c r="AK232" s="156"/>
      <c r="AL232" s="156"/>
      <c r="AM232" s="156"/>
      <c r="AN232" s="156"/>
      <c r="AO232" s="156"/>
      <c r="AP232" s="363"/>
      <c r="AQ232" s="75"/>
      <c r="AR232" s="76"/>
      <c r="AS232" s="363"/>
      <c r="AT232" s="363"/>
      <c r="AU232" s="75"/>
      <c r="AV232" s="76"/>
      <c r="AW232" s="363"/>
      <c r="AX232" s="363"/>
      <c r="AY232" s="75"/>
    </row>
    <row r="233" spans="23:51" s="984" customFormat="1">
      <c r="W233" s="156"/>
      <c r="X233" s="156"/>
      <c r="Y233" s="156"/>
      <c r="Z233" s="156"/>
      <c r="AA233" s="156"/>
      <c r="AB233" s="156"/>
      <c r="AC233" s="156"/>
      <c r="AD233" s="156"/>
      <c r="AE233" s="156"/>
      <c r="AF233" s="156"/>
      <c r="AG233" s="156"/>
      <c r="AH233" s="156"/>
      <c r="AI233" s="156"/>
      <c r="AJ233" s="156"/>
      <c r="AK233" s="156"/>
      <c r="AL233" s="156"/>
      <c r="AM233" s="156"/>
      <c r="AN233" s="156"/>
      <c r="AO233" s="156"/>
      <c r="AP233" s="363"/>
      <c r="AQ233" s="75"/>
      <c r="AR233" s="76"/>
      <c r="AS233" s="363"/>
      <c r="AT233" s="363"/>
      <c r="AU233" s="75"/>
      <c r="AV233" s="76"/>
      <c r="AW233" s="363"/>
      <c r="AX233" s="363"/>
      <c r="AY233" s="75"/>
    </row>
    <row r="234" spans="23:51" s="984" customFormat="1">
      <c r="W234" s="156"/>
      <c r="X234" s="156"/>
      <c r="Y234" s="156"/>
      <c r="Z234" s="156"/>
      <c r="AA234" s="156"/>
      <c r="AB234" s="156"/>
      <c r="AC234" s="156"/>
      <c r="AD234" s="156"/>
      <c r="AE234" s="156"/>
      <c r="AF234" s="156"/>
      <c r="AG234" s="156"/>
      <c r="AH234" s="156"/>
      <c r="AI234" s="156"/>
      <c r="AJ234" s="156"/>
      <c r="AK234" s="156"/>
      <c r="AL234" s="156"/>
      <c r="AM234" s="156"/>
      <c r="AN234" s="156"/>
      <c r="AO234" s="156"/>
      <c r="AP234" s="363"/>
      <c r="AQ234" s="75"/>
      <c r="AR234" s="76"/>
      <c r="AS234" s="363"/>
      <c r="AT234" s="363"/>
      <c r="AU234" s="75"/>
      <c r="AV234" s="76"/>
      <c r="AW234" s="363"/>
      <c r="AX234" s="363"/>
      <c r="AY234" s="75"/>
    </row>
    <row r="235" spans="23:51" s="984" customFormat="1">
      <c r="W235" s="156"/>
      <c r="X235" s="156"/>
      <c r="Y235" s="156"/>
      <c r="Z235" s="156"/>
      <c r="AA235" s="156"/>
      <c r="AB235" s="156"/>
      <c r="AC235" s="156"/>
      <c r="AD235" s="156"/>
      <c r="AE235" s="156"/>
      <c r="AF235" s="156"/>
      <c r="AG235" s="156"/>
      <c r="AH235" s="156"/>
      <c r="AI235" s="156"/>
      <c r="AJ235" s="156"/>
      <c r="AK235" s="156"/>
      <c r="AL235" s="156"/>
      <c r="AM235" s="156"/>
      <c r="AN235" s="156"/>
      <c r="AO235" s="156"/>
      <c r="AP235" s="363"/>
      <c r="AQ235" s="75"/>
      <c r="AR235" s="76"/>
      <c r="AS235" s="363"/>
      <c r="AT235" s="363"/>
      <c r="AU235" s="75"/>
      <c r="AV235" s="76"/>
      <c r="AW235" s="363"/>
      <c r="AX235" s="363"/>
      <c r="AY235" s="75"/>
    </row>
    <row r="236" spans="23:51" s="984" customFormat="1">
      <c r="W236" s="156"/>
      <c r="X236" s="156"/>
      <c r="Y236" s="156"/>
      <c r="Z236" s="156"/>
      <c r="AA236" s="156"/>
      <c r="AB236" s="156"/>
      <c r="AC236" s="156"/>
      <c r="AD236" s="156"/>
      <c r="AE236" s="156"/>
      <c r="AF236" s="156"/>
      <c r="AG236" s="156"/>
      <c r="AH236" s="156"/>
      <c r="AI236" s="156"/>
      <c r="AJ236" s="156"/>
      <c r="AK236" s="156"/>
      <c r="AL236" s="156"/>
      <c r="AM236" s="156"/>
      <c r="AN236" s="156"/>
      <c r="AO236" s="156"/>
      <c r="AP236" s="363"/>
      <c r="AQ236" s="75"/>
      <c r="AR236" s="76"/>
      <c r="AS236" s="363"/>
      <c r="AT236" s="363"/>
      <c r="AU236" s="75"/>
      <c r="AV236" s="76"/>
      <c r="AW236" s="363"/>
      <c r="AX236" s="363"/>
      <c r="AY236" s="75"/>
    </row>
    <row r="237" spans="23:51" s="984" customFormat="1">
      <c r="W237" s="156"/>
      <c r="X237" s="156"/>
      <c r="Y237" s="156"/>
      <c r="Z237" s="156"/>
      <c r="AA237" s="156"/>
      <c r="AB237" s="156"/>
      <c r="AC237" s="156"/>
      <c r="AD237" s="156"/>
      <c r="AE237" s="156"/>
      <c r="AF237" s="156"/>
      <c r="AG237" s="156"/>
      <c r="AH237" s="156"/>
      <c r="AI237" s="156"/>
      <c r="AJ237" s="156"/>
      <c r="AK237" s="156"/>
      <c r="AL237" s="156"/>
      <c r="AM237" s="156"/>
      <c r="AN237" s="156"/>
      <c r="AO237" s="156"/>
      <c r="AP237" s="363"/>
      <c r="AQ237" s="75"/>
      <c r="AR237" s="76"/>
      <c r="AS237" s="363"/>
      <c r="AT237" s="363"/>
      <c r="AU237" s="75"/>
      <c r="AV237" s="76"/>
      <c r="AW237" s="363"/>
      <c r="AX237" s="363"/>
      <c r="AY237" s="75"/>
    </row>
    <row r="238" spans="23:51" s="984" customFormat="1">
      <c r="W238" s="156"/>
      <c r="X238" s="156"/>
      <c r="Y238" s="156"/>
      <c r="Z238" s="156"/>
      <c r="AA238" s="156"/>
      <c r="AB238" s="156"/>
      <c r="AC238" s="156"/>
      <c r="AD238" s="156"/>
      <c r="AE238" s="156"/>
      <c r="AF238" s="156"/>
      <c r="AG238" s="156"/>
      <c r="AH238" s="156"/>
      <c r="AI238" s="156"/>
      <c r="AJ238" s="156"/>
      <c r="AK238" s="156"/>
      <c r="AL238" s="156"/>
      <c r="AM238" s="156"/>
      <c r="AN238" s="156"/>
      <c r="AO238" s="156"/>
      <c r="AP238" s="363"/>
      <c r="AQ238" s="75"/>
      <c r="AR238" s="76"/>
      <c r="AS238" s="363"/>
      <c r="AT238" s="363"/>
      <c r="AU238" s="75"/>
      <c r="AV238" s="76"/>
      <c r="AW238" s="363"/>
      <c r="AX238" s="363"/>
      <c r="AY238" s="75"/>
    </row>
    <row r="239" spans="23:51" s="984" customFormat="1">
      <c r="W239" s="156"/>
      <c r="X239" s="156"/>
      <c r="Y239" s="156"/>
      <c r="Z239" s="156"/>
      <c r="AA239" s="156"/>
      <c r="AB239" s="156"/>
      <c r="AC239" s="156"/>
      <c r="AD239" s="156"/>
      <c r="AE239" s="156"/>
      <c r="AF239" s="156"/>
      <c r="AG239" s="156"/>
      <c r="AH239" s="156"/>
      <c r="AI239" s="156"/>
      <c r="AJ239" s="156"/>
      <c r="AK239" s="156"/>
      <c r="AL239" s="156"/>
      <c r="AM239" s="156"/>
      <c r="AN239" s="156"/>
      <c r="AO239" s="156"/>
      <c r="AP239" s="363"/>
      <c r="AQ239" s="75"/>
      <c r="AR239" s="76"/>
      <c r="AS239" s="363"/>
      <c r="AT239" s="363"/>
      <c r="AU239" s="75"/>
      <c r="AV239" s="76"/>
      <c r="AW239" s="363"/>
      <c r="AX239" s="363"/>
      <c r="AY239" s="75"/>
    </row>
    <row r="240" spans="23:51" s="984" customFormat="1">
      <c r="W240" s="156"/>
      <c r="X240" s="156"/>
      <c r="Y240" s="156"/>
      <c r="Z240" s="156"/>
      <c r="AA240" s="156"/>
      <c r="AB240" s="156"/>
      <c r="AC240" s="156"/>
      <c r="AD240" s="156"/>
      <c r="AE240" s="156"/>
      <c r="AF240" s="156"/>
      <c r="AG240" s="156"/>
      <c r="AH240" s="156"/>
      <c r="AI240" s="156"/>
      <c r="AJ240" s="156"/>
      <c r="AK240" s="156"/>
      <c r="AL240" s="156"/>
      <c r="AM240" s="156"/>
      <c r="AN240" s="156"/>
      <c r="AO240" s="156"/>
      <c r="AP240" s="363"/>
      <c r="AQ240" s="75"/>
      <c r="AR240" s="76"/>
      <c r="AS240" s="363"/>
      <c r="AT240" s="363"/>
      <c r="AU240" s="75"/>
      <c r="AV240" s="76"/>
      <c r="AW240" s="363"/>
      <c r="AX240" s="363"/>
      <c r="AY240" s="75"/>
    </row>
    <row r="241" spans="23:51" s="984" customFormat="1">
      <c r="W241" s="156"/>
      <c r="X241" s="156"/>
      <c r="Y241" s="156"/>
      <c r="Z241" s="156"/>
      <c r="AA241" s="156"/>
      <c r="AB241" s="156"/>
      <c r="AC241" s="156"/>
      <c r="AD241" s="156"/>
      <c r="AE241" s="156"/>
      <c r="AF241" s="156"/>
      <c r="AG241" s="156"/>
      <c r="AH241" s="156"/>
      <c r="AI241" s="156"/>
      <c r="AJ241" s="156"/>
      <c r="AK241" s="156"/>
      <c r="AL241" s="156"/>
      <c r="AM241" s="156"/>
      <c r="AN241" s="156"/>
      <c r="AO241" s="156"/>
      <c r="AP241" s="363"/>
      <c r="AQ241" s="75"/>
      <c r="AR241" s="76"/>
      <c r="AS241" s="363"/>
      <c r="AT241" s="363"/>
      <c r="AU241" s="75"/>
      <c r="AV241" s="76"/>
      <c r="AW241" s="363"/>
      <c r="AX241" s="363"/>
      <c r="AY241" s="75"/>
    </row>
    <row r="242" spans="23:51" s="984" customFormat="1">
      <c r="W242" s="156"/>
      <c r="X242" s="156"/>
      <c r="Y242" s="156"/>
      <c r="Z242" s="156"/>
      <c r="AA242" s="156"/>
      <c r="AB242" s="156"/>
      <c r="AC242" s="156"/>
      <c r="AD242" s="156"/>
      <c r="AE242" s="156"/>
      <c r="AF242" s="156"/>
      <c r="AG242" s="156"/>
      <c r="AH242" s="156"/>
      <c r="AI242" s="156"/>
      <c r="AJ242" s="156"/>
      <c r="AK242" s="156"/>
      <c r="AL242" s="156"/>
      <c r="AM242" s="156"/>
      <c r="AN242" s="156"/>
      <c r="AO242" s="156"/>
      <c r="AP242" s="363"/>
      <c r="AQ242" s="75"/>
      <c r="AR242" s="76"/>
      <c r="AS242" s="363"/>
      <c r="AT242" s="363"/>
      <c r="AU242" s="75"/>
      <c r="AV242" s="76"/>
      <c r="AW242" s="363"/>
      <c r="AX242" s="363"/>
      <c r="AY242" s="75"/>
    </row>
    <row r="243" spans="23:51" s="984" customFormat="1">
      <c r="W243" s="156"/>
      <c r="X243" s="156"/>
      <c r="Y243" s="156"/>
      <c r="Z243" s="156"/>
      <c r="AA243" s="156"/>
      <c r="AB243" s="156"/>
      <c r="AC243" s="156"/>
      <c r="AD243" s="156"/>
      <c r="AE243" s="156"/>
      <c r="AF243" s="156"/>
      <c r="AG243" s="156"/>
      <c r="AH243" s="156"/>
      <c r="AI243" s="156"/>
      <c r="AJ243" s="156"/>
      <c r="AK243" s="156"/>
      <c r="AL243" s="156"/>
      <c r="AM243" s="156"/>
      <c r="AN243" s="156"/>
      <c r="AO243" s="156"/>
      <c r="AP243" s="363"/>
      <c r="AQ243" s="75"/>
      <c r="AR243" s="76"/>
      <c r="AS243" s="363"/>
      <c r="AT243" s="363"/>
      <c r="AU243" s="75"/>
      <c r="AV243" s="76"/>
      <c r="AW243" s="363"/>
      <c r="AX243" s="363"/>
      <c r="AY243" s="75"/>
    </row>
    <row r="244" spans="23:51" s="984" customFormat="1">
      <c r="W244" s="156"/>
      <c r="X244" s="156"/>
      <c r="Y244" s="156"/>
      <c r="Z244" s="156"/>
      <c r="AA244" s="156"/>
      <c r="AB244" s="156"/>
      <c r="AC244" s="156"/>
      <c r="AD244" s="156"/>
      <c r="AE244" s="156"/>
      <c r="AF244" s="156"/>
      <c r="AG244" s="156"/>
      <c r="AH244" s="156"/>
      <c r="AI244" s="156"/>
      <c r="AJ244" s="156"/>
      <c r="AK244" s="156"/>
      <c r="AL244" s="156"/>
      <c r="AM244" s="156"/>
      <c r="AN244" s="156"/>
      <c r="AO244" s="156"/>
      <c r="AP244" s="156"/>
      <c r="AQ244" s="156"/>
      <c r="AR244" s="156"/>
      <c r="AS244" s="156"/>
      <c r="AT244" s="156"/>
      <c r="AU244" s="156"/>
      <c r="AV244" s="156"/>
      <c r="AW244" s="156"/>
      <c r="AX244" s="156"/>
    </row>
    <row r="245" spans="23:51" s="984" customFormat="1">
      <c r="W245" s="156"/>
      <c r="X245" s="156"/>
      <c r="Y245" s="156"/>
      <c r="Z245" s="156"/>
      <c r="AA245" s="156"/>
      <c r="AB245" s="156"/>
      <c r="AC245" s="156"/>
      <c r="AD245" s="156"/>
      <c r="AE245" s="156"/>
      <c r="AF245" s="156"/>
      <c r="AG245" s="156"/>
      <c r="AH245" s="156"/>
      <c r="AI245" s="156"/>
      <c r="AJ245" s="156"/>
      <c r="AK245" s="156"/>
      <c r="AL245" s="156"/>
      <c r="AM245" s="156"/>
      <c r="AN245" s="156"/>
      <c r="AO245" s="156"/>
      <c r="AP245" s="156"/>
      <c r="AQ245" s="156"/>
      <c r="AR245" s="156"/>
      <c r="AS245" s="156"/>
      <c r="AT245" s="156"/>
      <c r="AU245" s="156"/>
      <c r="AV245" s="156"/>
      <c r="AW245" s="156"/>
      <c r="AX245" s="156"/>
    </row>
    <row r="246" spans="23:51" s="984" customFormat="1">
      <c r="W246" s="156"/>
      <c r="X246" s="156"/>
      <c r="Y246" s="156"/>
      <c r="Z246" s="156"/>
      <c r="AA246" s="156"/>
      <c r="AB246" s="156"/>
      <c r="AC246" s="156"/>
      <c r="AD246" s="156"/>
      <c r="AE246" s="156"/>
      <c r="AF246" s="156"/>
      <c r="AG246" s="156"/>
      <c r="AH246" s="156"/>
      <c r="AI246" s="156"/>
      <c r="AJ246" s="156"/>
      <c r="AK246" s="156"/>
      <c r="AL246" s="156"/>
      <c r="AM246" s="156"/>
      <c r="AN246" s="156"/>
      <c r="AO246" s="156"/>
      <c r="AP246" s="156"/>
      <c r="AQ246" s="156"/>
      <c r="AR246" s="156"/>
      <c r="AS246" s="156"/>
      <c r="AT246" s="156"/>
      <c r="AU246" s="156"/>
      <c r="AV246" s="156"/>
      <c r="AW246" s="156"/>
      <c r="AX246" s="156"/>
    </row>
    <row r="247" spans="23:51" s="984" customFormat="1">
      <c r="W247" s="156"/>
      <c r="X247" s="156"/>
      <c r="Y247" s="156"/>
      <c r="Z247" s="156"/>
      <c r="AA247" s="156"/>
      <c r="AB247" s="156"/>
      <c r="AC247" s="156"/>
      <c r="AD247" s="156"/>
      <c r="AE247" s="156"/>
      <c r="AF247" s="156"/>
      <c r="AG247" s="156"/>
      <c r="AH247" s="156"/>
      <c r="AI247" s="156"/>
      <c r="AJ247" s="156"/>
      <c r="AK247" s="156"/>
      <c r="AL247" s="156"/>
      <c r="AM247" s="156"/>
      <c r="AN247" s="156"/>
      <c r="AO247" s="156"/>
      <c r="AP247" s="156"/>
      <c r="AQ247" s="156"/>
      <c r="AR247" s="156"/>
      <c r="AS247" s="156"/>
      <c r="AT247" s="156"/>
      <c r="AU247" s="156"/>
      <c r="AV247" s="156"/>
      <c r="AW247" s="156"/>
      <c r="AX247" s="156"/>
    </row>
    <row r="248" spans="23:51" s="984" customFormat="1">
      <c r="W248" s="156"/>
      <c r="X248" s="156"/>
      <c r="Y248" s="156"/>
      <c r="Z248" s="156"/>
      <c r="AA248" s="156"/>
      <c r="AB248" s="156"/>
      <c r="AC248" s="156"/>
      <c r="AD248" s="156"/>
      <c r="AE248" s="156"/>
      <c r="AF248" s="156"/>
      <c r="AG248" s="156"/>
      <c r="AH248" s="156"/>
      <c r="AI248" s="156"/>
      <c r="AJ248" s="156"/>
      <c r="AK248" s="156"/>
      <c r="AL248" s="156"/>
      <c r="AM248" s="156"/>
      <c r="AN248" s="156"/>
      <c r="AO248" s="156"/>
      <c r="AP248" s="156"/>
      <c r="AQ248" s="156"/>
      <c r="AR248" s="156"/>
      <c r="AS248" s="156"/>
      <c r="AT248" s="156"/>
      <c r="AU248" s="156"/>
      <c r="AV248" s="156"/>
      <c r="AW248" s="156"/>
      <c r="AX248" s="156"/>
    </row>
    <row r="249" spans="23:51" s="984" customFormat="1">
      <c r="W249" s="156"/>
      <c r="X249" s="156"/>
      <c r="Y249" s="156"/>
      <c r="Z249" s="156"/>
      <c r="AA249" s="156"/>
      <c r="AB249" s="156"/>
      <c r="AC249" s="156"/>
      <c r="AD249" s="156"/>
      <c r="AE249" s="156"/>
      <c r="AF249" s="156"/>
      <c r="AG249" s="156"/>
      <c r="AH249" s="156"/>
      <c r="AI249" s="156"/>
      <c r="AJ249" s="156"/>
      <c r="AK249" s="156"/>
      <c r="AL249" s="156"/>
      <c r="AM249" s="156"/>
      <c r="AN249" s="156"/>
      <c r="AO249" s="156"/>
      <c r="AP249" s="156"/>
      <c r="AQ249" s="156"/>
      <c r="AR249" s="156"/>
      <c r="AS249" s="156"/>
      <c r="AT249" s="156"/>
      <c r="AU249" s="156"/>
      <c r="AV249" s="156"/>
      <c r="AW249" s="156"/>
      <c r="AX249" s="156"/>
    </row>
    <row r="250" spans="23:51" s="984" customFormat="1">
      <c r="W250" s="156"/>
      <c r="X250" s="156"/>
      <c r="Y250" s="156"/>
      <c r="Z250" s="156"/>
      <c r="AA250" s="156"/>
      <c r="AB250" s="156"/>
      <c r="AC250" s="156"/>
      <c r="AD250" s="156"/>
      <c r="AE250" s="156"/>
      <c r="AF250" s="156"/>
      <c r="AG250" s="156"/>
      <c r="AH250" s="156"/>
      <c r="AI250" s="156"/>
      <c r="AJ250" s="156"/>
      <c r="AK250" s="156"/>
      <c r="AL250" s="156"/>
      <c r="AM250" s="156"/>
      <c r="AN250" s="156"/>
      <c r="AO250" s="156"/>
      <c r="AP250" s="156"/>
      <c r="AQ250" s="156"/>
      <c r="AR250" s="156"/>
      <c r="AS250" s="156"/>
      <c r="AT250" s="156"/>
      <c r="AU250" s="156"/>
      <c r="AV250" s="156"/>
      <c r="AW250" s="156"/>
      <c r="AX250" s="156"/>
    </row>
    <row r="251" spans="23:51" s="984" customFormat="1">
      <c r="W251" s="156"/>
      <c r="X251" s="156"/>
      <c r="Y251" s="156"/>
      <c r="Z251" s="156"/>
      <c r="AA251" s="156"/>
      <c r="AB251" s="156"/>
      <c r="AC251" s="156"/>
      <c r="AD251" s="156"/>
      <c r="AE251" s="156"/>
      <c r="AF251" s="156"/>
      <c r="AG251" s="156"/>
      <c r="AH251" s="156"/>
      <c r="AI251" s="156"/>
      <c r="AJ251" s="156"/>
      <c r="AK251" s="156"/>
      <c r="AL251" s="156"/>
      <c r="AM251" s="156"/>
      <c r="AN251" s="156"/>
      <c r="AO251" s="156"/>
      <c r="AP251" s="156"/>
      <c r="AQ251" s="156"/>
      <c r="AR251" s="156"/>
      <c r="AS251" s="156"/>
      <c r="AT251" s="156"/>
      <c r="AU251" s="156"/>
      <c r="AV251" s="156"/>
      <c r="AW251" s="156"/>
      <c r="AX251" s="156"/>
    </row>
    <row r="252" spans="23:51" s="984" customFormat="1">
      <c r="W252" s="156"/>
      <c r="X252" s="156"/>
      <c r="Y252" s="156"/>
      <c r="Z252" s="156"/>
      <c r="AA252" s="156"/>
      <c r="AB252" s="156"/>
      <c r="AC252" s="156"/>
      <c r="AD252" s="156"/>
      <c r="AE252" s="156"/>
      <c r="AF252" s="156"/>
      <c r="AG252" s="156"/>
      <c r="AH252" s="156"/>
      <c r="AI252" s="156"/>
      <c r="AJ252" s="156"/>
      <c r="AK252" s="156"/>
      <c r="AL252" s="156"/>
      <c r="AM252" s="156"/>
      <c r="AN252" s="156"/>
      <c r="AO252" s="156"/>
      <c r="AP252" s="156"/>
      <c r="AQ252" s="156"/>
      <c r="AR252" s="156"/>
      <c r="AS252" s="156"/>
      <c r="AT252" s="156"/>
      <c r="AU252" s="156"/>
      <c r="AV252" s="156"/>
      <c r="AW252" s="156"/>
      <c r="AX252" s="156"/>
    </row>
    <row r="253" spans="23:51" s="984" customFormat="1">
      <c r="W253" s="156"/>
      <c r="X253" s="156"/>
      <c r="Y253" s="156"/>
      <c r="Z253" s="156"/>
      <c r="AA253" s="156"/>
      <c r="AB253" s="156"/>
      <c r="AC253" s="156"/>
      <c r="AD253" s="156"/>
      <c r="AE253" s="156"/>
      <c r="AF253" s="156"/>
      <c r="AG253" s="156"/>
      <c r="AH253" s="156"/>
      <c r="AI253" s="156"/>
      <c r="AJ253" s="156"/>
      <c r="AK253" s="156"/>
      <c r="AL253" s="156"/>
      <c r="AM253" s="156"/>
      <c r="AN253" s="156"/>
      <c r="AO253" s="156"/>
      <c r="AP253" s="156"/>
      <c r="AQ253" s="156"/>
      <c r="AR253" s="156"/>
      <c r="AS253" s="156"/>
      <c r="AT253" s="156"/>
      <c r="AU253" s="156"/>
      <c r="AV253" s="156"/>
      <c r="AW253" s="156"/>
      <c r="AX253" s="156"/>
    </row>
    <row r="254" spans="23:51" s="984" customFormat="1">
      <c r="W254" s="156"/>
      <c r="X254" s="156"/>
      <c r="Y254" s="156"/>
      <c r="Z254" s="156"/>
      <c r="AA254" s="156"/>
      <c r="AB254" s="156"/>
      <c r="AC254" s="156"/>
      <c r="AD254" s="156"/>
      <c r="AE254" s="156"/>
      <c r="AF254" s="156"/>
      <c r="AG254" s="156"/>
      <c r="AH254" s="156"/>
      <c r="AI254" s="156"/>
      <c r="AJ254" s="156"/>
      <c r="AK254" s="156"/>
      <c r="AL254" s="156"/>
      <c r="AM254" s="156"/>
      <c r="AN254" s="156"/>
      <c r="AO254" s="156"/>
      <c r="AP254" s="156"/>
      <c r="AQ254" s="156"/>
      <c r="AR254" s="156"/>
      <c r="AS254" s="156"/>
      <c r="AT254" s="156"/>
      <c r="AU254" s="156"/>
      <c r="AV254" s="156"/>
      <c r="AW254" s="156"/>
      <c r="AX254" s="156"/>
    </row>
    <row r="255" spans="23:51" s="984" customFormat="1">
      <c r="W255" s="156"/>
      <c r="X255" s="156"/>
      <c r="Y255" s="156"/>
      <c r="Z255" s="156"/>
      <c r="AA255" s="156"/>
      <c r="AB255" s="156"/>
      <c r="AC255" s="156"/>
      <c r="AD255" s="156"/>
      <c r="AE255" s="156"/>
      <c r="AF255" s="156"/>
      <c r="AG255" s="156"/>
      <c r="AH255" s="156"/>
      <c r="AI255" s="156"/>
      <c r="AJ255" s="156"/>
      <c r="AK255" s="156"/>
      <c r="AL255" s="156"/>
      <c r="AM255" s="156"/>
      <c r="AN255" s="156"/>
      <c r="AO255" s="156"/>
      <c r="AP255" s="156"/>
      <c r="AQ255" s="156"/>
      <c r="AR255" s="156"/>
      <c r="AS255" s="156"/>
      <c r="AT255" s="156"/>
      <c r="AU255" s="156"/>
      <c r="AV255" s="156"/>
      <c r="AW255" s="156"/>
      <c r="AX255" s="156"/>
    </row>
    <row r="256" spans="23:51" s="984" customFormat="1">
      <c r="W256" s="156"/>
      <c r="X256" s="156"/>
      <c r="Y256" s="156"/>
      <c r="Z256" s="156"/>
      <c r="AA256" s="156"/>
      <c r="AB256" s="156"/>
      <c r="AC256" s="156"/>
      <c r="AD256" s="156"/>
      <c r="AE256" s="156"/>
      <c r="AF256" s="156"/>
      <c r="AG256" s="156"/>
      <c r="AH256" s="156"/>
      <c r="AI256" s="156"/>
      <c r="AJ256" s="156"/>
      <c r="AK256" s="156"/>
      <c r="AL256" s="156"/>
      <c r="AM256" s="156"/>
      <c r="AN256" s="156"/>
      <c r="AO256" s="156"/>
      <c r="AP256" s="156"/>
      <c r="AQ256" s="156"/>
      <c r="AR256" s="156"/>
      <c r="AS256" s="156"/>
      <c r="AT256" s="156"/>
      <c r="AU256" s="156"/>
      <c r="AV256" s="156"/>
      <c r="AW256" s="156"/>
      <c r="AX256" s="156"/>
    </row>
    <row r="257" spans="23:50" s="984" customFormat="1">
      <c r="W257" s="156"/>
      <c r="X257" s="156"/>
      <c r="Y257" s="156"/>
      <c r="Z257" s="156"/>
      <c r="AA257" s="156"/>
      <c r="AB257" s="156"/>
      <c r="AC257" s="156"/>
      <c r="AD257" s="156"/>
      <c r="AE257" s="156"/>
      <c r="AF257" s="156"/>
      <c r="AG257" s="156"/>
      <c r="AH257" s="156"/>
      <c r="AI257" s="156"/>
      <c r="AJ257" s="156"/>
      <c r="AK257" s="156"/>
      <c r="AL257" s="156"/>
      <c r="AM257" s="156"/>
      <c r="AN257" s="156"/>
      <c r="AO257" s="156"/>
      <c r="AP257" s="156"/>
      <c r="AQ257" s="156"/>
      <c r="AR257" s="156"/>
      <c r="AS257" s="156"/>
      <c r="AT257" s="156"/>
      <c r="AU257" s="156"/>
      <c r="AV257" s="156"/>
      <c r="AW257" s="156"/>
      <c r="AX257" s="156"/>
    </row>
    <row r="258" spans="23:50" s="984" customFormat="1">
      <c r="W258" s="156"/>
      <c r="X258" s="156"/>
      <c r="Y258" s="156"/>
      <c r="Z258" s="156"/>
      <c r="AA258" s="156"/>
      <c r="AB258" s="156"/>
      <c r="AC258" s="156"/>
      <c r="AD258" s="156"/>
      <c r="AE258" s="156"/>
      <c r="AF258" s="156"/>
      <c r="AG258" s="156"/>
      <c r="AH258" s="156"/>
      <c r="AI258" s="156"/>
      <c r="AJ258" s="156"/>
      <c r="AK258" s="156"/>
      <c r="AL258" s="156"/>
      <c r="AM258" s="156"/>
      <c r="AN258" s="156"/>
      <c r="AO258" s="156"/>
      <c r="AP258" s="156"/>
      <c r="AQ258" s="156"/>
      <c r="AR258" s="156"/>
      <c r="AS258" s="156"/>
      <c r="AT258" s="156"/>
      <c r="AU258" s="156"/>
      <c r="AV258" s="156"/>
      <c r="AW258" s="156"/>
      <c r="AX258" s="156"/>
    </row>
    <row r="259" spans="23:50" s="984" customFormat="1">
      <c r="W259" s="156"/>
      <c r="X259" s="156"/>
      <c r="Y259" s="156"/>
      <c r="Z259" s="156"/>
      <c r="AA259" s="156"/>
      <c r="AB259" s="156"/>
      <c r="AC259" s="156"/>
      <c r="AD259" s="156"/>
      <c r="AE259" s="156"/>
      <c r="AF259" s="156"/>
      <c r="AG259" s="156"/>
      <c r="AH259" s="156"/>
      <c r="AI259" s="156"/>
      <c r="AJ259" s="156"/>
      <c r="AK259" s="156"/>
      <c r="AL259" s="156"/>
      <c r="AM259" s="156"/>
      <c r="AN259" s="156"/>
      <c r="AO259" s="156"/>
      <c r="AP259" s="156"/>
      <c r="AQ259" s="156"/>
      <c r="AR259" s="156"/>
      <c r="AS259" s="156"/>
      <c r="AT259" s="156"/>
      <c r="AU259" s="156"/>
      <c r="AV259" s="156"/>
      <c r="AW259" s="156"/>
      <c r="AX259" s="156"/>
    </row>
    <row r="260" spans="23:50" s="984" customFormat="1">
      <c r="W260" s="156"/>
      <c r="X260" s="156"/>
      <c r="Y260" s="156"/>
      <c r="Z260" s="156"/>
      <c r="AA260" s="156"/>
      <c r="AB260" s="156"/>
      <c r="AC260" s="156"/>
      <c r="AD260" s="156"/>
      <c r="AE260" s="156"/>
      <c r="AF260" s="156"/>
      <c r="AG260" s="156"/>
      <c r="AH260" s="156"/>
      <c r="AI260" s="156"/>
      <c r="AJ260" s="156"/>
      <c r="AK260" s="156"/>
      <c r="AL260" s="156"/>
      <c r="AM260" s="156"/>
      <c r="AN260" s="156"/>
      <c r="AO260" s="156"/>
      <c r="AP260" s="156"/>
      <c r="AQ260" s="156"/>
      <c r="AR260" s="156"/>
      <c r="AS260" s="156"/>
      <c r="AT260" s="156"/>
      <c r="AU260" s="156"/>
      <c r="AV260" s="156"/>
      <c r="AW260" s="156"/>
      <c r="AX260" s="156"/>
    </row>
    <row r="261" spans="23:50" s="984" customFormat="1">
      <c r="W261" s="156"/>
      <c r="X261" s="156"/>
      <c r="Y261" s="156"/>
      <c r="Z261" s="156"/>
      <c r="AA261" s="156"/>
      <c r="AB261" s="156"/>
      <c r="AC261" s="156"/>
      <c r="AD261" s="156"/>
      <c r="AE261" s="156"/>
      <c r="AF261" s="156"/>
      <c r="AG261" s="156"/>
      <c r="AH261" s="156"/>
      <c r="AI261" s="156"/>
      <c r="AJ261" s="156"/>
      <c r="AK261" s="156"/>
      <c r="AL261" s="156"/>
      <c r="AM261" s="156"/>
      <c r="AN261" s="156"/>
      <c r="AO261" s="156"/>
      <c r="AP261" s="156"/>
      <c r="AQ261" s="156"/>
      <c r="AR261" s="156"/>
      <c r="AS261" s="156"/>
      <c r="AT261" s="156"/>
      <c r="AU261" s="156"/>
      <c r="AV261" s="156"/>
      <c r="AW261" s="156"/>
      <c r="AX261" s="156"/>
    </row>
    <row r="262" spans="23:50" s="984" customFormat="1">
      <c r="W262" s="156"/>
      <c r="X262" s="156"/>
      <c r="Y262" s="156"/>
      <c r="Z262" s="156"/>
      <c r="AA262" s="156"/>
      <c r="AB262" s="156"/>
      <c r="AC262" s="156"/>
      <c r="AD262" s="156"/>
      <c r="AE262" s="156"/>
      <c r="AF262" s="156"/>
      <c r="AG262" s="156"/>
      <c r="AH262" s="156"/>
      <c r="AI262" s="156"/>
      <c r="AJ262" s="156"/>
      <c r="AK262" s="156"/>
      <c r="AL262" s="156"/>
      <c r="AM262" s="156"/>
      <c r="AN262" s="156"/>
      <c r="AO262" s="156"/>
      <c r="AP262" s="156"/>
      <c r="AQ262" s="156"/>
      <c r="AR262" s="156"/>
      <c r="AS262" s="156"/>
      <c r="AT262" s="156"/>
      <c r="AU262" s="156"/>
      <c r="AV262" s="156"/>
      <c r="AW262" s="156"/>
      <c r="AX262" s="156"/>
    </row>
    <row r="263" spans="23:50" s="984" customFormat="1">
      <c r="W263" s="156"/>
      <c r="X263" s="156"/>
      <c r="Y263" s="156"/>
      <c r="Z263" s="156"/>
      <c r="AA263" s="156"/>
      <c r="AB263" s="156"/>
      <c r="AC263" s="156"/>
      <c r="AD263" s="156"/>
      <c r="AE263" s="156"/>
      <c r="AF263" s="156"/>
      <c r="AG263" s="156"/>
      <c r="AH263" s="156"/>
      <c r="AI263" s="156"/>
      <c r="AJ263" s="156"/>
      <c r="AK263" s="156"/>
      <c r="AL263" s="156"/>
      <c r="AM263" s="156"/>
      <c r="AN263" s="156"/>
      <c r="AO263" s="156"/>
      <c r="AP263" s="156"/>
      <c r="AQ263" s="156"/>
      <c r="AR263" s="156"/>
      <c r="AS263" s="156"/>
      <c r="AT263" s="156"/>
      <c r="AU263" s="156"/>
      <c r="AV263" s="156"/>
      <c r="AW263" s="156"/>
      <c r="AX263" s="156"/>
    </row>
    <row r="264" spans="23:50" s="984" customFormat="1">
      <c r="W264" s="156"/>
      <c r="X264" s="156"/>
      <c r="Y264" s="156"/>
      <c r="Z264" s="156"/>
      <c r="AA264" s="156"/>
      <c r="AB264" s="156"/>
      <c r="AC264" s="156"/>
      <c r="AD264" s="156"/>
      <c r="AE264" s="156"/>
      <c r="AF264" s="156"/>
      <c r="AG264" s="156"/>
      <c r="AH264" s="156"/>
      <c r="AI264" s="156"/>
      <c r="AJ264" s="156"/>
      <c r="AK264" s="156"/>
      <c r="AL264" s="156"/>
      <c r="AM264" s="156"/>
      <c r="AN264" s="156"/>
      <c r="AO264" s="156"/>
      <c r="AP264" s="156"/>
      <c r="AQ264" s="156"/>
      <c r="AR264" s="156"/>
      <c r="AS264" s="156"/>
      <c r="AT264" s="156"/>
      <c r="AU264" s="156"/>
      <c r="AV264" s="156"/>
      <c r="AW264" s="156"/>
      <c r="AX264" s="156"/>
    </row>
    <row r="265" spans="23:50" s="984" customFormat="1">
      <c r="W265" s="156"/>
      <c r="X265" s="156"/>
      <c r="Y265" s="156"/>
      <c r="Z265" s="156"/>
      <c r="AA265" s="156"/>
      <c r="AB265" s="156"/>
      <c r="AC265" s="156"/>
      <c r="AD265" s="156"/>
      <c r="AE265" s="156"/>
      <c r="AF265" s="156"/>
      <c r="AG265" s="156"/>
      <c r="AH265" s="156"/>
      <c r="AI265" s="156"/>
      <c r="AJ265" s="156"/>
      <c r="AK265" s="156"/>
      <c r="AL265" s="156"/>
      <c r="AM265" s="156"/>
      <c r="AN265" s="156"/>
      <c r="AO265" s="156"/>
      <c r="AP265" s="156"/>
      <c r="AQ265" s="156"/>
      <c r="AR265" s="156"/>
      <c r="AS265" s="156"/>
      <c r="AT265" s="156"/>
      <c r="AU265" s="156"/>
      <c r="AV265" s="156"/>
      <c r="AW265" s="156"/>
      <c r="AX265" s="156"/>
    </row>
    <row r="266" spans="23:50" s="984" customFormat="1">
      <c r="W266" s="156"/>
      <c r="X266" s="156"/>
      <c r="Y266" s="156"/>
      <c r="Z266" s="156"/>
      <c r="AA266" s="156"/>
      <c r="AB266" s="156"/>
      <c r="AC266" s="156"/>
      <c r="AD266" s="156"/>
      <c r="AE266" s="156"/>
      <c r="AF266" s="156"/>
      <c r="AG266" s="156"/>
      <c r="AH266" s="156"/>
      <c r="AI266" s="156"/>
      <c r="AJ266" s="156"/>
      <c r="AK266" s="156"/>
      <c r="AL266" s="156"/>
      <c r="AM266" s="156"/>
      <c r="AN266" s="156"/>
      <c r="AO266" s="156"/>
      <c r="AP266" s="156"/>
      <c r="AQ266" s="156"/>
      <c r="AR266" s="156"/>
      <c r="AS266" s="156"/>
      <c r="AT266" s="156"/>
      <c r="AU266" s="156"/>
      <c r="AV266" s="156"/>
      <c r="AW266" s="156"/>
      <c r="AX266" s="156"/>
    </row>
    <row r="267" spans="23:50" s="984" customFormat="1">
      <c r="W267" s="156"/>
      <c r="X267" s="156"/>
      <c r="Y267" s="156"/>
      <c r="Z267" s="156"/>
      <c r="AA267" s="156"/>
      <c r="AB267" s="156"/>
      <c r="AC267" s="156"/>
      <c r="AD267" s="156"/>
      <c r="AE267" s="156"/>
      <c r="AF267" s="156"/>
      <c r="AG267" s="156"/>
      <c r="AH267" s="156"/>
      <c r="AI267" s="156"/>
      <c r="AJ267" s="156"/>
      <c r="AK267" s="156"/>
      <c r="AL267" s="156"/>
      <c r="AM267" s="156"/>
      <c r="AN267" s="156"/>
      <c r="AO267" s="156"/>
      <c r="AP267" s="156"/>
      <c r="AQ267" s="156"/>
      <c r="AR267" s="156"/>
      <c r="AS267" s="156"/>
      <c r="AT267" s="156"/>
      <c r="AU267" s="156"/>
      <c r="AV267" s="156"/>
      <c r="AW267" s="156"/>
      <c r="AX267" s="156"/>
    </row>
    <row r="268" spans="23:50" s="984" customFormat="1">
      <c r="W268" s="156"/>
      <c r="X268" s="156"/>
      <c r="Y268" s="156"/>
      <c r="Z268" s="156"/>
      <c r="AA268" s="156"/>
      <c r="AB268" s="156"/>
      <c r="AC268" s="156"/>
      <c r="AD268" s="156"/>
      <c r="AE268" s="156"/>
      <c r="AF268" s="156"/>
      <c r="AG268" s="156"/>
      <c r="AH268" s="156"/>
      <c r="AI268" s="156"/>
      <c r="AJ268" s="156"/>
      <c r="AK268" s="156"/>
      <c r="AL268" s="156"/>
      <c r="AM268" s="156"/>
      <c r="AN268" s="156"/>
      <c r="AO268" s="156"/>
      <c r="AP268" s="156"/>
      <c r="AQ268" s="156"/>
      <c r="AR268" s="156"/>
      <c r="AS268" s="156"/>
      <c r="AT268" s="156"/>
      <c r="AU268" s="156"/>
      <c r="AV268" s="156"/>
      <c r="AW268" s="156"/>
      <c r="AX268" s="156"/>
    </row>
    <row r="269" spans="23:50" s="984" customFormat="1">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row>
    <row r="270" spans="23:50" s="984" customFormat="1">
      <c r="W270" s="156"/>
      <c r="X270" s="156"/>
      <c r="Y270" s="156"/>
      <c r="Z270" s="156"/>
      <c r="AA270" s="156"/>
      <c r="AB270" s="156"/>
      <c r="AC270" s="156"/>
      <c r="AD270" s="156"/>
      <c r="AE270" s="156"/>
      <c r="AF270" s="156"/>
      <c r="AG270" s="156"/>
      <c r="AH270" s="156"/>
      <c r="AI270" s="156"/>
      <c r="AJ270" s="156"/>
      <c r="AK270" s="156"/>
      <c r="AL270" s="156"/>
      <c r="AM270" s="156"/>
      <c r="AN270" s="156"/>
      <c r="AO270" s="156"/>
      <c r="AP270" s="156"/>
      <c r="AQ270" s="156"/>
      <c r="AR270" s="156"/>
      <c r="AS270" s="156"/>
      <c r="AT270" s="156"/>
      <c r="AU270" s="156"/>
      <c r="AV270" s="156"/>
      <c r="AW270" s="156"/>
      <c r="AX270" s="156"/>
    </row>
    <row r="271" spans="23:50" s="984" customFormat="1">
      <c r="W271" s="156"/>
      <c r="X271" s="156"/>
      <c r="Y271" s="156"/>
      <c r="Z271" s="156"/>
      <c r="AA271" s="156"/>
      <c r="AB271" s="156"/>
      <c r="AC271" s="156"/>
      <c r="AD271" s="156"/>
      <c r="AE271" s="156"/>
      <c r="AF271" s="156"/>
      <c r="AG271" s="156"/>
      <c r="AH271" s="156"/>
      <c r="AI271" s="156"/>
      <c r="AJ271" s="156"/>
      <c r="AK271" s="156"/>
      <c r="AL271" s="156"/>
      <c r="AM271" s="156"/>
      <c r="AN271" s="156"/>
      <c r="AO271" s="156"/>
      <c r="AP271" s="156"/>
      <c r="AQ271" s="156"/>
      <c r="AR271" s="156"/>
      <c r="AS271" s="156"/>
      <c r="AT271" s="156"/>
      <c r="AU271" s="156"/>
      <c r="AV271" s="156"/>
      <c r="AW271" s="156"/>
      <c r="AX271" s="156"/>
    </row>
    <row r="272" spans="23:50" s="984" customFormat="1">
      <c r="W272" s="156"/>
      <c r="X272" s="156"/>
      <c r="Y272" s="156"/>
      <c r="Z272" s="156"/>
      <c r="AA272" s="156"/>
      <c r="AB272" s="156"/>
      <c r="AC272" s="156"/>
      <c r="AD272" s="156"/>
      <c r="AE272" s="156"/>
      <c r="AF272" s="156"/>
      <c r="AG272" s="156"/>
      <c r="AH272" s="156"/>
      <c r="AI272" s="156"/>
      <c r="AJ272" s="156"/>
      <c r="AK272" s="156"/>
      <c r="AL272" s="156"/>
      <c r="AM272" s="156"/>
      <c r="AN272" s="156"/>
      <c r="AO272" s="156"/>
      <c r="AP272" s="156"/>
      <c r="AQ272" s="156"/>
      <c r="AR272" s="156"/>
      <c r="AS272" s="156"/>
      <c r="AT272" s="156"/>
      <c r="AU272" s="156"/>
      <c r="AV272" s="156"/>
      <c r="AW272" s="156"/>
      <c r="AX272" s="156"/>
    </row>
    <row r="273" spans="23:50" s="984" customFormat="1">
      <c r="W273" s="156"/>
      <c r="X273" s="156"/>
      <c r="Y273" s="156"/>
      <c r="Z273" s="156"/>
      <c r="AA273" s="156"/>
      <c r="AB273" s="156"/>
      <c r="AC273" s="156"/>
      <c r="AD273" s="156"/>
      <c r="AE273" s="156"/>
      <c r="AF273" s="156"/>
      <c r="AG273" s="156"/>
      <c r="AH273" s="156"/>
      <c r="AI273" s="156"/>
      <c r="AJ273" s="156"/>
      <c r="AK273" s="156"/>
      <c r="AL273" s="156"/>
      <c r="AM273" s="156"/>
      <c r="AN273" s="156"/>
      <c r="AO273" s="156"/>
      <c r="AP273" s="156"/>
      <c r="AQ273" s="156"/>
      <c r="AR273" s="156"/>
      <c r="AS273" s="156"/>
      <c r="AT273" s="156"/>
      <c r="AU273" s="156"/>
      <c r="AV273" s="156"/>
      <c r="AW273" s="156"/>
      <c r="AX273" s="156"/>
    </row>
    <row r="274" spans="23:50" s="984" customFormat="1">
      <c r="W274" s="156"/>
      <c r="X274" s="156"/>
      <c r="Y274" s="156"/>
      <c r="Z274" s="156"/>
      <c r="AA274" s="156"/>
      <c r="AB274" s="156"/>
      <c r="AC274" s="156"/>
      <c r="AD274" s="156"/>
      <c r="AE274" s="156"/>
      <c r="AF274" s="156"/>
      <c r="AG274" s="156"/>
      <c r="AH274" s="156"/>
      <c r="AI274" s="156"/>
      <c r="AJ274" s="156"/>
      <c r="AK274" s="156"/>
      <c r="AL274" s="156"/>
      <c r="AM274" s="156"/>
      <c r="AN274" s="156"/>
      <c r="AO274" s="156"/>
      <c r="AP274" s="156"/>
      <c r="AQ274" s="156"/>
      <c r="AR274" s="156"/>
      <c r="AS274" s="156"/>
      <c r="AT274" s="156"/>
      <c r="AU274" s="156"/>
      <c r="AV274" s="156"/>
      <c r="AW274" s="156"/>
      <c r="AX274" s="156"/>
    </row>
    <row r="275" spans="23:50" s="984" customFormat="1">
      <c r="W275" s="156"/>
      <c r="X275" s="156"/>
      <c r="Y275" s="156"/>
      <c r="Z275" s="156"/>
      <c r="AA275" s="156"/>
      <c r="AB275" s="156"/>
      <c r="AC275" s="156"/>
      <c r="AD275" s="156"/>
      <c r="AE275" s="156"/>
      <c r="AF275" s="156"/>
      <c r="AG275" s="156"/>
      <c r="AH275" s="156"/>
      <c r="AI275" s="156"/>
      <c r="AJ275" s="156"/>
      <c r="AK275" s="156"/>
      <c r="AL275" s="156"/>
      <c r="AM275" s="156"/>
      <c r="AN275" s="156"/>
      <c r="AO275" s="156"/>
      <c r="AP275" s="156"/>
      <c r="AQ275" s="156"/>
      <c r="AR275" s="156"/>
      <c r="AS275" s="156"/>
      <c r="AT275" s="156"/>
      <c r="AU275" s="156"/>
      <c r="AV275" s="156"/>
      <c r="AW275" s="156"/>
      <c r="AX275" s="156"/>
    </row>
    <row r="276" spans="23:50" s="984" customFormat="1">
      <c r="W276" s="156"/>
      <c r="X276" s="156"/>
      <c r="Y276" s="156"/>
      <c r="Z276" s="156"/>
      <c r="AA276" s="156"/>
      <c r="AB276" s="156"/>
      <c r="AC276" s="156"/>
      <c r="AD276" s="156"/>
      <c r="AE276" s="156"/>
      <c r="AF276" s="156"/>
      <c r="AG276" s="156"/>
      <c r="AH276" s="156"/>
      <c r="AI276" s="156"/>
      <c r="AJ276" s="156"/>
      <c r="AK276" s="156"/>
      <c r="AL276" s="156"/>
      <c r="AM276" s="156"/>
      <c r="AN276" s="156"/>
      <c r="AO276" s="156"/>
      <c r="AP276" s="156"/>
      <c r="AQ276" s="156"/>
      <c r="AR276" s="156"/>
      <c r="AS276" s="156"/>
      <c r="AT276" s="156"/>
      <c r="AU276" s="156"/>
      <c r="AV276" s="156"/>
      <c r="AW276" s="156"/>
      <c r="AX276" s="156"/>
    </row>
    <row r="277" spans="23:50" s="984" customFormat="1">
      <c r="W277" s="156"/>
      <c r="X277" s="156"/>
      <c r="Y277" s="156"/>
      <c r="Z277" s="156"/>
      <c r="AA277" s="156"/>
      <c r="AB277" s="156"/>
      <c r="AC277" s="156"/>
      <c r="AD277" s="156"/>
      <c r="AE277" s="156"/>
      <c r="AF277" s="156"/>
      <c r="AG277" s="156"/>
      <c r="AH277" s="156"/>
      <c r="AI277" s="156"/>
      <c r="AJ277" s="156"/>
      <c r="AK277" s="156"/>
      <c r="AL277" s="156"/>
      <c r="AM277" s="156"/>
      <c r="AN277" s="156"/>
      <c r="AO277" s="156"/>
      <c r="AP277" s="156"/>
      <c r="AQ277" s="156"/>
      <c r="AR277" s="156"/>
      <c r="AS277" s="156"/>
      <c r="AT277" s="156"/>
      <c r="AU277" s="156"/>
      <c r="AV277" s="156"/>
      <c r="AW277" s="156"/>
      <c r="AX277" s="156"/>
    </row>
    <row r="278" spans="23:50" s="984" customFormat="1">
      <c r="W278" s="156"/>
      <c r="X278" s="156"/>
      <c r="Y278" s="156"/>
      <c r="Z278" s="156"/>
      <c r="AA278" s="156"/>
      <c r="AB278" s="156"/>
      <c r="AC278" s="156"/>
      <c r="AD278" s="156"/>
      <c r="AE278" s="156"/>
      <c r="AF278" s="156"/>
      <c r="AG278" s="156"/>
      <c r="AH278" s="156"/>
      <c r="AI278" s="156"/>
      <c r="AJ278" s="156"/>
      <c r="AK278" s="156"/>
      <c r="AL278" s="156"/>
      <c r="AM278" s="156"/>
      <c r="AN278" s="156"/>
      <c r="AO278" s="156"/>
      <c r="AP278" s="156"/>
      <c r="AQ278" s="156"/>
      <c r="AR278" s="156"/>
      <c r="AS278" s="156"/>
      <c r="AT278" s="156"/>
      <c r="AU278" s="156"/>
      <c r="AV278" s="156"/>
      <c r="AW278" s="156"/>
      <c r="AX278" s="156"/>
    </row>
    <row r="279" spans="23:50" s="984" customFormat="1">
      <c r="W279" s="156"/>
      <c r="X279" s="156"/>
      <c r="Y279" s="156"/>
      <c r="Z279" s="156"/>
      <c r="AA279" s="156"/>
      <c r="AB279" s="156"/>
      <c r="AC279" s="156"/>
      <c r="AD279" s="156"/>
      <c r="AE279" s="156"/>
      <c r="AF279" s="156"/>
      <c r="AG279" s="156"/>
      <c r="AH279" s="156"/>
      <c r="AI279" s="156"/>
      <c r="AJ279" s="156"/>
      <c r="AK279" s="156"/>
      <c r="AL279" s="156"/>
      <c r="AM279" s="156"/>
      <c r="AN279" s="156"/>
      <c r="AO279" s="156"/>
      <c r="AP279" s="156"/>
      <c r="AQ279" s="156"/>
      <c r="AR279" s="156"/>
      <c r="AS279" s="156"/>
      <c r="AT279" s="156"/>
      <c r="AU279" s="156"/>
      <c r="AV279" s="156"/>
      <c r="AW279" s="156"/>
      <c r="AX279" s="156"/>
    </row>
    <row r="280" spans="23:50" s="984" customFormat="1">
      <c r="W280" s="156"/>
      <c r="X280" s="156"/>
      <c r="Y280" s="156"/>
      <c r="Z280" s="156"/>
      <c r="AA280" s="156"/>
      <c r="AB280" s="156"/>
      <c r="AC280" s="156"/>
      <c r="AD280" s="156"/>
      <c r="AE280" s="156"/>
      <c r="AF280" s="156"/>
      <c r="AG280" s="156"/>
      <c r="AH280" s="156"/>
      <c r="AI280" s="156"/>
      <c r="AJ280" s="156"/>
      <c r="AK280" s="156"/>
      <c r="AL280" s="156"/>
      <c r="AM280" s="156"/>
      <c r="AN280" s="156"/>
      <c r="AO280" s="156"/>
      <c r="AP280" s="156"/>
      <c r="AQ280" s="156"/>
      <c r="AR280" s="156"/>
      <c r="AS280" s="156"/>
      <c r="AT280" s="156"/>
      <c r="AU280" s="156"/>
      <c r="AV280" s="156"/>
      <c r="AW280" s="156"/>
      <c r="AX280" s="156"/>
    </row>
    <row r="281" spans="23:50" s="984" customFormat="1">
      <c r="W281" s="156"/>
      <c r="X281" s="156"/>
      <c r="Y281" s="156"/>
      <c r="Z281" s="156"/>
      <c r="AA281" s="156"/>
      <c r="AB281" s="156"/>
      <c r="AC281" s="156"/>
      <c r="AD281" s="156"/>
      <c r="AE281" s="156"/>
      <c r="AF281" s="156"/>
      <c r="AG281" s="156"/>
      <c r="AH281" s="156"/>
      <c r="AI281" s="156"/>
      <c r="AJ281" s="156"/>
      <c r="AK281" s="156"/>
      <c r="AL281" s="156"/>
      <c r="AM281" s="156"/>
      <c r="AN281" s="156"/>
      <c r="AO281" s="156"/>
      <c r="AP281" s="156"/>
      <c r="AQ281" s="156"/>
      <c r="AR281" s="156"/>
      <c r="AS281" s="156"/>
      <c r="AT281" s="156"/>
      <c r="AU281" s="156"/>
      <c r="AV281" s="156"/>
      <c r="AW281" s="156"/>
      <c r="AX281" s="156"/>
    </row>
    <row r="282" spans="23:50" s="984" customFormat="1">
      <c r="W282" s="156"/>
      <c r="X282" s="156"/>
      <c r="Y282" s="156"/>
      <c r="Z282" s="156"/>
      <c r="AA282" s="156"/>
      <c r="AB282" s="156"/>
      <c r="AC282" s="156"/>
      <c r="AD282" s="156"/>
      <c r="AE282" s="156"/>
      <c r="AF282" s="156"/>
      <c r="AG282" s="156"/>
      <c r="AH282" s="156"/>
      <c r="AI282" s="156"/>
      <c r="AJ282" s="156"/>
      <c r="AK282" s="156"/>
      <c r="AL282" s="156"/>
      <c r="AM282" s="156"/>
      <c r="AN282" s="156"/>
      <c r="AO282" s="156"/>
      <c r="AP282" s="156"/>
      <c r="AQ282" s="156"/>
      <c r="AR282" s="156"/>
      <c r="AS282" s="156"/>
      <c r="AT282" s="156"/>
      <c r="AU282" s="156"/>
      <c r="AV282" s="156"/>
      <c r="AW282" s="156"/>
      <c r="AX282" s="156"/>
    </row>
    <row r="283" spans="23:50" s="984" customFormat="1">
      <c r="W283" s="156"/>
      <c r="X283" s="156"/>
      <c r="Y283" s="156"/>
      <c r="Z283" s="156"/>
      <c r="AA283" s="156"/>
      <c r="AB283" s="156"/>
      <c r="AC283" s="156"/>
      <c r="AD283" s="156"/>
      <c r="AE283" s="156"/>
      <c r="AF283" s="156"/>
      <c r="AG283" s="156"/>
      <c r="AH283" s="156"/>
      <c r="AI283" s="156"/>
      <c r="AJ283" s="156"/>
      <c r="AK283" s="156"/>
      <c r="AL283" s="156"/>
      <c r="AM283" s="156"/>
      <c r="AN283" s="156"/>
      <c r="AO283" s="156"/>
      <c r="AP283" s="156"/>
      <c r="AQ283" s="156"/>
      <c r="AR283" s="156"/>
      <c r="AS283" s="156"/>
      <c r="AT283" s="156"/>
      <c r="AU283" s="156"/>
      <c r="AV283" s="156"/>
      <c r="AW283" s="156"/>
      <c r="AX283" s="156"/>
    </row>
    <row r="284" spans="23:50" s="984" customFormat="1">
      <c r="W284" s="156"/>
      <c r="X284" s="156"/>
      <c r="Y284" s="156"/>
      <c r="Z284" s="156"/>
      <c r="AA284" s="156"/>
      <c r="AB284" s="156"/>
      <c r="AC284" s="156"/>
      <c r="AD284" s="156"/>
      <c r="AE284" s="156"/>
      <c r="AF284" s="156"/>
      <c r="AG284" s="156"/>
      <c r="AH284" s="156"/>
      <c r="AI284" s="156"/>
      <c r="AJ284" s="156"/>
      <c r="AK284" s="156"/>
      <c r="AL284" s="156"/>
      <c r="AM284" s="156"/>
      <c r="AN284" s="156"/>
      <c r="AO284" s="156"/>
      <c r="AP284" s="156"/>
      <c r="AQ284" s="156"/>
      <c r="AR284" s="156"/>
      <c r="AS284" s="156"/>
      <c r="AT284" s="156"/>
      <c r="AU284" s="156"/>
      <c r="AV284" s="156"/>
      <c r="AW284" s="156"/>
      <c r="AX284" s="156"/>
    </row>
    <row r="285" spans="23:50" s="984" customFormat="1">
      <c r="W285" s="156"/>
      <c r="X285" s="156"/>
      <c r="Y285" s="156"/>
      <c r="Z285" s="156"/>
      <c r="AA285" s="156"/>
      <c r="AB285" s="156"/>
      <c r="AC285" s="156"/>
      <c r="AD285" s="156"/>
      <c r="AE285" s="156"/>
      <c r="AF285" s="156"/>
      <c r="AG285" s="156"/>
      <c r="AH285" s="156"/>
      <c r="AI285" s="156"/>
      <c r="AJ285" s="156"/>
      <c r="AK285" s="156"/>
      <c r="AL285" s="156"/>
      <c r="AM285" s="156"/>
      <c r="AN285" s="156"/>
      <c r="AO285" s="156"/>
      <c r="AP285" s="156"/>
      <c r="AQ285" s="156"/>
      <c r="AR285" s="156"/>
      <c r="AS285" s="156"/>
      <c r="AT285" s="156"/>
      <c r="AU285" s="156"/>
      <c r="AV285" s="156"/>
      <c r="AW285" s="156"/>
      <c r="AX285" s="156"/>
    </row>
    <row r="286" spans="23:50" s="984" customFormat="1">
      <c r="W286" s="156"/>
      <c r="X286" s="156"/>
      <c r="Y286" s="156"/>
      <c r="Z286" s="156"/>
      <c r="AA286" s="156"/>
      <c r="AB286" s="156"/>
      <c r="AC286" s="156"/>
      <c r="AD286" s="156"/>
      <c r="AE286" s="156"/>
      <c r="AF286" s="156"/>
      <c r="AG286" s="156"/>
      <c r="AH286" s="156"/>
      <c r="AI286" s="156"/>
      <c r="AJ286" s="156"/>
      <c r="AK286" s="156"/>
      <c r="AL286" s="156"/>
      <c r="AM286" s="156"/>
      <c r="AN286" s="156"/>
      <c r="AO286" s="156"/>
      <c r="AP286" s="156"/>
      <c r="AQ286" s="156"/>
      <c r="AR286" s="156"/>
      <c r="AS286" s="156"/>
      <c r="AT286" s="156"/>
      <c r="AU286" s="156"/>
      <c r="AV286" s="156"/>
      <c r="AW286" s="156"/>
      <c r="AX286" s="156"/>
    </row>
    <row r="287" spans="23:50" s="984" customFormat="1">
      <c r="W287" s="156"/>
      <c r="X287" s="156"/>
      <c r="Y287" s="156"/>
      <c r="Z287" s="156"/>
      <c r="AA287" s="156"/>
      <c r="AB287" s="156"/>
      <c r="AC287" s="156"/>
      <c r="AD287" s="156"/>
      <c r="AE287" s="156"/>
      <c r="AF287" s="156"/>
      <c r="AG287" s="156"/>
      <c r="AH287" s="156"/>
      <c r="AI287" s="156"/>
      <c r="AJ287" s="156"/>
      <c r="AK287" s="156"/>
      <c r="AL287" s="156"/>
      <c r="AM287" s="156"/>
      <c r="AN287" s="156"/>
      <c r="AO287" s="156"/>
      <c r="AP287" s="156"/>
      <c r="AQ287" s="156"/>
      <c r="AR287" s="156"/>
      <c r="AS287" s="156"/>
      <c r="AT287" s="156"/>
      <c r="AU287" s="156"/>
      <c r="AV287" s="156"/>
      <c r="AW287" s="156"/>
      <c r="AX287" s="156"/>
    </row>
    <row r="288" spans="23:50" s="984" customFormat="1"/>
    <row r="289" s="984" customFormat="1"/>
    <row r="290" s="984" customFormat="1"/>
    <row r="291" s="984" customFormat="1"/>
    <row r="292" s="984" customFormat="1"/>
    <row r="293" s="984" customFormat="1"/>
    <row r="294" s="984" customFormat="1"/>
    <row r="295" s="984" customFormat="1"/>
    <row r="296" s="984" customFormat="1"/>
    <row r="297" s="984" customFormat="1"/>
    <row r="298" s="984" customFormat="1"/>
    <row r="299" s="984" customFormat="1"/>
    <row r="300" s="984" customFormat="1"/>
    <row r="301" s="984" customFormat="1"/>
    <row r="302" s="984" customFormat="1"/>
    <row r="303" s="984" customFormat="1"/>
    <row r="304" s="984" customFormat="1"/>
    <row r="305" s="984" customFormat="1"/>
    <row r="306" s="984" customFormat="1"/>
    <row r="307" s="984" customFormat="1"/>
    <row r="308" s="984" customFormat="1"/>
    <row r="309" s="984" customFormat="1"/>
    <row r="310" s="984" customFormat="1"/>
    <row r="311" s="984" customFormat="1"/>
    <row r="312" s="984" customFormat="1"/>
    <row r="313" s="984" customFormat="1"/>
    <row r="314" s="984" customFormat="1"/>
    <row r="315" s="984" customFormat="1"/>
    <row r="316" s="984" customFormat="1"/>
    <row r="317" s="984" customFormat="1"/>
    <row r="318" s="984" customFormat="1"/>
    <row r="319" s="984" customFormat="1"/>
    <row r="320" s="984" customFormat="1"/>
    <row r="321" s="984" customFormat="1"/>
    <row r="322" s="984" customFormat="1"/>
    <row r="323" s="984" customFormat="1"/>
    <row r="324" s="984" customFormat="1"/>
    <row r="325" s="984" customFormat="1"/>
    <row r="326" s="984" customFormat="1"/>
    <row r="327" s="984" customFormat="1"/>
    <row r="328" s="984" customFormat="1"/>
    <row r="329" s="984" customFormat="1"/>
    <row r="330" s="984" customFormat="1"/>
    <row r="331" s="984" customFormat="1"/>
    <row r="332" s="984" customFormat="1"/>
    <row r="333" s="984" customFormat="1"/>
    <row r="334" s="984" customFormat="1"/>
    <row r="335" s="984" customFormat="1"/>
    <row r="336" s="984" customFormat="1"/>
    <row r="337" s="984" customFormat="1"/>
    <row r="338" s="984" customFormat="1"/>
    <row r="339" s="984" customFormat="1"/>
    <row r="340" s="984" customFormat="1"/>
    <row r="341" s="984" customFormat="1"/>
    <row r="342" s="984" customFormat="1"/>
    <row r="343" s="984" customFormat="1"/>
    <row r="344" s="984" customFormat="1"/>
    <row r="345" s="984" customFormat="1"/>
    <row r="346" s="984" customFormat="1"/>
    <row r="347" s="984" customFormat="1"/>
    <row r="348" s="984" customFormat="1"/>
    <row r="349" s="984" customFormat="1"/>
    <row r="350" s="984" customFormat="1"/>
    <row r="351" s="984" customFormat="1"/>
    <row r="352" s="984" customFormat="1"/>
    <row r="353" s="984" customFormat="1"/>
    <row r="354" s="984" customFormat="1"/>
    <row r="355" s="984" customFormat="1"/>
    <row r="356" s="984" customFormat="1"/>
    <row r="357" s="984" customFormat="1"/>
    <row r="358" s="984" customFormat="1"/>
    <row r="359" s="984" customFormat="1"/>
    <row r="360" s="984" customFormat="1"/>
    <row r="361" s="984" customFormat="1"/>
    <row r="362" s="984" customFormat="1"/>
    <row r="363" s="984" customFormat="1"/>
    <row r="364" s="984" customFormat="1"/>
    <row r="365" s="984" customFormat="1"/>
    <row r="366" s="984" customFormat="1"/>
    <row r="367" s="984" customFormat="1"/>
    <row r="368" s="984" customFormat="1"/>
    <row r="369" s="984" customFormat="1"/>
    <row r="370" s="984" customFormat="1"/>
    <row r="371" s="984" customFormat="1"/>
    <row r="372" s="984" customFormat="1"/>
    <row r="373" s="984" customFormat="1"/>
    <row r="374" s="984" customFormat="1"/>
    <row r="375" s="984" customFormat="1"/>
    <row r="376" s="984" customFormat="1"/>
    <row r="377" s="984" customFormat="1"/>
    <row r="378" s="984" customFormat="1"/>
    <row r="379" s="984" customFormat="1"/>
    <row r="380" s="984" customFormat="1"/>
    <row r="381" s="984" customFormat="1"/>
    <row r="382" s="984" customFormat="1"/>
    <row r="383" s="984" customFormat="1"/>
    <row r="384" s="984" customFormat="1"/>
    <row r="385" s="984" customFormat="1"/>
    <row r="386" s="984" customFormat="1"/>
    <row r="387" s="984" customFormat="1"/>
    <row r="388" s="984" customFormat="1"/>
    <row r="389" s="984" customFormat="1"/>
    <row r="390" s="984" customFormat="1"/>
    <row r="391" s="984" customFormat="1"/>
    <row r="392" s="984" customFormat="1"/>
    <row r="393" s="984" customFormat="1"/>
    <row r="394" s="984" customFormat="1"/>
    <row r="395" s="984" customFormat="1"/>
    <row r="396" s="984" customFormat="1"/>
    <row r="397" s="984" customFormat="1"/>
    <row r="398" s="984" customFormat="1"/>
    <row r="399" s="984" customFormat="1"/>
    <row r="400" s="984" customFormat="1"/>
    <row r="401" s="984" customFormat="1"/>
    <row r="402" s="984" customFormat="1"/>
    <row r="403" s="984" customFormat="1"/>
    <row r="404" s="984" customFormat="1"/>
    <row r="405" s="984" customFormat="1"/>
    <row r="406" s="984" customFormat="1"/>
    <row r="407" s="984" customFormat="1"/>
    <row r="408" s="984" customFormat="1"/>
    <row r="409" s="984" customFormat="1"/>
    <row r="410" s="984" customFormat="1"/>
    <row r="411" s="984" customFormat="1"/>
    <row r="412" s="984" customFormat="1"/>
    <row r="413" s="984" customFormat="1"/>
    <row r="414" s="984" customFormat="1"/>
    <row r="415" s="984" customFormat="1"/>
    <row r="416" s="984" customFormat="1"/>
    <row r="417" s="984" customFormat="1"/>
    <row r="418" s="984" customFormat="1"/>
    <row r="419" s="984" customFormat="1"/>
    <row r="420" s="984" customFormat="1"/>
    <row r="421" s="984" customFormat="1"/>
    <row r="422" s="984" customFormat="1"/>
    <row r="423" s="984" customFormat="1"/>
    <row r="424" s="984" customFormat="1"/>
    <row r="425" s="984" customFormat="1"/>
    <row r="426" s="984" customFormat="1"/>
    <row r="427" s="984" customFormat="1"/>
    <row r="428" s="984" customFormat="1"/>
    <row r="429" s="984" customFormat="1"/>
    <row r="430" s="984" customFormat="1"/>
    <row r="431" s="984" customFormat="1"/>
    <row r="432" s="984" customFormat="1"/>
    <row r="433" spans="12:30" s="984" customFormat="1"/>
    <row r="434" spans="12:30" s="984" customFormat="1"/>
    <row r="435" spans="12:30" s="984" customFormat="1"/>
    <row r="436" spans="12:30" s="984" customFormat="1"/>
    <row r="437" spans="12:30" s="984" customFormat="1"/>
    <row r="438" spans="12:30" s="984" customFormat="1"/>
    <row r="439" spans="12:30" s="984" customFormat="1"/>
    <row r="440" spans="12:30" s="984" customFormat="1"/>
    <row r="441" spans="12:30" s="984" customFormat="1"/>
    <row r="442" spans="12:30" s="984" customFormat="1"/>
    <row r="443" spans="12:30" s="984" customFormat="1">
      <c r="M443" s="985"/>
      <c r="N443" s="985"/>
      <c r="O443" s="985"/>
      <c r="P443" s="985"/>
      <c r="Q443" s="985"/>
      <c r="S443" s="985"/>
      <c r="T443" s="985"/>
      <c r="U443" s="985"/>
      <c r="V443" s="985"/>
      <c r="W443" s="985"/>
      <c r="Y443" s="985"/>
      <c r="Z443" s="985"/>
      <c r="AA443" s="985"/>
      <c r="AB443" s="985"/>
      <c r="AC443" s="985"/>
      <c r="AD443" s="985"/>
    </row>
    <row r="444" spans="12:30" s="984" customFormat="1">
      <c r="L444" s="985"/>
      <c r="M444" s="985"/>
      <c r="N444" s="985"/>
      <c r="O444" s="985"/>
      <c r="P444" s="985"/>
      <c r="Q444" s="985"/>
      <c r="S444" s="985"/>
      <c r="T444" s="985"/>
      <c r="U444" s="985"/>
      <c r="V444" s="985"/>
      <c r="W444" s="985"/>
      <c r="Y444" s="985"/>
      <c r="Z444" s="985"/>
      <c r="AA444" s="985"/>
      <c r="AB444" s="985"/>
      <c r="AC444" s="985"/>
      <c r="AD444" s="985"/>
    </row>
    <row r="445" spans="12:30" s="984" customFormat="1">
      <c r="L445" s="985"/>
      <c r="M445" s="985"/>
      <c r="N445" s="985"/>
      <c r="O445" s="985"/>
      <c r="P445" s="985"/>
      <c r="Q445" s="985"/>
      <c r="S445" s="985"/>
      <c r="T445" s="985"/>
      <c r="U445" s="985"/>
      <c r="V445" s="985"/>
      <c r="W445" s="985"/>
      <c r="Y445" s="985"/>
      <c r="Z445" s="985"/>
      <c r="AA445" s="985"/>
      <c r="AB445" s="985"/>
      <c r="AC445" s="985"/>
      <c r="AD445" s="985"/>
    </row>
    <row r="446" spans="12:30" s="984" customFormat="1">
      <c r="L446" s="985"/>
      <c r="M446" s="985"/>
      <c r="N446" s="985"/>
      <c r="O446" s="985"/>
      <c r="P446" s="985"/>
      <c r="Q446" s="985"/>
      <c r="S446" s="985"/>
      <c r="T446" s="985"/>
      <c r="U446" s="985"/>
      <c r="V446" s="985"/>
      <c r="W446" s="985"/>
      <c r="X446" s="985"/>
      <c r="Y446" s="985"/>
      <c r="Z446" s="985"/>
      <c r="AA446" s="985"/>
      <c r="AB446" s="985"/>
      <c r="AC446" s="985"/>
      <c r="AD446" s="985"/>
    </row>
    <row r="447" spans="12:30" s="984" customFormat="1">
      <c r="L447" s="985"/>
      <c r="M447" s="985"/>
      <c r="N447" s="985"/>
      <c r="O447" s="985"/>
      <c r="P447" s="985"/>
      <c r="Q447" s="985"/>
      <c r="S447" s="985"/>
      <c r="T447" s="985"/>
      <c r="U447" s="985"/>
      <c r="V447" s="985"/>
      <c r="W447" s="985"/>
      <c r="X447" s="985"/>
      <c r="Y447" s="985"/>
      <c r="Z447" s="985"/>
      <c r="AA447" s="985"/>
      <c r="AB447" s="985"/>
      <c r="AC447" s="985"/>
      <c r="AD447" s="985"/>
    </row>
    <row r="448" spans="12:30" s="984" customFormat="1">
      <c r="L448" s="985"/>
      <c r="M448" s="985"/>
      <c r="N448" s="985"/>
      <c r="O448" s="985"/>
      <c r="P448" s="985"/>
      <c r="Q448" s="985"/>
      <c r="S448" s="985"/>
      <c r="T448" s="985"/>
      <c r="U448" s="985"/>
      <c r="V448" s="985"/>
      <c r="W448" s="985"/>
      <c r="X448" s="985"/>
      <c r="Y448" s="985"/>
      <c r="Z448" s="985"/>
      <c r="AA448" s="985"/>
      <c r="AB448" s="985"/>
      <c r="AC448" s="985"/>
      <c r="AD448" s="985"/>
    </row>
    <row r="449" spans="12:30" s="984" customFormat="1">
      <c r="L449" s="985"/>
      <c r="M449" s="985"/>
      <c r="N449" s="985"/>
      <c r="O449" s="985"/>
      <c r="P449" s="985"/>
      <c r="Q449" s="985"/>
      <c r="S449" s="985"/>
      <c r="T449" s="985"/>
      <c r="U449" s="985"/>
      <c r="V449" s="985"/>
      <c r="W449" s="985"/>
      <c r="X449" s="985"/>
      <c r="Y449" s="985"/>
      <c r="Z449" s="985"/>
      <c r="AA449" s="985"/>
      <c r="AB449" s="985"/>
      <c r="AC449" s="985"/>
      <c r="AD449" s="985"/>
    </row>
    <row r="450" spans="12:30" s="984" customFormat="1">
      <c r="L450" s="985"/>
      <c r="M450" s="985"/>
      <c r="N450" s="985"/>
      <c r="O450" s="985"/>
      <c r="P450" s="985"/>
      <c r="Q450" s="985"/>
      <c r="S450" s="985"/>
      <c r="T450" s="985"/>
      <c r="U450" s="985"/>
      <c r="V450" s="985"/>
      <c r="W450" s="985"/>
      <c r="X450" s="985"/>
      <c r="Y450" s="985"/>
      <c r="Z450" s="985"/>
      <c r="AA450" s="985"/>
      <c r="AB450" s="985"/>
      <c r="AC450" s="985"/>
      <c r="AD450" s="985"/>
    </row>
    <row r="451" spans="12:30" s="984" customFormat="1">
      <c r="L451" s="985"/>
      <c r="M451" s="985"/>
      <c r="N451" s="985"/>
      <c r="O451" s="985"/>
      <c r="P451" s="985"/>
      <c r="Q451" s="985"/>
      <c r="R451" s="985"/>
      <c r="S451" s="985"/>
      <c r="T451" s="985"/>
      <c r="U451" s="985"/>
      <c r="V451" s="985"/>
      <c r="W451" s="985"/>
      <c r="X451" s="985"/>
      <c r="Y451" s="985"/>
      <c r="Z451" s="985"/>
      <c r="AA451" s="985"/>
      <c r="AB451" s="985"/>
      <c r="AC451" s="985"/>
      <c r="AD451" s="985"/>
    </row>
    <row r="452" spans="12:30" s="984" customFormat="1">
      <c r="L452" s="985"/>
      <c r="M452" s="985"/>
      <c r="N452" s="985"/>
      <c r="O452" s="985"/>
      <c r="P452" s="985"/>
      <c r="Q452" s="985"/>
      <c r="R452" s="985"/>
      <c r="S452" s="985"/>
      <c r="T452" s="985"/>
      <c r="U452" s="985"/>
      <c r="V452" s="985"/>
      <c r="W452" s="985"/>
      <c r="X452" s="985"/>
      <c r="Y452" s="985"/>
      <c r="Z452" s="985"/>
      <c r="AA452" s="985"/>
      <c r="AB452" s="985"/>
      <c r="AC452" s="985"/>
      <c r="AD452" s="985"/>
    </row>
    <row r="453" spans="12:30" s="984" customFormat="1">
      <c r="L453" s="985"/>
      <c r="M453" s="985"/>
      <c r="N453" s="985"/>
      <c r="O453" s="985"/>
      <c r="P453" s="985"/>
      <c r="Q453" s="985"/>
      <c r="R453" s="985"/>
      <c r="S453" s="985"/>
      <c r="T453" s="985"/>
      <c r="U453" s="985"/>
      <c r="V453" s="985"/>
      <c r="W453" s="985"/>
      <c r="X453" s="985"/>
      <c r="Y453" s="985"/>
      <c r="Z453" s="985"/>
      <c r="AA453" s="985"/>
      <c r="AB453" s="985"/>
      <c r="AC453" s="985"/>
      <c r="AD453" s="985"/>
    </row>
    <row r="454" spans="12:30" s="984" customFormat="1">
      <c r="L454" s="985"/>
      <c r="M454" s="985"/>
      <c r="N454" s="985"/>
      <c r="O454" s="985"/>
      <c r="P454" s="985"/>
      <c r="Q454" s="985"/>
      <c r="R454" s="985"/>
      <c r="S454" s="985"/>
      <c r="T454" s="985"/>
      <c r="U454" s="985"/>
      <c r="V454" s="985"/>
      <c r="W454" s="985"/>
      <c r="X454" s="985"/>
      <c r="Y454" s="985"/>
      <c r="Z454" s="985"/>
      <c r="AA454" s="985"/>
      <c r="AB454" s="985"/>
      <c r="AC454" s="985"/>
      <c r="AD454" s="985"/>
    </row>
    <row r="455" spans="12:30" s="984" customFormat="1">
      <c r="L455" s="985"/>
      <c r="M455" s="985"/>
      <c r="N455" s="985"/>
      <c r="O455" s="985"/>
      <c r="P455" s="985"/>
      <c r="Q455" s="985"/>
      <c r="R455" s="985"/>
      <c r="S455" s="985"/>
      <c r="T455" s="985"/>
      <c r="U455" s="985"/>
      <c r="V455" s="985"/>
      <c r="W455" s="985"/>
      <c r="X455" s="985"/>
      <c r="Y455" s="985"/>
      <c r="Z455" s="985"/>
      <c r="AA455" s="985"/>
      <c r="AB455" s="985"/>
      <c r="AC455" s="985"/>
      <c r="AD455" s="985"/>
    </row>
    <row r="456" spans="12:30" s="984" customFormat="1">
      <c r="L456" s="985"/>
      <c r="M456" s="985"/>
      <c r="N456" s="985"/>
      <c r="O456" s="985"/>
      <c r="P456" s="985"/>
      <c r="Q456" s="985"/>
      <c r="R456" s="985"/>
      <c r="S456" s="985"/>
      <c r="T456" s="985"/>
      <c r="U456" s="985"/>
      <c r="V456" s="985"/>
      <c r="W456" s="985"/>
      <c r="X456" s="985"/>
      <c r="Y456" s="985"/>
      <c r="Z456" s="985"/>
      <c r="AA456" s="985"/>
      <c r="AB456" s="985"/>
      <c r="AC456" s="985"/>
      <c r="AD456" s="985"/>
    </row>
    <row r="457" spans="12:30" s="984" customFormat="1">
      <c r="L457" s="985"/>
      <c r="M457" s="985"/>
      <c r="N457" s="985"/>
      <c r="O457" s="985"/>
      <c r="P457" s="985"/>
      <c r="Q457" s="985"/>
      <c r="R457" s="985"/>
      <c r="S457" s="985"/>
      <c r="T457" s="985"/>
      <c r="U457" s="985"/>
      <c r="V457" s="985"/>
      <c r="W457" s="985"/>
      <c r="X457" s="985"/>
      <c r="Y457" s="985"/>
      <c r="Z457" s="985"/>
      <c r="AA457" s="985"/>
      <c r="AB457" s="985"/>
      <c r="AC457" s="985"/>
      <c r="AD457" s="985"/>
    </row>
    <row r="458" spans="12:30" s="984" customFormat="1">
      <c r="L458" s="985"/>
      <c r="M458" s="985"/>
      <c r="N458" s="985"/>
      <c r="O458" s="985"/>
      <c r="P458" s="985"/>
      <c r="Q458" s="985"/>
      <c r="R458" s="985"/>
      <c r="S458" s="985"/>
      <c r="T458" s="985"/>
      <c r="U458" s="985"/>
      <c r="V458" s="985"/>
      <c r="W458" s="985"/>
      <c r="X458" s="985"/>
      <c r="Y458" s="985"/>
      <c r="Z458" s="985"/>
      <c r="AA458" s="985"/>
      <c r="AB458" s="985"/>
      <c r="AC458" s="985"/>
      <c r="AD458" s="985"/>
    </row>
    <row r="459" spans="12:30" s="984" customFormat="1">
      <c r="L459" s="985"/>
      <c r="M459" s="985"/>
      <c r="N459" s="985"/>
      <c r="O459" s="985"/>
      <c r="P459" s="985"/>
      <c r="Q459" s="985"/>
      <c r="R459" s="985"/>
      <c r="S459" s="985"/>
      <c r="T459" s="985"/>
      <c r="U459" s="985"/>
      <c r="V459" s="985"/>
      <c r="W459" s="985"/>
      <c r="X459" s="985"/>
      <c r="Y459" s="985"/>
      <c r="Z459" s="985"/>
      <c r="AA459" s="985"/>
      <c r="AB459" s="985"/>
      <c r="AC459" s="985"/>
      <c r="AD459" s="985"/>
    </row>
    <row r="460" spans="12:30" s="984" customFormat="1">
      <c r="L460" s="985"/>
      <c r="M460" s="985"/>
      <c r="N460" s="985"/>
      <c r="O460" s="985"/>
      <c r="P460" s="985"/>
      <c r="Q460" s="985"/>
      <c r="R460" s="985"/>
      <c r="S460" s="985"/>
      <c r="T460" s="985"/>
      <c r="U460" s="985"/>
      <c r="V460" s="985"/>
      <c r="W460" s="985"/>
      <c r="X460" s="985"/>
      <c r="Y460" s="985"/>
      <c r="Z460" s="985"/>
      <c r="AA460" s="985"/>
      <c r="AB460" s="985"/>
      <c r="AC460" s="985"/>
      <c r="AD460" s="985"/>
    </row>
    <row r="461" spans="12:30" s="984" customFormat="1">
      <c r="L461" s="985"/>
      <c r="M461" s="985"/>
      <c r="N461" s="985"/>
      <c r="O461" s="985"/>
      <c r="P461" s="985"/>
      <c r="Q461" s="985"/>
      <c r="R461" s="985"/>
      <c r="S461" s="985"/>
      <c r="T461" s="985"/>
      <c r="U461" s="985"/>
      <c r="V461" s="985"/>
      <c r="W461" s="985"/>
      <c r="X461" s="985"/>
      <c r="Y461" s="985"/>
      <c r="Z461" s="985"/>
      <c r="AA461" s="985"/>
      <c r="AB461" s="985"/>
      <c r="AC461" s="985"/>
      <c r="AD461" s="985"/>
    </row>
    <row r="462" spans="12:30" s="984" customFormat="1">
      <c r="L462" s="985"/>
      <c r="M462" s="985"/>
      <c r="N462" s="985"/>
      <c r="O462" s="985"/>
      <c r="P462" s="985"/>
      <c r="Q462" s="985"/>
      <c r="R462" s="985"/>
      <c r="S462" s="985"/>
      <c r="T462" s="985"/>
      <c r="U462" s="985"/>
      <c r="V462" s="985"/>
      <c r="W462" s="985"/>
      <c r="X462" s="985"/>
      <c r="Y462" s="985"/>
      <c r="Z462" s="985"/>
      <c r="AA462" s="985"/>
      <c r="AB462" s="985"/>
      <c r="AC462" s="985"/>
      <c r="AD462" s="985"/>
    </row>
    <row r="463" spans="12:30" s="984" customFormat="1">
      <c r="L463" s="985"/>
      <c r="M463" s="985"/>
      <c r="N463" s="985"/>
      <c r="O463" s="985"/>
      <c r="P463" s="985"/>
      <c r="Q463" s="985"/>
      <c r="R463" s="985"/>
      <c r="S463" s="985"/>
      <c r="T463" s="985"/>
      <c r="U463" s="985"/>
      <c r="V463" s="985"/>
      <c r="W463" s="985"/>
      <c r="X463" s="985"/>
      <c r="Y463" s="985"/>
      <c r="Z463" s="985"/>
      <c r="AA463" s="985"/>
      <c r="AB463" s="985"/>
      <c r="AC463" s="985"/>
      <c r="AD463" s="985"/>
    </row>
    <row r="464" spans="12:30" s="984" customFormat="1">
      <c r="L464" s="985"/>
      <c r="M464" s="985"/>
      <c r="N464" s="985"/>
      <c r="O464" s="985"/>
      <c r="P464" s="985"/>
      <c r="Q464" s="985"/>
      <c r="R464" s="985"/>
      <c r="S464" s="985"/>
      <c r="T464" s="985"/>
      <c r="U464" s="985"/>
      <c r="V464" s="985"/>
      <c r="W464" s="985"/>
      <c r="X464" s="985"/>
      <c r="Y464" s="985"/>
      <c r="Z464" s="985"/>
      <c r="AA464" s="985"/>
      <c r="AB464" s="985"/>
      <c r="AC464" s="985"/>
      <c r="AD464" s="985"/>
    </row>
    <row r="465" spans="1:30" s="984" customFormat="1">
      <c r="A465" s="985"/>
      <c r="L465" s="985"/>
      <c r="M465" s="985"/>
      <c r="N465" s="985"/>
      <c r="O465" s="985"/>
      <c r="P465" s="985"/>
      <c r="Q465" s="985"/>
      <c r="R465" s="985"/>
      <c r="S465" s="985"/>
      <c r="T465" s="985"/>
      <c r="U465" s="985"/>
      <c r="V465" s="985"/>
      <c r="W465" s="985"/>
      <c r="X465" s="985"/>
      <c r="Y465" s="985"/>
      <c r="Z465" s="985"/>
      <c r="AA465" s="985"/>
      <c r="AB465" s="985"/>
      <c r="AC465" s="985"/>
      <c r="AD465" s="985"/>
    </row>
    <row r="466" spans="1:30" s="984" customFormat="1">
      <c r="A466" s="985"/>
      <c r="L466" s="985"/>
      <c r="M466" s="985"/>
      <c r="N466" s="985"/>
      <c r="O466" s="985"/>
      <c r="P466" s="985"/>
      <c r="Q466" s="985"/>
      <c r="R466" s="985"/>
      <c r="S466" s="985"/>
      <c r="T466" s="985"/>
      <c r="U466" s="985"/>
      <c r="V466" s="985"/>
      <c r="W466" s="985"/>
      <c r="X466" s="985"/>
      <c r="Y466" s="985"/>
      <c r="Z466" s="985"/>
      <c r="AA466" s="985"/>
      <c r="AB466" s="985"/>
      <c r="AC466" s="985"/>
      <c r="AD466" s="985"/>
    </row>
    <row r="467" spans="1:30" s="984" customFormat="1">
      <c r="A467" s="985"/>
      <c r="L467" s="985"/>
      <c r="M467" s="985"/>
      <c r="N467" s="985"/>
      <c r="O467" s="985"/>
      <c r="P467" s="985"/>
      <c r="Q467" s="985"/>
      <c r="R467" s="985"/>
      <c r="S467" s="985"/>
      <c r="T467" s="985"/>
      <c r="U467" s="985"/>
      <c r="V467" s="985"/>
      <c r="W467" s="985"/>
      <c r="X467" s="985"/>
      <c r="Y467" s="985"/>
      <c r="Z467" s="985"/>
      <c r="AA467" s="985"/>
      <c r="AB467" s="985"/>
      <c r="AC467" s="985"/>
      <c r="AD467" s="985"/>
    </row>
    <row r="468" spans="1:30" s="984" customFormat="1">
      <c r="A468" s="985"/>
      <c r="L468" s="985"/>
      <c r="M468" s="985"/>
      <c r="N468" s="985"/>
      <c r="O468" s="985"/>
      <c r="P468" s="985"/>
      <c r="Q468" s="985"/>
      <c r="R468" s="985"/>
      <c r="S468" s="985"/>
      <c r="T468" s="985"/>
      <c r="U468" s="985"/>
      <c r="V468" s="985"/>
      <c r="W468" s="985"/>
      <c r="X468" s="985"/>
      <c r="Y468" s="985"/>
      <c r="Z468" s="985"/>
      <c r="AA468" s="985"/>
      <c r="AB468" s="985"/>
      <c r="AC468" s="985"/>
      <c r="AD468" s="985"/>
    </row>
    <row r="469" spans="1:30">
      <c r="B469" s="984"/>
      <c r="C469" s="984"/>
      <c r="D469" s="984"/>
      <c r="E469" s="984"/>
      <c r="G469" s="984"/>
      <c r="H469" s="984"/>
      <c r="I469" s="984"/>
      <c r="J469" s="984"/>
      <c r="K469" s="984"/>
    </row>
  </sheetData>
  <mergeCells count="12">
    <mergeCell ref="B1:K1"/>
    <mergeCell ref="M1:AC1"/>
    <mergeCell ref="M12:Q12"/>
    <mergeCell ref="S12:W12"/>
    <mergeCell ref="Y12:AC12"/>
    <mergeCell ref="H32:K32"/>
    <mergeCell ref="U61:Y61"/>
    <mergeCell ref="AA61:AE61"/>
    <mergeCell ref="AG61:AK61"/>
    <mergeCell ref="H87:K87"/>
    <mergeCell ref="H78:K78"/>
    <mergeCell ref="O61:S61"/>
  </mergeCells>
  <phoneticPr fontId="115" type="noConversion"/>
  <printOptions horizontalCentered="1"/>
  <pageMargins left="0.2" right="0.2" top="1" bottom="1" header="0.3" footer="0.3"/>
  <pageSetup scale="86" fitToHeight="0" orientation="portrait" r:id="rId1"/>
  <headerFooter>
    <oddFooter>&amp;R&amp;P of &amp;N</oddFooter>
  </headerFooter>
  <rowBreaks count="2" manualBreakCount="2">
    <brk id="49" min="12" max="28" man="1"/>
    <brk id="53" min="1" max="9" man="1"/>
  </rowBreaks>
  <colBreaks count="2" manualBreakCount="2">
    <brk id="10" max="95" man="1"/>
    <brk id="11" max="8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Z503"/>
  <sheetViews>
    <sheetView topLeftCell="A20" zoomScale="80" zoomScaleNormal="80" workbookViewId="0">
      <selection activeCell="H69" sqref="H69"/>
    </sheetView>
  </sheetViews>
  <sheetFormatPr defaultColWidth="9.42578125" defaultRowHeight="12.75"/>
  <cols>
    <col min="1" max="1" width="3.42578125" style="985" customWidth="1"/>
    <col min="2" max="2" width="32.42578125" style="985" customWidth="1"/>
    <col min="3" max="3" width="12.42578125" style="985" customWidth="1"/>
    <col min="4" max="4" width="14.28515625" style="985" customWidth="1"/>
    <col min="5" max="5" width="15.140625" style="933" customWidth="1"/>
    <col min="6" max="6" width="15.140625" style="933" hidden="1" customWidth="1"/>
    <col min="7" max="7" width="8.5703125" style="985" customWidth="1"/>
    <col min="8" max="8" width="51.42578125" style="985" customWidth="1"/>
    <col min="9" max="9" width="11.42578125" style="985" customWidth="1"/>
    <col min="10" max="10" width="28.42578125" style="985" customWidth="1"/>
    <col min="11" max="11" width="6.42578125" style="985" customWidth="1"/>
    <col min="12" max="12" width="11" style="985" customWidth="1"/>
    <col min="13" max="13" width="13.5703125" style="985" customWidth="1"/>
    <col min="14" max="14" width="23.42578125" style="985" customWidth="1"/>
    <col min="15" max="15" width="21.5703125" style="985" hidden="1" customWidth="1"/>
    <col min="16" max="17" width="9.42578125" style="985"/>
    <col min="18" max="18" width="6.5703125" style="985" customWidth="1"/>
    <col min="19" max="19" width="10.5703125" style="985" customWidth="1"/>
    <col min="20" max="20" width="9.42578125" style="985"/>
    <col min="21" max="21" width="13.5703125" style="985" customWidth="1"/>
    <col min="22" max="22" width="10.5703125" style="985" customWidth="1"/>
    <col min="23" max="23" width="15.42578125" style="985" bestFit="1" customWidth="1"/>
    <col min="24" max="24" width="10.5703125" style="985" customWidth="1"/>
    <col min="25" max="25" width="15.5703125" style="985" customWidth="1"/>
    <col min="26" max="62" width="9.42578125" style="985"/>
    <col min="63" max="390" width="9.42578125" style="984"/>
    <col min="391" max="16384" width="9.42578125" style="985"/>
  </cols>
  <sheetData>
    <row r="1" spans="1:15" ht="15.75" customHeight="1" thickBot="1">
      <c r="A1" s="156"/>
      <c r="B1" s="2585" t="s">
        <v>546</v>
      </c>
      <c r="C1" s="2585"/>
      <c r="D1" s="2585"/>
      <c r="E1" s="2585"/>
      <c r="F1" s="2585"/>
      <c r="G1" s="2585"/>
      <c r="H1" s="2585"/>
      <c r="I1" s="156"/>
      <c r="J1" s="2586" t="s">
        <v>379</v>
      </c>
      <c r="K1" s="2586"/>
      <c r="L1" s="2586"/>
      <c r="M1" s="2586"/>
      <c r="N1" s="2586"/>
      <c r="O1" s="156"/>
    </row>
    <row r="2" spans="1:15" ht="13.5" thickBot="1">
      <c r="A2" s="156"/>
      <c r="B2" s="156"/>
      <c r="C2" s="156"/>
      <c r="D2" s="156"/>
      <c r="E2" s="1196"/>
      <c r="F2" s="1196"/>
      <c r="G2" s="156"/>
      <c r="H2" s="156"/>
      <c r="I2" s="156"/>
      <c r="J2" s="1045"/>
      <c r="K2" s="156"/>
      <c r="L2" s="156"/>
      <c r="M2" s="156"/>
      <c r="N2" s="156"/>
      <c r="O2" s="156"/>
    </row>
    <row r="3" spans="1:15">
      <c r="A3" s="156"/>
      <c r="B3" s="1331" t="s">
        <v>0</v>
      </c>
      <c r="C3" s="1332" t="s">
        <v>1</v>
      </c>
      <c r="D3" s="1333" t="s">
        <v>2</v>
      </c>
      <c r="E3" s="1367"/>
      <c r="F3" s="1367"/>
      <c r="G3" s="1334"/>
      <c r="H3" s="156"/>
      <c r="I3" s="156"/>
      <c r="J3" s="156"/>
      <c r="K3" s="39"/>
      <c r="L3" s="1334"/>
      <c r="M3" s="1334"/>
      <c r="N3" s="156"/>
      <c r="O3" s="156"/>
    </row>
    <row r="4" spans="1:15">
      <c r="A4" s="156"/>
      <c r="B4" s="140" t="s">
        <v>370</v>
      </c>
      <c r="C4" s="854">
        <v>15</v>
      </c>
      <c r="D4" s="164">
        <f>C4*8</f>
        <v>120</v>
      </c>
      <c r="E4" s="1368"/>
      <c r="F4" s="1368"/>
      <c r="G4" s="39"/>
      <c r="H4" s="156"/>
      <c r="I4" s="156"/>
      <c r="J4" s="156"/>
      <c r="K4" s="39"/>
      <c r="L4" s="39"/>
      <c r="M4" s="39"/>
      <c r="N4" s="156"/>
      <c r="O4" s="156"/>
    </row>
    <row r="5" spans="1:15" ht="13.5" thickBot="1">
      <c r="A5" s="156"/>
      <c r="B5" s="140" t="s">
        <v>378</v>
      </c>
      <c r="C5" s="854">
        <v>8</v>
      </c>
      <c r="D5" s="164">
        <f>C5*8</f>
        <v>64</v>
      </c>
      <c r="E5" s="1368"/>
      <c r="F5" s="1368"/>
      <c r="G5" s="39"/>
      <c r="H5" s="156"/>
      <c r="I5" s="156"/>
      <c r="J5" s="156"/>
      <c r="K5" s="39"/>
      <c r="L5" s="39"/>
      <c r="M5" s="39"/>
      <c r="N5" s="156"/>
      <c r="O5" s="156"/>
    </row>
    <row r="6" spans="1:15">
      <c r="A6" s="156"/>
      <c r="B6" s="140" t="s">
        <v>372</v>
      </c>
      <c r="C6" s="854">
        <v>11</v>
      </c>
      <c r="D6" s="164">
        <f>C6*8</f>
        <v>88</v>
      </c>
      <c r="E6" s="1368"/>
      <c r="F6" s="1368"/>
      <c r="G6" s="39"/>
      <c r="H6" s="156"/>
      <c r="I6" s="156"/>
      <c r="J6" s="901"/>
      <c r="K6" s="903"/>
      <c r="L6" s="903"/>
      <c r="M6" s="903"/>
      <c r="N6" s="1077"/>
      <c r="O6" s="156"/>
    </row>
    <row r="7" spans="1:15" ht="13.5" thickBot="1">
      <c r="A7" s="156"/>
      <c r="B7" s="142" t="s">
        <v>902</v>
      </c>
      <c r="C7" s="854">
        <v>5</v>
      </c>
      <c r="D7" s="165">
        <f>C7*8</f>
        <v>40</v>
      </c>
      <c r="E7" s="1368"/>
      <c r="F7" s="1368"/>
      <c r="G7" s="39"/>
      <c r="H7" s="156"/>
      <c r="I7" s="156"/>
      <c r="J7" s="112"/>
      <c r="K7" s="39"/>
      <c r="L7" s="39"/>
      <c r="M7" s="39"/>
      <c r="N7" s="991"/>
      <c r="O7" s="156"/>
    </row>
    <row r="8" spans="1:15" ht="13.5" thickBot="1">
      <c r="A8" s="156"/>
      <c r="B8" s="140"/>
      <c r="C8" s="143" t="s">
        <v>3</v>
      </c>
      <c r="D8" s="164">
        <f>SUM(D4:D7)</f>
        <v>312</v>
      </c>
      <c r="E8" s="1368"/>
      <c r="F8" s="1368"/>
      <c r="G8" s="39"/>
      <c r="H8" s="156"/>
      <c r="I8" s="156"/>
      <c r="J8" s="2582" t="s">
        <v>569</v>
      </c>
      <c r="K8" s="2583"/>
      <c r="L8" s="2583"/>
      <c r="M8" s="2583"/>
      <c r="N8" s="2584"/>
      <c r="O8" s="156"/>
    </row>
    <row r="9" spans="1:15" ht="13.5" thickBot="1">
      <c r="A9" s="156"/>
      <c r="B9" s="144"/>
      <c r="C9" s="145" t="s">
        <v>4</v>
      </c>
      <c r="D9" s="1385">
        <f>D8/(52*40)</f>
        <v>0.15</v>
      </c>
      <c r="E9" s="1369"/>
      <c r="F9" s="1369"/>
      <c r="G9" s="40"/>
      <c r="H9" s="156"/>
      <c r="I9" s="156"/>
      <c r="J9" s="901" t="s">
        <v>277</v>
      </c>
      <c r="K9" s="903">
        <v>5</v>
      </c>
      <c r="L9" s="1076"/>
      <c r="M9" s="1335" t="s">
        <v>133</v>
      </c>
      <c r="N9" s="1336">
        <f>K9*365</f>
        <v>1825</v>
      </c>
      <c r="O9" s="156"/>
    </row>
    <row r="10" spans="1:15" ht="13.5" thickBot="1">
      <c r="A10" s="156"/>
      <c r="B10" s="156"/>
      <c r="C10" s="1076"/>
      <c r="D10" s="156"/>
      <c r="E10" s="1196"/>
      <c r="F10" s="1196"/>
      <c r="G10" s="156"/>
      <c r="H10" s="156"/>
      <c r="I10" s="156"/>
      <c r="J10" s="109"/>
      <c r="K10" s="156"/>
      <c r="L10" s="156"/>
      <c r="M10" s="156"/>
      <c r="N10" s="991"/>
      <c r="O10" s="156"/>
    </row>
    <row r="11" spans="1:15" ht="25.5">
      <c r="A11" s="156"/>
      <c r="B11" s="992"/>
      <c r="C11" s="1337"/>
      <c r="D11" s="1337" t="s">
        <v>41</v>
      </c>
      <c r="E11" s="2071"/>
      <c r="F11" s="1883" t="s">
        <v>1164</v>
      </c>
      <c r="G11" s="1175"/>
      <c r="H11" s="1338" t="s">
        <v>278</v>
      </c>
      <c r="I11" s="156"/>
      <c r="J11" s="1097"/>
      <c r="K11" s="1339"/>
      <c r="L11" s="997" t="s">
        <v>5</v>
      </c>
      <c r="M11" s="997" t="s">
        <v>6</v>
      </c>
      <c r="N11" s="998" t="s">
        <v>7</v>
      </c>
      <c r="O11" s="156"/>
    </row>
    <row r="12" spans="1:15">
      <c r="A12" s="156"/>
      <c r="B12" s="48"/>
      <c r="C12" s="1340"/>
      <c r="D12" s="1340"/>
      <c r="E12" s="1368"/>
      <c r="F12" s="1371"/>
      <c r="G12" s="339"/>
      <c r="H12" s="1341"/>
      <c r="I12" s="156"/>
      <c r="J12" s="109"/>
      <c r="K12" s="1123"/>
      <c r="L12" s="39"/>
      <c r="M12" s="39"/>
      <c r="N12" s="1342"/>
      <c r="O12" s="156"/>
    </row>
    <row r="13" spans="1:15">
      <c r="A13" s="156"/>
      <c r="B13" s="48" t="s">
        <v>29</v>
      </c>
      <c r="C13" s="339"/>
      <c r="D13" s="1340"/>
      <c r="E13" s="1368"/>
      <c r="F13" s="1371"/>
      <c r="G13" s="339"/>
      <c r="H13" s="991"/>
      <c r="I13" s="156"/>
      <c r="J13" s="109" t="s">
        <v>29</v>
      </c>
      <c r="K13" s="1123"/>
      <c r="L13" s="1003"/>
      <c r="M13" s="39"/>
      <c r="N13" s="1342"/>
      <c r="O13" s="156"/>
    </row>
    <row r="14" spans="1:15">
      <c r="A14" s="156"/>
      <c r="B14" s="48" t="str">
        <f>'Integrated Team '!B15</f>
        <v xml:space="preserve">Program Functional Oversight </v>
      </c>
      <c r="C14" s="1022"/>
      <c r="D14" s="999">
        <f>'GLE SIE'!C14</f>
        <v>74264</v>
      </c>
      <c r="E14" s="1368"/>
      <c r="F14" s="2069">
        <v>92496.84919424048</v>
      </c>
      <c r="G14" s="339"/>
      <c r="H14" s="484" t="str">
        <f>'GLE SIE'!H14</f>
        <v>FY20 UFR Average for Line 101 Prg Functional Mgr</v>
      </c>
      <c r="I14" s="156"/>
      <c r="J14" s="109" t="str">
        <f>B14</f>
        <v xml:space="preserve">Program Functional Oversight </v>
      </c>
      <c r="K14" s="1002"/>
      <c r="L14" s="1003">
        <f>D14</f>
        <v>74264</v>
      </c>
      <c r="M14" s="1004">
        <f>C44</f>
        <v>0.1</v>
      </c>
      <c r="N14" s="1005">
        <f>L14*M14</f>
        <v>7426.4000000000005</v>
      </c>
      <c r="O14" s="156"/>
    </row>
    <row r="15" spans="1:15" ht="13.35" customHeight="1">
      <c r="A15" s="156"/>
      <c r="B15" s="48" t="s">
        <v>1331</v>
      </c>
      <c r="C15" s="1022"/>
      <c r="D15" s="999">
        <f>'M2022 BLS SALARY CHART (53_PCT)'!C18</f>
        <v>80606.448000000004</v>
      </c>
      <c r="E15" s="1368"/>
      <c r="F15" s="2069">
        <v>60923</v>
      </c>
      <c r="G15" s="339"/>
      <c r="H15" s="2559" t="s">
        <v>1410</v>
      </c>
      <c r="I15" s="156"/>
      <c r="J15" s="109" t="str">
        <f>B15</f>
        <v>Specialty Site Manager</v>
      </c>
      <c r="K15" s="1002"/>
      <c r="L15" s="1814">
        <f>D15</f>
        <v>80606.448000000004</v>
      </c>
      <c r="M15" s="1004">
        <f>C45</f>
        <v>1</v>
      </c>
      <c r="N15" s="1005">
        <f>L15*M15</f>
        <v>80606.448000000004</v>
      </c>
      <c r="O15" s="156"/>
    </row>
    <row r="16" spans="1:15">
      <c r="A16" s="156"/>
      <c r="B16" s="48" t="s">
        <v>30</v>
      </c>
      <c r="C16" s="1022"/>
      <c r="D16" s="999"/>
      <c r="E16" s="1368"/>
      <c r="F16" s="2069"/>
      <c r="G16" s="339"/>
      <c r="H16" s="2559"/>
      <c r="I16" s="156"/>
      <c r="J16" s="109" t="s">
        <v>30</v>
      </c>
      <c r="K16" s="1002"/>
      <c r="L16" s="1814"/>
      <c r="M16" s="1004"/>
      <c r="N16" s="1005"/>
      <c r="O16" s="156"/>
    </row>
    <row r="17" spans="1:17">
      <c r="A17" s="156"/>
      <c r="B17" s="48" t="s">
        <v>48</v>
      </c>
      <c r="C17" s="1022"/>
      <c r="D17" s="999">
        <f>'M2022 BLS SALARY CHART (53_PCT)'!C32</f>
        <v>102258.624</v>
      </c>
      <c r="E17" s="1368"/>
      <c r="F17" s="2069">
        <v>86860.800000000003</v>
      </c>
      <c r="G17" s="339"/>
      <c r="H17" s="304" t="s">
        <v>1401</v>
      </c>
      <c r="I17" s="156"/>
      <c r="J17" s="109" t="str">
        <f>B17</f>
        <v xml:space="preserve">  RN</v>
      </c>
      <c r="K17" s="1002"/>
      <c r="L17" s="1814">
        <f>D17</f>
        <v>102258.624</v>
      </c>
      <c r="M17" s="1004">
        <f>C47</f>
        <v>1</v>
      </c>
      <c r="N17" s="1005">
        <f>L17*M17</f>
        <v>102258.624</v>
      </c>
      <c r="O17" s="156"/>
    </row>
    <row r="18" spans="1:17">
      <c r="A18" s="156"/>
      <c r="B18" s="48" t="s">
        <v>122</v>
      </c>
      <c r="C18" s="1022"/>
      <c r="D18" s="1409">
        <f>'M2022 BLS SALARY CHART (53_PCT)'!C10</f>
        <v>41600</v>
      </c>
      <c r="E18" s="1368"/>
      <c r="F18" s="2069">
        <v>32302.399999999998</v>
      </c>
      <c r="G18" s="339"/>
      <c r="H18" s="304" t="s">
        <v>1401</v>
      </c>
      <c r="I18" s="156"/>
      <c r="J18" s="109" t="str">
        <f>B18</f>
        <v xml:space="preserve">  Certified Nursing Assistant (CNA)</v>
      </c>
      <c r="K18" s="1002"/>
      <c r="L18" s="1814">
        <f>D18</f>
        <v>41600</v>
      </c>
      <c r="M18" s="1004">
        <f>C48</f>
        <v>3</v>
      </c>
      <c r="N18" s="1005">
        <f>L18*M18</f>
        <v>124800</v>
      </c>
      <c r="O18" s="156"/>
      <c r="P18" s="985" t="s">
        <v>1333</v>
      </c>
    </row>
    <row r="19" spans="1:17">
      <c r="A19" s="156"/>
      <c r="B19" s="48" t="s">
        <v>31</v>
      </c>
      <c r="C19" s="1022"/>
      <c r="D19" s="999"/>
      <c r="E19" s="1368"/>
      <c r="F19" s="2069"/>
      <c r="G19" s="339"/>
      <c r="H19" s="991"/>
      <c r="I19" s="156"/>
      <c r="J19" s="109"/>
      <c r="K19" s="1002"/>
      <c r="L19" s="1814"/>
      <c r="M19" s="1004"/>
      <c r="N19" s="1005"/>
      <c r="O19" s="156"/>
    </row>
    <row r="20" spans="1:17" ht="13.35" customHeight="1">
      <c r="A20" s="156"/>
      <c r="B20" s="79" t="s">
        <v>875</v>
      </c>
      <c r="C20" s="1022"/>
      <c r="D20" s="999">
        <f>'M2022 BLS SALARY CHART (53_PCT)'!C8</f>
        <v>53206.566400000003</v>
      </c>
      <c r="E20" s="1368"/>
      <c r="F20" s="2069">
        <v>41516.800000000003</v>
      </c>
      <c r="G20" s="999"/>
      <c r="H20" s="304" t="s">
        <v>1401</v>
      </c>
      <c r="I20" s="156"/>
      <c r="J20" s="109" t="str">
        <f>B20</f>
        <v xml:space="preserve">  Direct Care III</v>
      </c>
      <c r="K20" s="1002"/>
      <c r="L20" s="1814">
        <f>D20</f>
        <v>53206.566400000003</v>
      </c>
      <c r="M20" s="1004">
        <f>C50</f>
        <v>3</v>
      </c>
      <c r="N20" s="1005">
        <f>L20*M20</f>
        <v>159619.6992</v>
      </c>
      <c r="O20" s="156"/>
      <c r="P20" s="1400">
        <v>2</v>
      </c>
    </row>
    <row r="21" spans="1:17">
      <c r="A21" s="156"/>
      <c r="B21" s="79" t="s">
        <v>973</v>
      </c>
      <c r="C21" s="1022"/>
      <c r="D21" s="999">
        <f>'M2022 BLS SALARY CHART (53_PCT)'!C6</f>
        <v>41600</v>
      </c>
      <c r="E21" s="1368"/>
      <c r="F21" s="2069">
        <v>32198.400000000001</v>
      </c>
      <c r="G21" s="999"/>
      <c r="H21" s="304" t="s">
        <v>1401</v>
      </c>
      <c r="I21" s="156"/>
      <c r="J21" s="109" t="str">
        <f>B21</f>
        <v xml:space="preserve">  Direct Care</v>
      </c>
      <c r="K21" s="1002"/>
      <c r="L21" s="1814">
        <f>D21</f>
        <v>41600</v>
      </c>
      <c r="M21" s="1004">
        <f>C51</f>
        <v>3</v>
      </c>
      <c r="N21" s="1005">
        <f>L21*M21</f>
        <v>124800</v>
      </c>
      <c r="O21" s="156"/>
      <c r="P21" s="1400">
        <v>4</v>
      </c>
    </row>
    <row r="22" spans="1:17">
      <c r="A22" s="156"/>
      <c r="B22" s="48" t="s">
        <v>349</v>
      </c>
      <c r="C22" s="1022"/>
      <c r="D22" s="999">
        <f>'Integrated Team '!E27</f>
        <v>47403.283200000005</v>
      </c>
      <c r="E22" s="1368"/>
      <c r="F22" s="2069">
        <v>32198.400000000001</v>
      </c>
      <c r="G22" s="339"/>
      <c r="H22" s="304" t="s">
        <v>1401</v>
      </c>
      <c r="I22" s="156"/>
      <c r="J22" s="109" t="str">
        <f>B22</f>
        <v xml:space="preserve">  Relief</v>
      </c>
      <c r="K22" s="1002"/>
      <c r="L22" s="1814">
        <f>D22</f>
        <v>47403.283200000005</v>
      </c>
      <c r="M22" s="1004">
        <f>C52</f>
        <v>0.89999999999999991</v>
      </c>
      <c r="N22" s="1005">
        <f>L22*M22</f>
        <v>42662.954879999998</v>
      </c>
      <c r="O22" s="156"/>
    </row>
    <row r="23" spans="1:17">
      <c r="A23" s="156"/>
      <c r="B23" s="48"/>
      <c r="C23" s="339"/>
      <c r="D23" s="999"/>
      <c r="E23" s="1368"/>
      <c r="F23" s="2069"/>
      <c r="G23" s="339"/>
      <c r="H23" s="991"/>
      <c r="I23" s="156"/>
      <c r="J23" s="1018" t="s">
        <v>13</v>
      </c>
      <c r="K23" s="1019"/>
      <c r="L23" s="1019"/>
      <c r="M23" s="1307">
        <f>SUM(M14:M22)</f>
        <v>12</v>
      </c>
      <c r="N23" s="1136">
        <f>SUM(N14:N22)</f>
        <v>642174.12607999996</v>
      </c>
      <c r="O23" s="156"/>
    </row>
    <row r="24" spans="1:17">
      <c r="A24" s="156"/>
      <c r="B24" s="48"/>
      <c r="C24" s="339"/>
      <c r="D24" s="999"/>
      <c r="E24" s="1368"/>
      <c r="F24" s="2069"/>
      <c r="G24" s="339"/>
      <c r="H24" s="991"/>
      <c r="I24" s="156"/>
      <c r="J24" s="109"/>
      <c r="K24" s="156"/>
      <c r="L24" s="156"/>
      <c r="M24" s="156"/>
      <c r="N24" s="991"/>
      <c r="O24" s="156"/>
    </row>
    <row r="25" spans="1:17">
      <c r="A25" s="156"/>
      <c r="B25" s="48"/>
      <c r="C25" s="339"/>
      <c r="D25" s="1340" t="s">
        <v>42</v>
      </c>
      <c r="E25" s="1368"/>
      <c r="F25" s="2069"/>
      <c r="G25" s="339"/>
      <c r="H25" s="991"/>
      <c r="I25" s="156"/>
      <c r="J25" s="109" t="s">
        <v>15</v>
      </c>
      <c r="K25" s="156"/>
      <c r="L25" s="156"/>
      <c r="M25" s="156" t="s">
        <v>16</v>
      </c>
      <c r="N25" s="991"/>
      <c r="O25" s="156"/>
    </row>
    <row r="26" spans="1:17" ht="28.5" customHeight="1">
      <c r="A26" s="156"/>
      <c r="B26" s="1345" t="s">
        <v>434</v>
      </c>
      <c r="C26" s="48"/>
      <c r="D26" s="1815">
        <f>'M2022 BLS SALARY CHART (53_PCT)'!C38</f>
        <v>0.27379999999999999</v>
      </c>
      <c r="E26" s="1368"/>
      <c r="F26" s="2069"/>
      <c r="G26" s="398"/>
      <c r="H26" s="2580" t="s">
        <v>1403</v>
      </c>
      <c r="I26" s="2580"/>
      <c r="J26" s="2580"/>
      <c r="K26" s="2581"/>
      <c r="L26" s="1811">
        <f>D26</f>
        <v>0.27379999999999999</v>
      </c>
      <c r="M26" s="156"/>
      <c r="N26" s="1017">
        <f>L26*N23</f>
        <v>175827.27572070397</v>
      </c>
      <c r="O26" s="156"/>
    </row>
    <row r="27" spans="1:17">
      <c r="A27" s="156"/>
      <c r="B27" s="48"/>
      <c r="C27" s="398"/>
      <c r="D27" s="398"/>
      <c r="E27" s="1368"/>
      <c r="F27" s="2069"/>
      <c r="G27" s="398"/>
      <c r="H27" s="991"/>
      <c r="I27" s="156"/>
      <c r="J27" s="1018" t="s">
        <v>18</v>
      </c>
      <c r="K27" s="1019"/>
      <c r="L27" s="1019"/>
      <c r="M27" s="1020"/>
      <c r="N27" s="1021">
        <f>SUM(N23:N26)</f>
        <v>818001.40180070396</v>
      </c>
      <c r="O27" s="156"/>
    </row>
    <row r="28" spans="1:17">
      <c r="A28" s="156"/>
      <c r="B28" s="48"/>
      <c r="C28" s="1343"/>
      <c r="D28" s="1344" t="s">
        <v>328</v>
      </c>
      <c r="E28" s="1368"/>
      <c r="F28" s="2069"/>
      <c r="G28" s="1343"/>
      <c r="H28" s="991"/>
      <c r="I28" s="156"/>
      <c r="J28" s="109"/>
      <c r="K28" s="156"/>
      <c r="L28" s="156"/>
      <c r="M28" s="884"/>
      <c r="N28" s="1005"/>
      <c r="O28" s="156"/>
    </row>
    <row r="29" spans="1:17">
      <c r="A29" s="156"/>
      <c r="B29" s="48" t="s">
        <v>123</v>
      </c>
      <c r="C29" s="1022"/>
      <c r="D29" s="1305">
        <f>'Integrated Team '!E36</f>
        <v>55.04</v>
      </c>
      <c r="E29" s="1368"/>
      <c r="F29" s="2069"/>
      <c r="G29" s="1142"/>
      <c r="H29" s="86" t="s">
        <v>475</v>
      </c>
      <c r="I29" s="156"/>
      <c r="J29" s="995" t="s">
        <v>328</v>
      </c>
      <c r="K29" s="1012"/>
      <c r="L29" s="997" t="s">
        <v>19</v>
      </c>
      <c r="M29" s="1139" t="s">
        <v>20</v>
      </c>
      <c r="N29" s="1140" t="s">
        <v>7</v>
      </c>
      <c r="O29" s="156"/>
    </row>
    <row r="30" spans="1:17">
      <c r="A30" s="156"/>
      <c r="B30" s="48" t="s">
        <v>47</v>
      </c>
      <c r="C30" s="1022"/>
      <c r="D30" s="1206">
        <f>'11.22.19 ALTR Add on Rates'!G14*(1+1.78%)</f>
        <v>43.35403429727625</v>
      </c>
      <c r="E30" s="1368"/>
      <c r="F30" s="2070">
        <v>42.6</v>
      </c>
      <c r="G30" s="1142"/>
      <c r="H30" s="991" t="s">
        <v>876</v>
      </c>
      <c r="I30" s="156"/>
      <c r="J30" s="109" t="str">
        <f>B29</f>
        <v xml:space="preserve">  Occupational Therapist</v>
      </c>
      <c r="K30" s="156"/>
      <c r="L30" s="1151">
        <f>D29</f>
        <v>55.04</v>
      </c>
      <c r="M30" s="1004">
        <f>C54*52</f>
        <v>26</v>
      </c>
      <c r="N30" s="1325">
        <f>L30*M30</f>
        <v>1431.04</v>
      </c>
      <c r="O30" s="156"/>
    </row>
    <row r="31" spans="1:17">
      <c r="A31" s="156"/>
      <c r="B31" s="48"/>
      <c r="C31" s="397"/>
      <c r="E31" s="1368"/>
      <c r="F31" s="2070"/>
      <c r="G31" s="397"/>
      <c r="H31" s="991"/>
      <c r="I31" s="156"/>
      <c r="J31" s="121" t="str">
        <f>B30</f>
        <v xml:space="preserve">  LPHA</v>
      </c>
      <c r="K31" s="156"/>
      <c r="L31" s="1358">
        <f>D30</f>
        <v>43.35403429727625</v>
      </c>
      <c r="M31" s="1004">
        <f>C55*52</f>
        <v>26</v>
      </c>
      <c r="N31" s="1017">
        <f>L31*M31</f>
        <v>1127.2048917291825</v>
      </c>
      <c r="O31" s="156"/>
    </row>
    <row r="32" spans="1:17">
      <c r="A32" s="156"/>
      <c r="B32" s="48"/>
      <c r="C32" s="339"/>
      <c r="D32" s="1499" t="s">
        <v>367</v>
      </c>
      <c r="E32" s="1368"/>
      <c r="F32" s="2070"/>
      <c r="G32" s="339"/>
      <c r="H32" s="991"/>
      <c r="I32" s="156"/>
      <c r="J32" s="1018" t="s">
        <v>21</v>
      </c>
      <c r="K32" s="1019"/>
      <c r="L32" s="1019"/>
      <c r="M32" s="1019"/>
      <c r="N32" s="1021">
        <f>SUM(N30:N31)</f>
        <v>2558.2448917291822</v>
      </c>
      <c r="O32" s="156"/>
      <c r="Q32" s="1145"/>
    </row>
    <row r="33" spans="1:17">
      <c r="A33" s="156"/>
      <c r="B33" s="1345" t="s">
        <v>1330</v>
      </c>
      <c r="C33" s="339"/>
      <c r="D33" s="1206">
        <f ca="1">'Below the line'!O5</f>
        <v>192.10807561388694</v>
      </c>
      <c r="E33" s="1368"/>
      <c r="F33" s="2070">
        <v>277.77999999999997</v>
      </c>
      <c r="G33" s="1040"/>
      <c r="H33" s="1816" t="s">
        <v>1105</v>
      </c>
      <c r="I33" s="156"/>
      <c r="J33" s="109"/>
      <c r="K33" s="156"/>
      <c r="L33" s="156"/>
      <c r="M33" s="1214"/>
      <c r="N33" s="1017"/>
      <c r="O33" s="156"/>
    </row>
    <row r="34" spans="1:17">
      <c r="A34" s="156"/>
      <c r="B34" s="48" t="s">
        <v>435</v>
      </c>
      <c r="C34" s="339"/>
      <c r="D34" s="1206">
        <f>'GLE SIE'!C36</f>
        <v>2.0190812303224459</v>
      </c>
      <c r="E34" s="1368"/>
      <c r="F34" s="2070">
        <v>6191.6539525126345</v>
      </c>
      <c r="G34" s="1142"/>
      <c r="H34" s="327" t="s">
        <v>1306</v>
      </c>
      <c r="I34" s="274"/>
      <c r="J34" s="109" t="str">
        <f>B33</f>
        <v xml:space="preserve"> Staff Training</v>
      </c>
      <c r="K34" s="156"/>
      <c r="L34" s="156"/>
      <c r="M34" s="1092">
        <f ca="1">D33</f>
        <v>192.10807561388694</v>
      </c>
      <c r="N34" s="1098">
        <f ca="1">M34*M23</f>
        <v>2305.2969073666432</v>
      </c>
      <c r="O34" s="156"/>
    </row>
    <row r="35" spans="1:17">
      <c r="A35" s="156"/>
      <c r="B35" s="48" t="s">
        <v>454</v>
      </c>
      <c r="C35" s="339"/>
      <c r="D35" s="1206">
        <f ca="1">'Below the line'!AK5</f>
        <v>693.71474143152727</v>
      </c>
      <c r="E35" s="1368"/>
      <c r="F35" s="2070">
        <v>642.72053101483573</v>
      </c>
      <c r="G35" s="1142"/>
      <c r="H35" s="991" t="str">
        <f>'Integrated Team '!H43</f>
        <v>FY20 UFR Program Supplies &amp; Materials (33E) per FTE.</v>
      </c>
      <c r="I35" s="156"/>
      <c r="J35" s="109" t="str">
        <f>B34</f>
        <v xml:space="preserve">  Transportation</v>
      </c>
      <c r="K35" s="156"/>
      <c r="L35" s="156"/>
      <c r="M35" s="1151">
        <f>D34</f>
        <v>2.0190812303224459</v>
      </c>
      <c r="N35" s="1311">
        <f>M35*N9</f>
        <v>3684.8232453384639</v>
      </c>
      <c r="O35" s="156"/>
    </row>
    <row r="36" spans="1:17">
      <c r="A36" s="156"/>
      <c r="B36" s="48" t="s">
        <v>1108</v>
      </c>
      <c r="C36" s="1312"/>
      <c r="D36" s="1206">
        <f>'GLE SIE'!C33</f>
        <v>10.004761904761907</v>
      </c>
      <c r="E36" s="1368"/>
      <c r="F36" s="2070">
        <v>8.16</v>
      </c>
      <c r="H36" s="275" t="str">
        <f>'GLE SIE'!H33</f>
        <v>Benchmark: USDA September 2023</v>
      </c>
      <c r="I36" s="156"/>
      <c r="J36" s="109" t="str">
        <f>B36</f>
        <v xml:space="preserve">  Meals / Food</v>
      </c>
      <c r="K36" s="156"/>
      <c r="L36" s="156"/>
      <c r="M36" s="1358">
        <f>D36</f>
        <v>10.004761904761907</v>
      </c>
      <c r="N36" s="1311">
        <f>M36*N9</f>
        <v>18258.690476190481</v>
      </c>
      <c r="O36" s="156"/>
    </row>
    <row r="37" spans="1:17">
      <c r="A37" s="156"/>
      <c r="B37" s="48"/>
      <c r="C37" s="339"/>
      <c r="D37" s="1313"/>
      <c r="E37" s="1371"/>
      <c r="F37" s="1371"/>
      <c r="G37" s="339"/>
      <c r="H37" s="991"/>
      <c r="I37" s="274"/>
      <c r="J37" s="291" t="str">
        <f>B35</f>
        <v xml:space="preserve">  Program Supplies &amp; Materials</v>
      </c>
      <c r="K37" s="156"/>
      <c r="L37" s="156"/>
      <c r="M37" s="1151">
        <f ca="1">D35</f>
        <v>693.71474143152727</v>
      </c>
      <c r="N37" s="1311">
        <f ca="1">M37*M23</f>
        <v>8324.5768971783273</v>
      </c>
      <c r="O37" s="156"/>
    </row>
    <row r="38" spans="1:17">
      <c r="A38" s="156"/>
      <c r="B38" s="48" t="s">
        <v>24</v>
      </c>
      <c r="C38" s="339"/>
      <c r="D38" s="983">
        <f>'Integrated Team (FY21)'!E46</f>
        <v>0.12</v>
      </c>
      <c r="E38" s="1371"/>
      <c r="F38" s="1371"/>
      <c r="G38" s="339"/>
      <c r="H38" s="49" t="s">
        <v>1099</v>
      </c>
      <c r="I38" s="274"/>
      <c r="J38" s="109"/>
      <c r="K38" s="156"/>
      <c r="L38" s="156"/>
      <c r="M38" s="1151"/>
      <c r="N38" s="1346">
        <f ca="1">SUM(N33:N37)</f>
        <v>32573.387526073915</v>
      </c>
      <c r="O38" s="156"/>
    </row>
    <row r="39" spans="1:17">
      <c r="A39" s="156"/>
      <c r="B39" s="1345"/>
      <c r="C39" s="339"/>
      <c r="D39" s="1428"/>
      <c r="E39" s="1371"/>
      <c r="F39" s="1371"/>
      <c r="G39" s="339"/>
      <c r="H39" s="49"/>
      <c r="I39" s="156"/>
      <c r="J39" s="898"/>
      <c r="K39" s="579"/>
      <c r="L39" s="1316"/>
      <c r="M39" s="1347"/>
      <c r="N39" s="1348"/>
      <c r="O39" s="156"/>
    </row>
    <row r="40" spans="1:17">
      <c r="A40" s="156"/>
      <c r="B40" s="109" t="s">
        <v>37</v>
      </c>
      <c r="C40" s="156"/>
      <c r="D40" s="1214">
        <f>'Integrated Team '!E47</f>
        <v>2.5758086673353865E-2</v>
      </c>
      <c r="E40" s="1196"/>
      <c r="F40" s="1196"/>
      <c r="G40" s="156"/>
      <c r="H40" s="991" t="s">
        <v>1102</v>
      </c>
      <c r="I40" s="156"/>
      <c r="J40" s="995" t="s">
        <v>23</v>
      </c>
      <c r="K40" s="1012"/>
      <c r="L40" s="1012"/>
      <c r="M40" s="1012"/>
      <c r="N40" s="1317">
        <f ca="1">SUM(N27,N32,N38)</f>
        <v>853133.03421850712</v>
      </c>
      <c r="O40" s="884"/>
    </row>
    <row r="41" spans="1:17">
      <c r="A41" s="156"/>
      <c r="B41" s="109"/>
      <c r="C41" s="156"/>
      <c r="D41" s="156"/>
      <c r="E41" s="1196"/>
      <c r="F41" s="1196"/>
      <c r="G41" s="156"/>
      <c r="H41" s="991"/>
      <c r="I41" s="156"/>
      <c r="J41" s="109" t="str">
        <f>B38</f>
        <v>Admin. Allocation</v>
      </c>
      <c r="K41" s="156"/>
      <c r="L41" s="1033">
        <f>D38</f>
        <v>0.12</v>
      </c>
      <c r="M41" s="156"/>
      <c r="N41" s="1017">
        <f ca="1">L41*N40</f>
        <v>102375.96410622085</v>
      </c>
      <c r="O41" s="156"/>
    </row>
    <row r="42" spans="1:17" ht="13.5" thickBot="1">
      <c r="A42" s="156"/>
      <c r="B42" s="1351" t="s">
        <v>35</v>
      </c>
      <c r="C42" s="1352" t="s">
        <v>424</v>
      </c>
      <c r="D42" s="1353" t="s">
        <v>425</v>
      </c>
      <c r="E42" s="1354" t="s">
        <v>426</v>
      </c>
      <c r="F42" s="1354"/>
      <c r="G42" s="156"/>
      <c r="H42" s="991"/>
      <c r="I42" s="156"/>
      <c r="J42" s="1042" t="s">
        <v>25</v>
      </c>
      <c r="K42" s="1328"/>
      <c r="L42" s="1328"/>
      <c r="M42" s="1328"/>
      <c r="N42" s="1044">
        <f ca="1">SUM(N40:N41)</f>
        <v>955508.99832472799</v>
      </c>
      <c r="O42" s="156"/>
      <c r="Q42" s="1145"/>
    </row>
    <row r="43" spans="1:17" ht="13.5" thickTop="1">
      <c r="A43" s="156"/>
      <c r="B43" s="109" t="str">
        <f t="shared" ref="B43:B52" si="0">B13</f>
        <v>Management</v>
      </c>
      <c r="C43" s="156"/>
      <c r="D43" s="156"/>
      <c r="E43" s="156"/>
      <c r="F43" s="156"/>
      <c r="G43" s="156"/>
      <c r="H43" s="991"/>
      <c r="I43" s="156"/>
      <c r="J43" s="109"/>
      <c r="K43" s="156"/>
      <c r="L43" s="156"/>
      <c r="M43" s="156"/>
      <c r="N43" s="991"/>
      <c r="O43" s="156"/>
    </row>
    <row r="44" spans="1:17" ht="13.5" thickBot="1">
      <c r="A44" s="156"/>
      <c r="B44" s="109" t="str">
        <f t="shared" si="0"/>
        <v xml:space="preserve">Program Functional Oversight </v>
      </c>
      <c r="C44" s="1022">
        <v>0.1</v>
      </c>
      <c r="D44" s="1022">
        <v>0.1</v>
      </c>
      <c r="E44" s="1022">
        <v>0.1</v>
      </c>
      <c r="F44" s="1022"/>
      <c r="G44" s="156"/>
      <c r="H44" s="991"/>
      <c r="I44" s="156"/>
      <c r="J44" s="1091" t="s">
        <v>26</v>
      </c>
      <c r="L44" s="1447">
        <f>D40</f>
        <v>2.5758086673353865E-2</v>
      </c>
      <c r="M44" s="156"/>
      <c r="N44" s="1046">
        <f ca="1">N42+(N42*L44)-(N23*L44)</f>
        <v>963579.90512179199</v>
      </c>
      <c r="O44" s="156"/>
    </row>
    <row r="45" spans="1:17" ht="13.5" thickBot="1">
      <c r="A45" s="156"/>
      <c r="B45" s="109" t="str">
        <f t="shared" si="0"/>
        <v>Specialty Site Manager</v>
      </c>
      <c r="C45" s="1022">
        <v>1</v>
      </c>
      <c r="D45" s="1022">
        <v>1</v>
      </c>
      <c r="E45" s="1022">
        <v>1</v>
      </c>
      <c r="F45" s="1022"/>
      <c r="G45" s="156"/>
      <c r="H45" s="991"/>
      <c r="I45" s="156"/>
      <c r="J45" s="1329" t="s">
        <v>794</v>
      </c>
      <c r="K45" s="1330"/>
      <c r="L45" s="1330"/>
      <c r="M45" s="1330"/>
      <c r="N45" s="2067">
        <f ca="1">N44/N9</f>
        <v>527.98898910783123</v>
      </c>
      <c r="O45" s="156"/>
    </row>
    <row r="46" spans="1:17">
      <c r="A46" s="156"/>
      <c r="B46" s="109" t="str">
        <f t="shared" si="0"/>
        <v>Medical and Clinical</v>
      </c>
      <c r="C46" s="1022"/>
      <c r="D46" s="1022"/>
      <c r="E46" s="1022"/>
      <c r="F46" s="1022"/>
      <c r="G46" s="156"/>
      <c r="H46" s="991"/>
      <c r="I46" s="156"/>
      <c r="J46" s="156"/>
      <c r="K46" s="156"/>
      <c r="L46" s="156"/>
      <c r="M46" s="156" t="s">
        <v>783</v>
      </c>
      <c r="N46" s="1320">
        <v>437.99</v>
      </c>
      <c r="O46" s="156"/>
    </row>
    <row r="47" spans="1:17">
      <c r="A47" s="156"/>
      <c r="B47" s="109" t="str">
        <f t="shared" si="0"/>
        <v xml:space="preserve">  RN</v>
      </c>
      <c r="C47" s="1022">
        <v>1</v>
      </c>
      <c r="D47" s="1022">
        <v>1.25</v>
      </c>
      <c r="E47" s="1022">
        <v>1.5</v>
      </c>
      <c r="F47" s="1022"/>
      <c r="G47" s="156"/>
      <c r="H47" s="991"/>
      <c r="I47" s="156"/>
      <c r="J47" s="156"/>
      <c r="K47" s="156"/>
      <c r="L47" s="156"/>
      <c r="M47" s="156"/>
      <c r="N47" s="884">
        <f ca="1">N45-N46</f>
        <v>89.998989107831221</v>
      </c>
      <c r="O47" s="156"/>
    </row>
    <row r="48" spans="1:17">
      <c r="A48" s="156"/>
      <c r="B48" s="109" t="str">
        <f t="shared" si="0"/>
        <v xml:space="preserve">  Certified Nursing Assistant (CNA)</v>
      </c>
      <c r="C48" s="1022">
        <v>3</v>
      </c>
      <c r="D48" s="1022">
        <v>4.2</v>
      </c>
      <c r="E48" s="1022">
        <v>5.4</v>
      </c>
      <c r="F48" s="1022"/>
      <c r="G48" s="156"/>
      <c r="H48" s="991"/>
      <c r="I48" s="156"/>
      <c r="J48" s="156"/>
      <c r="K48" s="156"/>
      <c r="L48" s="156"/>
      <c r="M48" s="156"/>
      <c r="N48" s="1321">
        <f ca="1">(N45-N46)/N46</f>
        <v>0.20548183544791254</v>
      </c>
      <c r="O48" s="156"/>
    </row>
    <row r="49" spans="1:16">
      <c r="A49" s="156"/>
      <c r="B49" s="109" t="str">
        <f t="shared" si="0"/>
        <v>Direct Care</v>
      </c>
      <c r="C49" s="1022"/>
      <c r="D49" s="1022"/>
      <c r="E49" s="1022"/>
      <c r="F49" s="1022"/>
      <c r="G49" s="156"/>
      <c r="H49" s="991"/>
      <c r="I49" s="156"/>
      <c r="J49" s="156"/>
      <c r="K49" s="156"/>
      <c r="L49" s="156"/>
      <c r="M49" s="156"/>
      <c r="N49" s="884"/>
      <c r="O49" s="156"/>
    </row>
    <row r="50" spans="1:16" ht="13.5" thickBot="1">
      <c r="A50" s="156"/>
      <c r="B50" s="109" t="str">
        <f t="shared" si="0"/>
        <v xml:space="preserve">  Direct Care III</v>
      </c>
      <c r="C50" s="1022">
        <v>3</v>
      </c>
      <c r="D50" s="1022">
        <v>4.2</v>
      </c>
      <c r="E50" s="1022">
        <v>5.3</v>
      </c>
      <c r="F50" s="1022"/>
      <c r="G50" s="156"/>
      <c r="H50" s="991"/>
      <c r="I50" s="156"/>
      <c r="J50" s="156"/>
      <c r="K50" s="156"/>
      <c r="L50" s="156"/>
      <c r="M50" s="156"/>
      <c r="N50" s="884"/>
      <c r="O50" s="156"/>
    </row>
    <row r="51" spans="1:16" ht="13.5" thickBot="1">
      <c r="A51" s="156"/>
      <c r="B51" s="109" t="str">
        <f t="shared" si="0"/>
        <v xml:space="preserve">  Direct Care</v>
      </c>
      <c r="C51" s="1022">
        <v>3</v>
      </c>
      <c r="D51" s="1022">
        <v>4.2</v>
      </c>
      <c r="E51" s="1022">
        <v>5.3</v>
      </c>
      <c r="F51" s="1022"/>
      <c r="G51" s="156"/>
      <c r="H51" s="991"/>
      <c r="I51" s="156"/>
      <c r="J51" s="2582" t="s">
        <v>570</v>
      </c>
      <c r="K51" s="2583"/>
      <c r="L51" s="2583"/>
      <c r="M51" s="2583"/>
      <c r="N51" s="2584"/>
      <c r="O51" s="156"/>
    </row>
    <row r="52" spans="1:16">
      <c r="A52" s="156"/>
      <c r="B52" s="109" t="str">
        <f t="shared" si="0"/>
        <v xml:space="preserve">  Relief</v>
      </c>
      <c r="C52" s="1022">
        <f>SUM(C50:C51)*$D$9</f>
        <v>0.89999999999999991</v>
      </c>
      <c r="D52" s="1022">
        <f>SUM(D50:D51)*$D$9</f>
        <v>1.26</v>
      </c>
      <c r="E52" s="1022">
        <f>SUM(E50:E51)*$D$9</f>
        <v>1.5899999999999999</v>
      </c>
      <c r="F52" s="1022"/>
      <c r="G52" s="156"/>
      <c r="H52" s="1322"/>
      <c r="I52" s="156"/>
      <c r="J52" s="901" t="s">
        <v>277</v>
      </c>
      <c r="K52" s="903">
        <v>8</v>
      </c>
      <c r="L52" s="1076"/>
      <c r="M52" s="1335" t="s">
        <v>133</v>
      </c>
      <c r="N52" s="1336">
        <f>K52*365</f>
        <v>2920</v>
      </c>
      <c r="O52" s="156"/>
    </row>
    <row r="53" spans="1:16">
      <c r="A53" s="156"/>
      <c r="B53" s="109"/>
      <c r="C53" s="1022"/>
      <c r="D53" s="1022"/>
      <c r="E53" s="1022"/>
      <c r="F53" s="1022"/>
      <c r="G53" s="156"/>
      <c r="H53" s="991"/>
      <c r="I53" s="156"/>
      <c r="J53" s="109"/>
      <c r="K53" s="39"/>
      <c r="L53" s="156"/>
      <c r="M53" s="1073"/>
      <c r="N53" s="1355"/>
      <c r="O53" s="156"/>
    </row>
    <row r="54" spans="1:16">
      <c r="A54" s="156"/>
      <c r="B54" s="109" t="str">
        <f>B29</f>
        <v xml:space="preserve">  Occupational Therapist</v>
      </c>
      <c r="C54" s="1022">
        <v>0.5</v>
      </c>
      <c r="D54" s="1022">
        <v>1</v>
      </c>
      <c r="E54" s="1022">
        <v>1.5</v>
      </c>
      <c r="F54" s="1022"/>
      <c r="G54" s="156"/>
      <c r="H54" s="991"/>
      <c r="I54" s="156"/>
      <c r="J54" s="1097"/>
      <c r="K54" s="1339"/>
      <c r="L54" s="997" t="s">
        <v>5</v>
      </c>
      <c r="M54" s="997" t="s">
        <v>6</v>
      </c>
      <c r="N54" s="998" t="s">
        <v>7</v>
      </c>
      <c r="O54" s="156"/>
    </row>
    <row r="55" spans="1:16" ht="13.5" thickBot="1">
      <c r="A55" s="156"/>
      <c r="B55" s="1051" t="str">
        <f>B30</f>
        <v xml:space="preserve">  LPHA</v>
      </c>
      <c r="C55" s="1323">
        <v>0.5</v>
      </c>
      <c r="D55" s="1323">
        <v>1</v>
      </c>
      <c r="E55" s="1323">
        <v>1.5</v>
      </c>
      <c r="F55" s="1323"/>
      <c r="G55" s="1052"/>
      <c r="H55" s="1324"/>
      <c r="I55" s="156"/>
      <c r="J55" s="109" t="s">
        <v>29</v>
      </c>
      <c r="K55" s="1123"/>
      <c r="L55" s="39"/>
      <c r="M55" s="39"/>
      <c r="N55" s="1342"/>
      <c r="O55" s="156"/>
    </row>
    <row r="56" spans="1:16">
      <c r="A56" s="156"/>
      <c r="B56" s="2573"/>
      <c r="C56" s="2573"/>
      <c r="D56" s="2573"/>
      <c r="E56" s="2573"/>
      <c r="F56" s="2573"/>
      <c r="G56" s="2573"/>
      <c r="H56" s="2573"/>
      <c r="I56" s="156"/>
      <c r="J56" s="109" t="str">
        <f>B14</f>
        <v xml:space="preserve">Program Functional Oversight </v>
      </c>
      <c r="K56" s="1002"/>
      <c r="L56" s="1003">
        <f>D14</f>
        <v>74264</v>
      </c>
      <c r="M56" s="1004">
        <f>D44</f>
        <v>0.1</v>
      </c>
      <c r="N56" s="1005">
        <f>L56*M56</f>
        <v>7426.4000000000005</v>
      </c>
      <c r="O56" s="156"/>
    </row>
    <row r="57" spans="1:16">
      <c r="A57" s="156"/>
      <c r="B57" s="338"/>
      <c r="C57" s="1123"/>
      <c r="D57" s="1123"/>
      <c r="E57" s="1379"/>
      <c r="F57" s="1379"/>
      <c r="G57" s="1123"/>
      <c r="H57" s="1123"/>
      <c r="I57" s="156"/>
      <c r="J57" s="109" t="str">
        <f>B15</f>
        <v>Specialty Site Manager</v>
      </c>
      <c r="K57" s="1002"/>
      <c r="L57" s="1003">
        <f>D15</f>
        <v>80606.448000000004</v>
      </c>
      <c r="M57" s="1004">
        <f>D45</f>
        <v>1</v>
      </c>
      <c r="N57" s="1005">
        <f>L57*M57</f>
        <v>80606.448000000004</v>
      </c>
      <c r="O57" s="156"/>
    </row>
    <row r="58" spans="1:16">
      <c r="A58" s="156"/>
      <c r="B58" s="156"/>
      <c r="C58" s="156"/>
      <c r="D58" s="156"/>
      <c r="E58" s="1196"/>
      <c r="F58" s="1196"/>
      <c r="G58" s="156"/>
      <c r="H58" s="156"/>
      <c r="I58" s="156"/>
      <c r="J58" s="109" t="s">
        <v>30</v>
      </c>
      <c r="K58" s="1002"/>
      <c r="L58" s="1003"/>
      <c r="M58" s="1004"/>
      <c r="N58" s="1005"/>
      <c r="O58" s="156"/>
    </row>
    <row r="59" spans="1:16" ht="15" customHeight="1">
      <c r="A59" s="156"/>
      <c r="B59" s="2403"/>
      <c r="C59" s="2404"/>
      <c r="D59" s="2404"/>
      <c r="E59" s="2404"/>
      <c r="F59" s="2404"/>
      <c r="G59" s="2405"/>
      <c r="H59" s="611"/>
      <c r="I59" s="156"/>
      <c r="J59" s="109" t="str">
        <f>B17</f>
        <v xml:space="preserve">  RN</v>
      </c>
      <c r="K59" s="1002"/>
      <c r="L59" s="1003">
        <f>D17</f>
        <v>102258.624</v>
      </c>
      <c r="M59" s="1004">
        <f>D47</f>
        <v>1.25</v>
      </c>
      <c r="N59" s="1005">
        <f>L59*M59</f>
        <v>127823.28</v>
      </c>
      <c r="O59" s="156"/>
    </row>
    <row r="60" spans="1:16" ht="15" customHeight="1">
      <c r="A60" s="156"/>
      <c r="B60" s="2405"/>
      <c r="C60" s="2405"/>
      <c r="D60" s="2405"/>
      <c r="E60" s="2405"/>
      <c r="F60" s="2405"/>
      <c r="G60" s="2405"/>
      <c r="H60" s="611"/>
      <c r="I60" s="156"/>
      <c r="J60" s="109" t="str">
        <f>B18</f>
        <v xml:space="preserve">  Certified Nursing Assistant (CNA)</v>
      </c>
      <c r="K60" s="1002"/>
      <c r="L60" s="1003">
        <f>D18</f>
        <v>41600</v>
      </c>
      <c r="M60" s="1004">
        <f>D48</f>
        <v>4.2</v>
      </c>
      <c r="N60" s="1005">
        <f>L60*M60</f>
        <v>174720</v>
      </c>
      <c r="O60" s="156"/>
    </row>
    <row r="61" spans="1:16" ht="15" customHeight="1">
      <c r="A61" s="156"/>
      <c r="B61" s="2406"/>
      <c r="C61" s="611"/>
      <c r="D61" s="2407"/>
      <c r="E61" s="2407"/>
      <c r="F61" s="611"/>
      <c r="G61" s="2407"/>
      <c r="H61" s="611"/>
      <c r="I61" s="156"/>
      <c r="J61" s="109" t="s">
        <v>31</v>
      </c>
      <c r="K61" s="1002"/>
      <c r="L61" s="1003"/>
      <c r="M61" s="1004"/>
      <c r="N61" s="1005"/>
      <c r="O61" s="156"/>
    </row>
    <row r="62" spans="1:16" ht="15" customHeight="1">
      <c r="A62" s="156"/>
      <c r="B62" s="2408"/>
      <c r="C62" s="611"/>
      <c r="D62" s="2407"/>
      <c r="E62" s="2407"/>
      <c r="F62" s="611"/>
      <c r="G62" s="2407"/>
      <c r="H62" s="611"/>
      <c r="I62" s="156"/>
      <c r="J62" s="109" t="str">
        <f>B20</f>
        <v xml:space="preserve">  Direct Care III</v>
      </c>
      <c r="K62" s="1002"/>
      <c r="L62" s="1003">
        <f>D20</f>
        <v>53206.566400000003</v>
      </c>
      <c r="M62" s="1004">
        <f>D50</f>
        <v>4.2</v>
      </c>
      <c r="N62" s="1005">
        <f>L62*M62</f>
        <v>223467.57888000002</v>
      </c>
      <c r="O62" s="156"/>
      <c r="P62" s="985">
        <v>3</v>
      </c>
    </row>
    <row r="63" spans="1:16" ht="15" customHeight="1">
      <c r="A63" s="156"/>
      <c r="B63" s="2408"/>
      <c r="C63" s="611"/>
      <c r="D63" s="2407"/>
      <c r="E63" s="2407"/>
      <c r="F63" s="611"/>
      <c r="G63" s="2407"/>
      <c r="H63" s="611"/>
      <c r="I63" s="156"/>
      <c r="J63" s="109" t="str">
        <f>B21</f>
        <v xml:space="preserve">  Direct Care</v>
      </c>
      <c r="K63" s="1002"/>
      <c r="L63" s="1003">
        <f>D21</f>
        <v>41600</v>
      </c>
      <c r="M63" s="1004">
        <f>D51</f>
        <v>4.2</v>
      </c>
      <c r="N63" s="1005">
        <f>L63*M63</f>
        <v>174720</v>
      </c>
      <c r="O63" s="156"/>
      <c r="P63" s="985">
        <v>5.4</v>
      </c>
    </row>
    <row r="64" spans="1:16" ht="15" customHeight="1">
      <c r="A64" s="156"/>
      <c r="B64" s="2408"/>
      <c r="C64" s="611"/>
      <c r="D64" s="2407"/>
      <c r="E64" s="2407"/>
      <c r="F64" s="611"/>
      <c r="G64" s="2407"/>
      <c r="H64" s="611"/>
      <c r="I64" s="156"/>
      <c r="J64" s="109" t="str">
        <f>B22</f>
        <v xml:space="preserve">  Relief</v>
      </c>
      <c r="K64" s="1002"/>
      <c r="L64" s="1003">
        <f>D22</f>
        <v>47403.283200000005</v>
      </c>
      <c r="M64" s="1004">
        <f>D52</f>
        <v>1.26</v>
      </c>
      <c r="N64" s="1005">
        <f>L64*M64</f>
        <v>59728.136832000004</v>
      </c>
      <c r="O64" s="156"/>
    </row>
    <row r="65" spans="1:15" ht="15" customHeight="1">
      <c r="A65" s="156"/>
      <c r="B65" s="611"/>
      <c r="C65" s="611"/>
      <c r="D65" s="2407"/>
      <c r="E65" s="2407"/>
      <c r="F65" s="611"/>
      <c r="G65" s="2407"/>
      <c r="H65" s="611"/>
      <c r="I65" s="156"/>
      <c r="J65" s="1018" t="s">
        <v>13</v>
      </c>
      <c r="K65" s="1019"/>
      <c r="L65" s="1019"/>
      <c r="M65" s="1307">
        <f>SUM(M56:M64)</f>
        <v>16.21</v>
      </c>
      <c r="N65" s="1136">
        <f>SUM(N56:N64)</f>
        <v>848491.84371200006</v>
      </c>
      <c r="O65" s="156"/>
    </row>
    <row r="66" spans="1:15" ht="15" customHeight="1">
      <c r="A66" s="156"/>
      <c r="B66" s="2405"/>
      <c r="C66" s="2409"/>
      <c r="D66" s="2410"/>
      <c r="E66" s="2405"/>
      <c r="F66" s="2405"/>
      <c r="G66" s="2405"/>
      <c r="H66" s="611"/>
      <c r="I66" s="156"/>
      <c r="J66" s="111" t="s">
        <v>15</v>
      </c>
      <c r="K66" s="269"/>
      <c r="L66" s="269"/>
      <c r="M66" s="269" t="s">
        <v>16</v>
      </c>
      <c r="N66" s="991"/>
      <c r="O66" s="156"/>
    </row>
    <row r="67" spans="1:15" ht="15" customHeight="1">
      <c r="A67" s="156"/>
      <c r="B67" s="2405"/>
      <c r="C67" s="2405"/>
      <c r="D67" s="2405"/>
      <c r="E67" s="2405"/>
      <c r="F67" s="2405"/>
      <c r="G67" s="2405"/>
      <c r="H67" s="611"/>
      <c r="I67" s="156"/>
      <c r="J67" s="1091" t="str">
        <f>B26</f>
        <v xml:space="preserve">  Tax and Fringe</v>
      </c>
      <c r="K67" s="156"/>
      <c r="L67" s="1811">
        <f>D26</f>
        <v>0.27379999999999999</v>
      </c>
      <c r="M67" s="156"/>
      <c r="N67" s="1017">
        <f>L67*N65</f>
        <v>232317.06680834561</v>
      </c>
      <c r="O67" s="156"/>
    </row>
    <row r="68" spans="1:15" ht="15" customHeight="1">
      <c r="A68" s="156"/>
      <c r="B68" s="2405"/>
      <c r="C68" s="2405"/>
      <c r="D68" s="2405"/>
      <c r="E68" s="2405"/>
      <c r="F68" s="2405"/>
      <c r="G68" s="2405"/>
      <c r="H68" s="611"/>
      <c r="I68" s="156"/>
      <c r="J68" s="1018" t="s">
        <v>18</v>
      </c>
      <c r="K68" s="1019"/>
      <c r="L68" s="1019"/>
      <c r="M68" s="1020"/>
      <c r="N68" s="1021">
        <f>N65+N67</f>
        <v>1080808.9105203457</v>
      </c>
      <c r="O68" s="156"/>
    </row>
    <row r="69" spans="1:15" ht="15" customHeight="1">
      <c r="A69" s="156"/>
      <c r="B69" s="2411"/>
      <c r="C69" s="2411"/>
      <c r="D69" s="2411"/>
      <c r="E69" s="2412"/>
      <c r="F69" s="2412"/>
      <c r="G69" s="2411"/>
      <c r="H69" s="611"/>
      <c r="I69" s="156"/>
      <c r="J69" s="109"/>
      <c r="K69" s="156"/>
      <c r="L69" s="156"/>
      <c r="M69" s="884"/>
      <c r="N69" s="1005"/>
      <c r="O69" s="156"/>
    </row>
    <row r="70" spans="1:15" ht="15" customHeight="1">
      <c r="A70" s="156"/>
      <c r="B70" s="2403"/>
      <c r="C70" s="2404"/>
      <c r="D70" s="2404"/>
      <c r="E70" s="2404"/>
      <c r="F70" s="2404"/>
      <c r="G70" s="2405"/>
      <c r="H70" s="611"/>
      <c r="I70" s="156"/>
      <c r="J70" s="995" t="s">
        <v>328</v>
      </c>
      <c r="K70" s="1012"/>
      <c r="L70" s="997" t="s">
        <v>19</v>
      </c>
      <c r="M70" s="1139" t="s">
        <v>20</v>
      </c>
      <c r="N70" s="1140" t="s">
        <v>7</v>
      </c>
      <c r="O70" s="156"/>
    </row>
    <row r="71" spans="1:15" ht="15" customHeight="1">
      <c r="A71" s="156"/>
      <c r="B71" s="2242"/>
      <c r="C71" s="2243"/>
      <c r="D71" s="2244"/>
      <c r="E71" s="2242"/>
      <c r="F71" s="2242"/>
      <c r="G71" s="2243"/>
      <c r="H71" s="156"/>
      <c r="I71" s="156"/>
      <c r="J71" s="109" t="str">
        <f>B54</f>
        <v xml:space="preserve">  Occupational Therapist</v>
      </c>
      <c r="K71" s="156"/>
      <c r="L71" s="1151">
        <f>D29</f>
        <v>55.04</v>
      </c>
      <c r="M71" s="1004">
        <f>D54*52</f>
        <v>52</v>
      </c>
      <c r="N71" s="1325">
        <f>L71*M71</f>
        <v>2862.08</v>
      </c>
      <c r="O71" s="156"/>
    </row>
    <row r="72" spans="1:15" ht="15" customHeight="1">
      <c r="A72" s="156"/>
      <c r="B72" s="2242"/>
      <c r="C72" s="2243"/>
      <c r="D72" s="2244"/>
      <c r="E72" s="2242"/>
      <c r="F72" s="2242"/>
      <c r="G72" s="2243"/>
      <c r="H72" s="156"/>
      <c r="I72" s="156"/>
      <c r="J72" s="121" t="str">
        <f>B55</f>
        <v xml:space="preserve">  LPHA</v>
      </c>
      <c r="K72" s="156"/>
      <c r="L72" s="1358">
        <f>D30</f>
        <v>43.35403429727625</v>
      </c>
      <c r="M72" s="1004">
        <f>D55*52</f>
        <v>52</v>
      </c>
      <c r="N72" s="1017">
        <f>L72*M72</f>
        <v>2254.4097834583649</v>
      </c>
      <c r="O72" s="156"/>
    </row>
    <row r="73" spans="1:15" ht="15" customHeight="1">
      <c r="A73" s="156"/>
      <c r="B73" s="2242"/>
      <c r="C73" s="2242"/>
      <c r="D73" s="2242"/>
      <c r="E73" s="2242"/>
      <c r="F73" s="2242"/>
      <c r="G73" s="2242"/>
      <c r="H73" s="156"/>
      <c r="I73" s="156"/>
      <c r="J73" s="1018" t="s">
        <v>21</v>
      </c>
      <c r="K73" s="1019"/>
      <c r="L73" s="1019"/>
      <c r="M73" s="1019"/>
      <c r="N73" s="1021">
        <f>SUM(N71:N72)</f>
        <v>5116.4897834583644</v>
      </c>
      <c r="O73" s="156"/>
    </row>
    <row r="74" spans="1:15" ht="15" customHeight="1">
      <c r="A74" s="156"/>
      <c r="B74" s="2171"/>
      <c r="C74" s="2243"/>
      <c r="D74" s="2244"/>
      <c r="E74" s="2242"/>
      <c r="F74" s="2242"/>
      <c r="G74" s="2242"/>
      <c r="H74" s="156"/>
      <c r="I74" s="156"/>
      <c r="J74" s="109"/>
      <c r="K74" s="156"/>
      <c r="L74" s="156"/>
      <c r="M74" s="1442"/>
      <c r="N74" s="1017"/>
      <c r="O74" s="156"/>
    </row>
    <row r="75" spans="1:15" ht="15" customHeight="1">
      <c r="A75" s="156"/>
      <c r="C75" s="2242"/>
      <c r="D75" s="2242"/>
      <c r="E75" s="2242"/>
      <c r="F75" s="2242"/>
      <c r="G75" s="2242"/>
      <c r="H75" s="156"/>
      <c r="I75" s="156"/>
      <c r="J75" s="1091" t="str">
        <f>B33</f>
        <v xml:space="preserve"> Staff Training</v>
      </c>
      <c r="K75" s="156"/>
      <c r="L75" s="156"/>
      <c r="M75" s="1092">
        <f ca="1">D33</f>
        <v>192.10807561388694</v>
      </c>
      <c r="N75" s="1098">
        <f ca="1">M75*M65</f>
        <v>3114.0719057011074</v>
      </c>
      <c r="O75" s="156"/>
    </row>
    <row r="76" spans="1:15" ht="15" customHeight="1">
      <c r="A76" s="156"/>
      <c r="B76" s="2242"/>
      <c r="C76" s="2242"/>
      <c r="D76" s="2242"/>
      <c r="E76" s="2242"/>
      <c r="F76" s="2242"/>
      <c r="G76" s="2242"/>
      <c r="H76" s="156"/>
      <c r="I76" s="156"/>
      <c r="J76" s="109" t="str">
        <f>B34</f>
        <v xml:space="preserve">  Transportation</v>
      </c>
      <c r="K76" s="156"/>
      <c r="L76" s="156"/>
      <c r="M76" s="1151">
        <f>M35</f>
        <v>2.0190812303224459</v>
      </c>
      <c r="N76" s="1311">
        <f>M76*N52</f>
        <v>5895.7171925415423</v>
      </c>
      <c r="O76" s="156"/>
    </row>
    <row r="77" spans="1:15">
      <c r="A77" s="156"/>
      <c r="B77" s="156"/>
      <c r="C77" s="156"/>
      <c r="D77" s="156"/>
      <c r="E77" s="1196"/>
      <c r="F77" s="1196"/>
      <c r="G77" s="156"/>
      <c r="H77" s="156"/>
      <c r="I77" s="156"/>
      <c r="J77" s="109" t="s">
        <v>1108</v>
      </c>
      <c r="K77" s="156"/>
      <c r="L77" s="156"/>
      <c r="M77" s="1358">
        <f>D36</f>
        <v>10.004761904761907</v>
      </c>
      <c r="N77" s="1311">
        <f>M77*N52</f>
        <v>29213.904761904767</v>
      </c>
      <c r="O77" s="156"/>
    </row>
    <row r="78" spans="1:15">
      <c r="A78" s="156"/>
      <c r="B78" s="156"/>
      <c r="C78" s="156"/>
      <c r="D78" s="156"/>
      <c r="E78" s="1196"/>
      <c r="F78" s="1196"/>
      <c r="G78" s="156"/>
      <c r="H78" s="156"/>
      <c r="I78" s="156"/>
      <c r="J78" s="291" t="str">
        <f>B35</f>
        <v xml:space="preserve">  Program Supplies &amp; Materials</v>
      </c>
      <c r="K78" s="156"/>
      <c r="L78" s="156"/>
      <c r="M78" s="1326">
        <f ca="1">D35</f>
        <v>693.71474143152727</v>
      </c>
      <c r="N78" s="1311">
        <f ca="1">M78*M65</f>
        <v>11245.115958605058</v>
      </c>
      <c r="O78" s="156"/>
    </row>
    <row r="79" spans="1:15">
      <c r="A79" s="156"/>
      <c r="B79" s="156"/>
      <c r="C79" s="156"/>
      <c r="D79" s="156"/>
      <c r="E79" s="1196"/>
      <c r="F79" s="1196"/>
      <c r="G79" s="156"/>
      <c r="H79" s="156"/>
      <c r="I79" s="156"/>
      <c r="J79" s="109"/>
      <c r="K79" s="156"/>
      <c r="L79" s="156"/>
      <c r="M79" s="1151"/>
      <c r="N79" s="1314">
        <f ca="1">SUM(N74:N78)</f>
        <v>49468.809818752474</v>
      </c>
      <c r="O79" s="156"/>
    </row>
    <row r="80" spans="1:15">
      <c r="A80" s="156"/>
      <c r="B80" s="156"/>
      <c r="C80" s="156"/>
      <c r="D80" s="156"/>
      <c r="E80" s="1196"/>
      <c r="F80" s="1196"/>
      <c r="G80" s="156"/>
      <c r="H80" s="156"/>
      <c r="I80" s="156"/>
      <c r="J80" s="109"/>
      <c r="K80" s="156"/>
      <c r="L80" s="156"/>
      <c r="M80" s="884"/>
      <c r="N80" s="1032"/>
      <c r="O80" s="156"/>
    </row>
    <row r="81" spans="1:62">
      <c r="A81" s="156"/>
      <c r="B81" s="156"/>
      <c r="C81" s="156"/>
      <c r="D81" s="156"/>
      <c r="E81" s="1196"/>
      <c r="F81" s="1196"/>
      <c r="G81" s="156"/>
      <c r="H81" s="156"/>
      <c r="I81" s="156"/>
      <c r="J81" s="1018" t="s">
        <v>23</v>
      </c>
      <c r="K81" s="1019"/>
      <c r="L81" s="1019"/>
      <c r="M81" s="1019"/>
      <c r="N81" s="1030">
        <f ca="1">SUM(N68,N73,N79)</f>
        <v>1135394.2101225567</v>
      </c>
      <c r="O81" s="156"/>
    </row>
    <row r="82" spans="1:62">
      <c r="A82" s="156"/>
      <c r="C82" s="156"/>
      <c r="D82" s="156"/>
      <c r="E82" s="1196"/>
      <c r="F82" s="1196"/>
      <c r="G82" s="156"/>
      <c r="H82" s="156"/>
      <c r="I82" s="156"/>
      <c r="J82" s="109" t="s">
        <v>24</v>
      </c>
      <c r="K82" s="156"/>
      <c r="L82" s="1033">
        <f>D38</f>
        <v>0.12</v>
      </c>
      <c r="M82" s="156"/>
      <c r="N82" s="1017">
        <f ca="1">L82*N81</f>
        <v>136247.30521470681</v>
      </c>
      <c r="O82" s="156"/>
    </row>
    <row r="83" spans="1:62" s="984" customFormat="1" ht="13.5" thickBot="1">
      <c r="A83" s="156"/>
      <c r="B83" s="156"/>
      <c r="C83" s="156"/>
      <c r="D83" s="156"/>
      <c r="E83" s="1196"/>
      <c r="F83" s="1196"/>
      <c r="G83" s="156"/>
      <c r="H83" s="156"/>
      <c r="I83" s="156"/>
      <c r="J83" s="1349" t="s">
        <v>25</v>
      </c>
      <c r="K83" s="1043"/>
      <c r="L83" s="1043"/>
      <c r="M83" s="1043"/>
      <c r="N83" s="1350">
        <f ca="1">SUM(N81:N82)</f>
        <v>1271641.5153372635</v>
      </c>
      <c r="O83" s="156"/>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c r="AU83" s="985"/>
      <c r="AV83" s="985"/>
      <c r="AW83" s="985"/>
      <c r="AX83" s="985"/>
      <c r="AY83" s="985"/>
      <c r="AZ83" s="985"/>
      <c r="BA83" s="985"/>
      <c r="BB83" s="985"/>
      <c r="BC83" s="985"/>
      <c r="BD83" s="985"/>
      <c r="BE83" s="985"/>
      <c r="BF83" s="985"/>
      <c r="BG83" s="985"/>
      <c r="BH83" s="985"/>
      <c r="BI83" s="985"/>
      <c r="BJ83" s="985"/>
    </row>
    <row r="84" spans="1:62" s="984" customFormat="1" ht="14.25" thickTop="1" thickBot="1">
      <c r="A84" s="156"/>
      <c r="B84" s="156"/>
      <c r="C84" s="156"/>
      <c r="D84" s="156"/>
      <c r="E84" s="1196"/>
      <c r="F84" s="1196"/>
      <c r="G84" s="156"/>
      <c r="H84" s="156"/>
      <c r="I84" s="156"/>
      <c r="J84" s="1091" t="s">
        <v>26</v>
      </c>
      <c r="K84" s="985"/>
      <c r="L84" s="1447">
        <f>D40</f>
        <v>2.5758086673353865E-2</v>
      </c>
      <c r="M84" s="156"/>
      <c r="N84" s="1046">
        <f ca="1">N83+(N83*L84)-(N65*L84)</f>
        <v>1282541.0412547884</v>
      </c>
      <c r="O84" s="156"/>
      <c r="P84" s="985"/>
      <c r="Q84" s="985"/>
      <c r="R84" s="985"/>
      <c r="S84" s="985"/>
      <c r="T84" s="985"/>
      <c r="U84" s="985"/>
      <c r="V84" s="985"/>
      <c r="W84" s="985"/>
      <c r="X84" s="985"/>
      <c r="Y84" s="985"/>
      <c r="Z84" s="985"/>
      <c r="AA84" s="985"/>
      <c r="AB84" s="985"/>
      <c r="AC84" s="985"/>
      <c r="AD84" s="985"/>
      <c r="AE84" s="985"/>
      <c r="AF84" s="985"/>
      <c r="AG84" s="985"/>
      <c r="AH84" s="985"/>
      <c r="AI84" s="985"/>
      <c r="AJ84" s="985"/>
      <c r="AK84" s="985"/>
      <c r="AL84" s="985"/>
      <c r="AM84" s="985"/>
      <c r="AN84" s="985"/>
      <c r="AO84" s="985"/>
      <c r="AP84" s="985"/>
      <c r="AQ84" s="985"/>
      <c r="AR84" s="985"/>
      <c r="AS84" s="985"/>
      <c r="AT84" s="985"/>
      <c r="AU84" s="985"/>
      <c r="AV84" s="985"/>
      <c r="AW84" s="985"/>
      <c r="AX84" s="985"/>
      <c r="AY84" s="985"/>
      <c r="AZ84" s="985"/>
      <c r="BA84" s="985"/>
      <c r="BB84" s="985"/>
      <c r="BC84" s="985"/>
      <c r="BD84" s="985"/>
      <c r="BE84" s="985"/>
      <c r="BF84" s="985"/>
      <c r="BG84" s="985"/>
      <c r="BH84" s="985"/>
      <c r="BI84" s="985"/>
      <c r="BJ84" s="985"/>
    </row>
    <row r="85" spans="1:62" s="984" customFormat="1" ht="13.5" thickBot="1">
      <c r="A85" s="156"/>
      <c r="B85" s="156"/>
      <c r="C85" s="156"/>
      <c r="D85" s="156"/>
      <c r="E85" s="1196"/>
      <c r="F85" s="1196"/>
      <c r="G85" s="156"/>
      <c r="H85" s="156"/>
      <c r="I85" s="156"/>
      <c r="J85" s="1318" t="s">
        <v>813</v>
      </c>
      <c r="K85" s="1319"/>
      <c r="L85" s="1319"/>
      <c r="M85" s="1327"/>
      <c r="N85" s="2068">
        <f ca="1">N84/N52</f>
        <v>439.22638399136588</v>
      </c>
      <c r="O85" s="156"/>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c r="AU85" s="985"/>
      <c r="AV85" s="985"/>
      <c r="AW85" s="985"/>
      <c r="AX85" s="985"/>
      <c r="AY85" s="985"/>
      <c r="AZ85" s="985"/>
      <c r="BA85" s="985"/>
      <c r="BB85" s="985"/>
      <c r="BC85" s="985"/>
      <c r="BD85" s="985"/>
      <c r="BE85" s="985"/>
      <c r="BF85" s="985"/>
      <c r="BG85" s="985"/>
      <c r="BH85" s="985"/>
      <c r="BI85" s="985"/>
      <c r="BJ85" s="985"/>
    </row>
    <row r="86" spans="1:62" s="984" customFormat="1">
      <c r="A86" s="156"/>
      <c r="B86" s="156"/>
      <c r="C86" s="156"/>
      <c r="D86" s="156"/>
      <c r="E86" s="1196"/>
      <c r="F86" s="1196"/>
      <c r="G86" s="156"/>
      <c r="H86" s="156"/>
      <c r="I86" s="156"/>
      <c r="J86" s="156"/>
      <c r="K86" s="156"/>
      <c r="L86" s="156"/>
      <c r="M86" s="156" t="s">
        <v>783</v>
      </c>
      <c r="N86" s="1320">
        <v>365</v>
      </c>
      <c r="O86" s="156"/>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c r="AU86" s="985"/>
      <c r="AV86" s="985"/>
      <c r="AW86" s="985"/>
      <c r="AX86" s="985"/>
      <c r="AY86" s="985"/>
      <c r="AZ86" s="985"/>
      <c r="BA86" s="985"/>
      <c r="BB86" s="985"/>
      <c r="BC86" s="985"/>
      <c r="BD86" s="985"/>
      <c r="BE86" s="985"/>
      <c r="BF86" s="985"/>
      <c r="BG86" s="985"/>
      <c r="BH86" s="985"/>
      <c r="BI86" s="985"/>
      <c r="BJ86" s="985"/>
    </row>
    <row r="87" spans="1:62" s="984" customFormat="1">
      <c r="A87" s="156"/>
      <c r="B87" s="156"/>
      <c r="C87" s="156"/>
      <c r="D87" s="156"/>
      <c r="E87" s="1196"/>
      <c r="F87" s="1196"/>
      <c r="G87" s="156"/>
      <c r="H87" s="156"/>
      <c r="I87" s="156"/>
      <c r="J87" s="156"/>
      <c r="K87" s="156"/>
      <c r="L87" s="156"/>
      <c r="M87" s="156"/>
      <c r="N87" s="884">
        <f ca="1">N85-N86</f>
        <v>74.226383991365879</v>
      </c>
      <c r="O87" s="156"/>
      <c r="P87" s="985"/>
      <c r="Q87" s="985"/>
      <c r="R87" s="985"/>
      <c r="S87" s="985"/>
      <c r="T87" s="985"/>
      <c r="U87" s="985"/>
      <c r="V87" s="985"/>
      <c r="W87" s="985"/>
      <c r="X87" s="985"/>
      <c r="Y87" s="985"/>
      <c r="Z87" s="985"/>
      <c r="AA87" s="985"/>
      <c r="AB87" s="985"/>
      <c r="AC87" s="985"/>
      <c r="AD87" s="985"/>
      <c r="AE87" s="985"/>
      <c r="AF87" s="985"/>
      <c r="AG87" s="985"/>
      <c r="AH87" s="985"/>
      <c r="AI87" s="985"/>
      <c r="AJ87" s="985"/>
      <c r="AK87" s="985"/>
      <c r="AL87" s="985"/>
      <c r="AM87" s="985"/>
      <c r="AN87" s="985"/>
      <c r="AO87" s="985"/>
      <c r="AP87" s="985"/>
      <c r="AQ87" s="985"/>
      <c r="AR87" s="985"/>
      <c r="AS87" s="985"/>
      <c r="AT87" s="985"/>
      <c r="AU87" s="985"/>
      <c r="AV87" s="985"/>
      <c r="AW87" s="985"/>
      <c r="AX87" s="985"/>
      <c r="AY87" s="985"/>
      <c r="AZ87" s="985"/>
      <c r="BA87" s="985"/>
      <c r="BB87" s="985"/>
      <c r="BC87" s="985"/>
      <c r="BD87" s="985"/>
      <c r="BE87" s="985"/>
      <c r="BF87" s="985"/>
      <c r="BG87" s="985"/>
      <c r="BH87" s="985"/>
      <c r="BI87" s="985"/>
      <c r="BJ87" s="985"/>
    </row>
    <row r="88" spans="1:62" s="984" customFormat="1" ht="13.5" thickBot="1">
      <c r="A88" s="156"/>
      <c r="B88" s="156"/>
      <c r="C88" s="156"/>
      <c r="D88" s="156"/>
      <c r="E88" s="1196"/>
      <c r="F88" s="1196"/>
      <c r="G88" s="156"/>
      <c r="H88" s="156"/>
      <c r="I88" s="156"/>
      <c r="J88" s="156"/>
      <c r="K88" s="156"/>
      <c r="L88" s="156"/>
      <c r="M88" s="156"/>
      <c r="N88" s="1321">
        <f ca="1">(N85-N86)/N86</f>
        <v>0.20335995614072844</v>
      </c>
      <c r="O88" s="156"/>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row>
    <row r="89" spans="1:62" s="984" customFormat="1" ht="13.5" thickBot="1">
      <c r="A89" s="156"/>
      <c r="B89" s="156"/>
      <c r="C89" s="156"/>
      <c r="D89" s="156"/>
      <c r="E89" s="1196"/>
      <c r="F89" s="1196"/>
      <c r="G89" s="156"/>
      <c r="H89" s="156"/>
      <c r="I89" s="156"/>
      <c r="J89" s="2582" t="s">
        <v>571</v>
      </c>
      <c r="K89" s="2583"/>
      <c r="L89" s="2583"/>
      <c r="M89" s="2583"/>
      <c r="N89" s="2584"/>
      <c r="O89" s="156"/>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row>
    <row r="90" spans="1:62" s="984" customFormat="1">
      <c r="A90" s="156"/>
      <c r="B90" s="156"/>
      <c r="C90" s="156"/>
      <c r="D90" s="156"/>
      <c r="E90" s="1196"/>
      <c r="F90" s="1196"/>
      <c r="G90" s="156"/>
      <c r="H90" s="156"/>
      <c r="I90" s="156"/>
      <c r="J90" s="901" t="s">
        <v>277</v>
      </c>
      <c r="K90" s="903">
        <v>11</v>
      </c>
      <c r="L90" s="1076"/>
      <c r="M90" s="1335" t="s">
        <v>133</v>
      </c>
      <c r="N90" s="1336">
        <f>K90*365</f>
        <v>4015</v>
      </c>
      <c r="O90" s="156"/>
      <c r="P90" s="985"/>
      <c r="Q90" s="985"/>
      <c r="R90" s="985"/>
      <c r="S90" s="985"/>
      <c r="T90" s="985"/>
      <c r="U90" s="985"/>
      <c r="V90" s="985"/>
      <c r="W90" s="985"/>
      <c r="X90" s="985"/>
      <c r="Y90" s="985"/>
      <c r="Z90" s="985"/>
      <c r="AA90" s="985"/>
      <c r="AB90" s="985"/>
      <c r="AC90" s="985"/>
      <c r="AD90" s="985"/>
      <c r="AE90" s="985"/>
      <c r="AF90" s="985"/>
      <c r="AG90" s="985"/>
      <c r="AH90" s="985"/>
      <c r="AI90" s="985"/>
      <c r="AJ90" s="985"/>
      <c r="AK90" s="985"/>
      <c r="AL90" s="985"/>
      <c r="AM90" s="985"/>
      <c r="AN90" s="985"/>
      <c r="AO90" s="985"/>
      <c r="AP90" s="985"/>
      <c r="AQ90" s="985"/>
      <c r="AR90" s="985"/>
      <c r="AS90" s="985"/>
      <c r="AT90" s="985"/>
      <c r="AU90" s="985"/>
      <c r="AV90" s="985"/>
      <c r="AW90" s="985"/>
      <c r="AX90" s="985"/>
      <c r="AY90" s="985"/>
      <c r="AZ90" s="985"/>
      <c r="BA90" s="985"/>
      <c r="BB90" s="985"/>
      <c r="BC90" s="985"/>
      <c r="BD90" s="985"/>
      <c r="BE90" s="985"/>
      <c r="BF90" s="985"/>
      <c r="BG90" s="985"/>
      <c r="BH90" s="985"/>
      <c r="BI90" s="985"/>
      <c r="BJ90" s="985"/>
    </row>
    <row r="91" spans="1:62" s="984" customFormat="1">
      <c r="A91" s="156"/>
      <c r="B91" s="156"/>
      <c r="C91" s="156"/>
      <c r="D91" s="156"/>
      <c r="E91" s="1196"/>
      <c r="F91" s="1196"/>
      <c r="G91" s="156"/>
      <c r="H91" s="156"/>
      <c r="I91" s="156"/>
      <c r="J91" s="109"/>
      <c r="K91" s="39"/>
      <c r="L91" s="156"/>
      <c r="M91" s="1073"/>
      <c r="N91" s="1355"/>
      <c r="O91" s="156"/>
      <c r="P91" s="985"/>
      <c r="Q91" s="985"/>
      <c r="R91" s="985"/>
      <c r="S91" s="985"/>
      <c r="T91" s="985"/>
      <c r="U91" s="985"/>
      <c r="V91" s="985"/>
      <c r="W91" s="985"/>
      <c r="X91" s="985"/>
      <c r="Y91" s="985"/>
      <c r="Z91" s="985"/>
      <c r="AA91" s="985"/>
      <c r="AB91" s="985"/>
      <c r="AC91" s="985"/>
      <c r="AD91" s="985"/>
      <c r="AE91" s="985"/>
      <c r="AF91" s="985"/>
      <c r="AG91" s="985"/>
      <c r="AH91" s="985"/>
      <c r="AI91" s="985"/>
      <c r="AJ91" s="985"/>
      <c r="AK91" s="985"/>
      <c r="AL91" s="985"/>
      <c r="AM91" s="985"/>
      <c r="AN91" s="985"/>
      <c r="AO91" s="985"/>
      <c r="AP91" s="985"/>
      <c r="AQ91" s="985"/>
      <c r="AR91" s="985"/>
      <c r="AS91" s="985"/>
      <c r="AT91" s="985"/>
      <c r="AU91" s="985"/>
      <c r="AV91" s="985"/>
      <c r="AW91" s="985"/>
      <c r="AX91" s="985"/>
      <c r="AY91" s="985"/>
      <c r="AZ91" s="985"/>
      <c r="BA91" s="985"/>
      <c r="BB91" s="985"/>
      <c r="BC91" s="985"/>
      <c r="BD91" s="985"/>
      <c r="BE91" s="985"/>
      <c r="BF91" s="985"/>
      <c r="BG91" s="985"/>
      <c r="BH91" s="985"/>
      <c r="BI91" s="985"/>
      <c r="BJ91" s="985"/>
    </row>
    <row r="92" spans="1:62" s="984" customFormat="1">
      <c r="A92" s="156"/>
      <c r="B92" s="156"/>
      <c r="C92" s="156"/>
      <c r="D92" s="156"/>
      <c r="E92" s="1196"/>
      <c r="F92" s="1196"/>
      <c r="G92" s="156"/>
      <c r="H92" s="156"/>
      <c r="I92" s="156"/>
      <c r="J92" s="1097"/>
      <c r="K92" s="1339"/>
      <c r="L92" s="997" t="s">
        <v>5</v>
      </c>
      <c r="M92" s="997" t="s">
        <v>6</v>
      </c>
      <c r="N92" s="998" t="s">
        <v>7</v>
      </c>
      <c r="O92" s="156"/>
      <c r="P92" s="985"/>
      <c r="Q92" s="985"/>
      <c r="R92" s="985"/>
      <c r="S92" s="985"/>
      <c r="T92" s="985"/>
      <c r="U92" s="985"/>
      <c r="V92" s="985"/>
      <c r="W92" s="985"/>
      <c r="X92" s="985"/>
      <c r="Y92" s="985"/>
      <c r="Z92" s="985"/>
      <c r="AA92" s="985"/>
      <c r="AB92" s="985"/>
      <c r="AC92" s="985"/>
      <c r="AD92" s="985"/>
      <c r="AE92" s="985"/>
      <c r="AF92" s="985"/>
      <c r="AG92" s="985"/>
      <c r="AH92" s="985"/>
      <c r="AI92" s="985"/>
      <c r="AJ92" s="985"/>
      <c r="AK92" s="985"/>
      <c r="AL92" s="985"/>
      <c r="AM92" s="985"/>
      <c r="AN92" s="985"/>
      <c r="AO92" s="985"/>
      <c r="AP92" s="985"/>
      <c r="AQ92" s="985"/>
      <c r="AR92" s="985"/>
      <c r="AS92" s="985"/>
      <c r="AT92" s="985"/>
      <c r="AU92" s="985"/>
      <c r="AV92" s="985"/>
      <c r="AW92" s="985"/>
      <c r="AX92" s="985"/>
      <c r="AY92" s="985"/>
      <c r="AZ92" s="985"/>
      <c r="BA92" s="985"/>
      <c r="BB92" s="985"/>
      <c r="BC92" s="985"/>
      <c r="BD92" s="985"/>
      <c r="BE92" s="985"/>
      <c r="BF92" s="985"/>
      <c r="BG92" s="985"/>
      <c r="BH92" s="985"/>
      <c r="BI92" s="985"/>
      <c r="BJ92" s="985"/>
    </row>
    <row r="93" spans="1:62" s="984" customFormat="1">
      <c r="A93" s="156"/>
      <c r="B93" s="156"/>
      <c r="C93" s="156"/>
      <c r="D93" s="156"/>
      <c r="E93" s="1196"/>
      <c r="F93" s="1196"/>
      <c r="G93" s="156"/>
      <c r="H93" s="156"/>
      <c r="I93" s="156"/>
      <c r="J93" s="109" t="s">
        <v>29</v>
      </c>
      <c r="K93" s="1123"/>
      <c r="L93" s="39"/>
      <c r="M93" s="39"/>
      <c r="N93" s="1342"/>
      <c r="O93" s="156"/>
      <c r="P93" s="985"/>
      <c r="Q93" s="985"/>
      <c r="R93" s="985"/>
      <c r="S93" s="985"/>
      <c r="T93" s="985"/>
      <c r="U93" s="985"/>
      <c r="V93" s="985"/>
      <c r="W93" s="985"/>
      <c r="X93" s="985"/>
      <c r="Y93" s="985"/>
      <c r="Z93" s="985"/>
      <c r="AA93" s="985"/>
      <c r="AB93" s="985"/>
      <c r="AC93" s="985"/>
      <c r="AD93" s="985"/>
      <c r="AE93" s="985"/>
      <c r="AF93" s="985"/>
      <c r="AG93" s="985"/>
      <c r="AH93" s="985"/>
      <c r="AI93" s="985"/>
      <c r="AJ93" s="985"/>
      <c r="AK93" s="985"/>
      <c r="AL93" s="985"/>
      <c r="AM93" s="985"/>
      <c r="AN93" s="985"/>
      <c r="AO93" s="985"/>
      <c r="AP93" s="985"/>
      <c r="AQ93" s="985"/>
      <c r="AR93" s="985"/>
      <c r="AS93" s="985"/>
      <c r="AT93" s="985"/>
      <c r="AU93" s="985"/>
      <c r="AV93" s="985"/>
      <c r="AW93" s="985"/>
      <c r="AX93" s="985"/>
      <c r="AY93" s="985"/>
      <c r="AZ93" s="985"/>
      <c r="BA93" s="985"/>
      <c r="BB93" s="985"/>
      <c r="BC93" s="985"/>
      <c r="BD93" s="985"/>
      <c r="BE93" s="985"/>
      <c r="BF93" s="985"/>
      <c r="BG93" s="985"/>
      <c r="BH93" s="985"/>
      <c r="BI93" s="985"/>
      <c r="BJ93" s="985"/>
    </row>
    <row r="94" spans="1:62" s="984" customFormat="1">
      <c r="A94" s="156"/>
      <c r="B94" s="156"/>
      <c r="C94" s="156"/>
      <c r="D94" s="156"/>
      <c r="E94" s="1196"/>
      <c r="F94" s="1196"/>
      <c r="G94" s="156"/>
      <c r="H94" s="156"/>
      <c r="I94" s="156"/>
      <c r="J94" s="109" t="str">
        <f t="shared" ref="J94:J99" si="1">B44</f>
        <v xml:space="preserve">Program Functional Oversight </v>
      </c>
      <c r="K94" s="1002"/>
      <c r="L94" s="1003">
        <f>D14</f>
        <v>74264</v>
      </c>
      <c r="M94" s="1004">
        <f>E44</f>
        <v>0.1</v>
      </c>
      <c r="N94" s="1005">
        <f>L94*M94</f>
        <v>7426.4000000000005</v>
      </c>
      <c r="O94" s="156"/>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985"/>
      <c r="AM94" s="985"/>
      <c r="AN94" s="985"/>
      <c r="AO94" s="985"/>
      <c r="AP94" s="985"/>
      <c r="AQ94" s="985"/>
      <c r="AR94" s="985"/>
      <c r="AS94" s="985"/>
      <c r="AT94" s="985"/>
      <c r="AU94" s="985"/>
      <c r="AV94" s="985"/>
      <c r="AW94" s="985"/>
      <c r="AX94" s="985"/>
      <c r="AY94" s="985"/>
      <c r="AZ94" s="985"/>
      <c r="BA94" s="985"/>
      <c r="BB94" s="985"/>
      <c r="BC94" s="985"/>
      <c r="BD94" s="985"/>
      <c r="BE94" s="985"/>
      <c r="BF94" s="985"/>
      <c r="BG94" s="985"/>
      <c r="BH94" s="985"/>
      <c r="BI94" s="985"/>
      <c r="BJ94" s="985"/>
    </row>
    <row r="95" spans="1:62" s="984" customFormat="1">
      <c r="A95" s="156"/>
      <c r="B95" s="156"/>
      <c r="C95" s="156"/>
      <c r="D95" s="156"/>
      <c r="E95" s="1196"/>
      <c r="F95" s="1196"/>
      <c r="G95" s="156"/>
      <c r="H95" s="156"/>
      <c r="I95" s="156"/>
      <c r="J95" s="109" t="str">
        <f t="shared" si="1"/>
        <v>Specialty Site Manager</v>
      </c>
      <c r="K95" s="1002"/>
      <c r="L95" s="1003">
        <f>D15</f>
        <v>80606.448000000004</v>
      </c>
      <c r="M95" s="1004">
        <f>E45</f>
        <v>1</v>
      </c>
      <c r="N95" s="1005">
        <f>L95*M95</f>
        <v>80606.448000000004</v>
      </c>
      <c r="O95" s="156"/>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985"/>
      <c r="AM95" s="985"/>
      <c r="AN95" s="985"/>
      <c r="AO95" s="985"/>
      <c r="AP95" s="985"/>
      <c r="AQ95" s="985"/>
      <c r="AR95" s="985"/>
      <c r="AS95" s="985"/>
      <c r="AT95" s="985"/>
      <c r="AU95" s="985"/>
      <c r="AV95" s="985"/>
      <c r="AW95" s="985"/>
      <c r="AX95" s="985"/>
      <c r="AY95" s="985"/>
      <c r="AZ95" s="985"/>
      <c r="BA95" s="985"/>
      <c r="BB95" s="985"/>
      <c r="BC95" s="985"/>
      <c r="BD95" s="985"/>
      <c r="BE95" s="985"/>
      <c r="BF95" s="985"/>
      <c r="BG95" s="985"/>
      <c r="BH95" s="985"/>
      <c r="BI95" s="985"/>
      <c r="BJ95" s="985"/>
    </row>
    <row r="96" spans="1:62" s="984" customFormat="1">
      <c r="A96" s="156"/>
      <c r="B96" s="156"/>
      <c r="C96" s="156"/>
      <c r="D96" s="156"/>
      <c r="E96" s="1196"/>
      <c r="F96" s="1196"/>
      <c r="G96" s="156"/>
      <c r="H96" s="156"/>
      <c r="I96" s="156"/>
      <c r="J96" s="109" t="str">
        <f t="shared" si="1"/>
        <v>Medical and Clinical</v>
      </c>
      <c r="K96" s="1002"/>
      <c r="L96" s="1003"/>
      <c r="M96" s="1004"/>
      <c r="N96" s="1005"/>
      <c r="O96" s="156"/>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985"/>
      <c r="AM96" s="985"/>
      <c r="AN96" s="985"/>
      <c r="AO96" s="985"/>
      <c r="AP96" s="985"/>
      <c r="AQ96" s="985"/>
      <c r="AR96" s="985"/>
      <c r="AS96" s="985"/>
      <c r="AT96" s="985"/>
      <c r="AU96" s="985"/>
      <c r="AV96" s="985"/>
      <c r="AW96" s="985"/>
      <c r="AX96" s="985"/>
      <c r="AY96" s="985"/>
      <c r="AZ96" s="985"/>
      <c r="BA96" s="985"/>
      <c r="BB96" s="985"/>
      <c r="BC96" s="985"/>
      <c r="BD96" s="985"/>
      <c r="BE96" s="985"/>
      <c r="BF96" s="985"/>
      <c r="BG96" s="985"/>
      <c r="BH96" s="985"/>
      <c r="BI96" s="985"/>
      <c r="BJ96" s="985"/>
    </row>
    <row r="97" spans="1:62" s="984" customFormat="1">
      <c r="A97" s="156"/>
      <c r="B97" s="156"/>
      <c r="C97" s="156"/>
      <c r="D97" s="156"/>
      <c r="E97" s="1196"/>
      <c r="F97" s="1196"/>
      <c r="G97" s="156"/>
      <c r="H97" s="156"/>
      <c r="I97" s="156"/>
      <c r="J97" s="109" t="str">
        <f t="shared" si="1"/>
        <v xml:space="preserve">  RN</v>
      </c>
      <c r="K97" s="1002"/>
      <c r="L97" s="1003">
        <f>D17</f>
        <v>102258.624</v>
      </c>
      <c r="M97" s="1004">
        <f>E47</f>
        <v>1.5</v>
      </c>
      <c r="N97" s="1005">
        <f>L97*M97</f>
        <v>153387.93599999999</v>
      </c>
      <c r="O97" s="156"/>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985"/>
      <c r="AM97" s="985"/>
      <c r="AN97" s="985"/>
      <c r="AO97" s="985"/>
      <c r="AP97" s="985"/>
      <c r="AQ97" s="985"/>
      <c r="AR97" s="985"/>
      <c r="AS97" s="985"/>
      <c r="AT97" s="985"/>
      <c r="AU97" s="985"/>
      <c r="AV97" s="985"/>
      <c r="AW97" s="985"/>
      <c r="AX97" s="985"/>
      <c r="AY97" s="985"/>
      <c r="AZ97" s="985"/>
      <c r="BA97" s="985"/>
      <c r="BB97" s="985"/>
      <c r="BC97" s="985"/>
      <c r="BD97" s="985"/>
      <c r="BE97" s="985"/>
      <c r="BF97" s="985"/>
      <c r="BG97" s="985"/>
      <c r="BH97" s="985"/>
      <c r="BI97" s="985"/>
      <c r="BJ97" s="985"/>
    </row>
    <row r="98" spans="1:62" s="984" customFormat="1">
      <c r="A98" s="156"/>
      <c r="B98" s="156"/>
      <c r="C98" s="156"/>
      <c r="D98" s="156"/>
      <c r="E98" s="1196"/>
      <c r="F98" s="1196"/>
      <c r="G98" s="156"/>
      <c r="H98" s="156"/>
      <c r="I98" s="156"/>
      <c r="J98" s="109" t="str">
        <f t="shared" si="1"/>
        <v xml:space="preserve">  Certified Nursing Assistant (CNA)</v>
      </c>
      <c r="K98" s="1002"/>
      <c r="L98" s="1003">
        <f>D18</f>
        <v>41600</v>
      </c>
      <c r="M98" s="1004">
        <f>E48</f>
        <v>5.4</v>
      </c>
      <c r="N98" s="1005">
        <f>L98*M98</f>
        <v>224640.00000000003</v>
      </c>
      <c r="O98" s="156"/>
      <c r="P98" s="985"/>
      <c r="Q98" s="985"/>
      <c r="R98" s="985"/>
      <c r="S98" s="985"/>
      <c r="T98" s="985"/>
      <c r="U98" s="985"/>
      <c r="V98" s="985"/>
      <c r="W98" s="985"/>
      <c r="X98" s="985"/>
      <c r="Y98" s="985"/>
      <c r="Z98" s="985"/>
      <c r="AA98" s="985"/>
      <c r="AB98" s="985"/>
      <c r="AC98" s="985"/>
      <c r="AD98" s="985"/>
      <c r="AE98" s="985"/>
      <c r="AF98" s="985"/>
      <c r="AG98" s="985"/>
      <c r="AH98" s="985"/>
      <c r="AI98" s="985"/>
      <c r="AJ98" s="985"/>
      <c r="AK98" s="985"/>
      <c r="AL98" s="985"/>
      <c r="AM98" s="985"/>
      <c r="AN98" s="985"/>
      <c r="AO98" s="985"/>
      <c r="AP98" s="985"/>
      <c r="AQ98" s="985"/>
      <c r="AR98" s="985"/>
      <c r="AS98" s="985"/>
      <c r="AT98" s="985"/>
      <c r="AU98" s="985"/>
      <c r="AV98" s="985"/>
      <c r="AW98" s="985"/>
      <c r="AX98" s="985"/>
      <c r="AY98" s="985"/>
      <c r="AZ98" s="985"/>
      <c r="BA98" s="985"/>
      <c r="BB98" s="985"/>
      <c r="BC98" s="985"/>
      <c r="BD98" s="985"/>
      <c r="BE98" s="985"/>
      <c r="BF98" s="985"/>
      <c r="BG98" s="985"/>
      <c r="BH98" s="985"/>
      <c r="BI98" s="985"/>
      <c r="BJ98" s="985"/>
    </row>
    <row r="99" spans="1:62" s="984" customFormat="1">
      <c r="A99" s="156"/>
      <c r="B99" s="156"/>
      <c r="C99" s="156"/>
      <c r="D99" s="156"/>
      <c r="E99" s="1196"/>
      <c r="F99" s="1196"/>
      <c r="G99" s="156"/>
      <c r="H99" s="156"/>
      <c r="I99" s="156"/>
      <c r="J99" s="109" t="str">
        <f t="shared" si="1"/>
        <v>Direct Care</v>
      </c>
      <c r="K99" s="1002"/>
      <c r="L99" s="1003"/>
      <c r="M99" s="1004"/>
      <c r="N99" s="1005"/>
      <c r="O99" s="156"/>
      <c r="P99" s="985"/>
      <c r="Q99" s="985"/>
      <c r="R99" s="985"/>
      <c r="S99" s="985"/>
      <c r="T99" s="985"/>
      <c r="U99" s="985"/>
      <c r="V99" s="985"/>
      <c r="W99" s="985"/>
      <c r="X99" s="985"/>
      <c r="Y99" s="985"/>
      <c r="Z99" s="985"/>
      <c r="AA99" s="985"/>
      <c r="AB99" s="985"/>
      <c r="AC99" s="985"/>
      <c r="AD99" s="985"/>
      <c r="AE99" s="985"/>
      <c r="AF99" s="985"/>
      <c r="AG99" s="985"/>
      <c r="AH99" s="985"/>
      <c r="AI99" s="985"/>
      <c r="AJ99" s="985"/>
      <c r="AK99" s="985"/>
      <c r="AL99" s="985"/>
      <c r="AM99" s="985"/>
      <c r="AN99" s="985"/>
      <c r="AO99" s="985"/>
      <c r="AP99" s="985"/>
      <c r="AQ99" s="985"/>
      <c r="AR99" s="985"/>
      <c r="AS99" s="985"/>
      <c r="AT99" s="985"/>
      <c r="AU99" s="985"/>
      <c r="AV99" s="985"/>
      <c r="AW99" s="985"/>
      <c r="AX99" s="985"/>
      <c r="AY99" s="985"/>
      <c r="AZ99" s="985"/>
      <c r="BA99" s="985"/>
      <c r="BB99" s="985"/>
      <c r="BC99" s="985"/>
      <c r="BD99" s="985"/>
      <c r="BE99" s="985"/>
      <c r="BF99" s="985"/>
      <c r="BG99" s="985"/>
      <c r="BH99" s="985"/>
      <c r="BI99" s="985"/>
      <c r="BJ99" s="985"/>
    </row>
    <row r="100" spans="1:62" s="984" customFormat="1">
      <c r="A100" s="156"/>
      <c r="B100" s="156"/>
      <c r="C100" s="156"/>
      <c r="D100" s="156"/>
      <c r="E100" s="1196"/>
      <c r="F100" s="1196"/>
      <c r="G100" s="156"/>
      <c r="H100" s="156"/>
      <c r="I100" s="156"/>
      <c r="J100" s="109" t="str">
        <f>B20</f>
        <v xml:space="preserve">  Direct Care III</v>
      </c>
      <c r="K100" s="1002"/>
      <c r="L100" s="1003">
        <f>D20</f>
        <v>53206.566400000003</v>
      </c>
      <c r="M100" s="1004">
        <f>E50</f>
        <v>5.3</v>
      </c>
      <c r="N100" s="1005">
        <f>L100*M100</f>
        <v>281994.80192</v>
      </c>
      <c r="O100" s="156"/>
      <c r="P100" s="985">
        <v>4.3</v>
      </c>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c r="AL100" s="985"/>
      <c r="AM100" s="985"/>
      <c r="AN100" s="985"/>
      <c r="AO100" s="985"/>
      <c r="AP100" s="985"/>
      <c r="AQ100" s="985"/>
      <c r="AR100" s="985"/>
      <c r="AS100" s="985"/>
      <c r="AT100" s="985"/>
      <c r="AU100" s="985"/>
      <c r="AV100" s="985"/>
      <c r="AW100" s="985"/>
      <c r="AX100" s="985"/>
      <c r="AY100" s="985"/>
      <c r="AZ100" s="985"/>
      <c r="BA100" s="985"/>
      <c r="BB100" s="985"/>
      <c r="BC100" s="985"/>
      <c r="BD100" s="985"/>
      <c r="BE100" s="985"/>
      <c r="BF100" s="985"/>
      <c r="BG100" s="985"/>
      <c r="BH100" s="985"/>
      <c r="BI100" s="985"/>
      <c r="BJ100" s="985"/>
    </row>
    <row r="101" spans="1:62" s="984" customFormat="1">
      <c r="A101" s="156"/>
      <c r="B101" s="156"/>
      <c r="C101" s="156"/>
      <c r="D101" s="156"/>
      <c r="E101" s="1196"/>
      <c r="F101" s="1196"/>
      <c r="G101" s="156"/>
      <c r="H101" s="156"/>
      <c r="I101" s="156"/>
      <c r="J101" s="109" t="str">
        <f>B21</f>
        <v xml:space="preserve">  Direct Care</v>
      </c>
      <c r="K101" s="1002"/>
      <c r="L101" s="1003">
        <f>D21</f>
        <v>41600</v>
      </c>
      <c r="M101" s="1004">
        <f>E51</f>
        <v>5.3</v>
      </c>
      <c r="N101" s="1005">
        <f>L101*M101</f>
        <v>220480</v>
      </c>
      <c r="O101" s="156"/>
      <c r="P101" s="985">
        <v>6.3</v>
      </c>
      <c r="Q101" s="985"/>
      <c r="R101" s="985"/>
      <c r="S101" s="985"/>
      <c r="T101" s="985"/>
      <c r="U101" s="985"/>
      <c r="V101" s="985"/>
      <c r="W101" s="985"/>
      <c r="X101" s="985"/>
      <c r="Y101" s="985"/>
      <c r="Z101" s="985"/>
      <c r="AA101" s="985"/>
      <c r="AB101" s="985"/>
      <c r="AC101" s="985"/>
      <c r="AD101" s="985"/>
      <c r="AE101" s="985"/>
      <c r="AF101" s="985"/>
      <c r="AG101" s="985"/>
      <c r="AH101" s="985"/>
      <c r="AI101" s="985"/>
      <c r="AJ101" s="985"/>
      <c r="AK101" s="985"/>
      <c r="AL101" s="985"/>
      <c r="AM101" s="985"/>
      <c r="AN101" s="985"/>
      <c r="AO101" s="985"/>
      <c r="AP101" s="985"/>
      <c r="AQ101" s="985"/>
      <c r="AR101" s="985"/>
      <c r="AS101" s="985"/>
      <c r="AT101" s="985"/>
      <c r="AU101" s="985"/>
      <c r="AV101" s="985"/>
      <c r="AW101" s="985"/>
      <c r="AX101" s="985"/>
      <c r="AY101" s="985"/>
      <c r="AZ101" s="985"/>
      <c r="BA101" s="985"/>
      <c r="BB101" s="985"/>
      <c r="BC101" s="985"/>
      <c r="BD101" s="985"/>
      <c r="BE101" s="985"/>
      <c r="BF101" s="985"/>
      <c r="BG101" s="985"/>
      <c r="BH101" s="985"/>
      <c r="BI101" s="985"/>
      <c r="BJ101" s="985"/>
    </row>
    <row r="102" spans="1:62" s="984" customFormat="1">
      <c r="A102" s="156"/>
      <c r="B102" s="156"/>
      <c r="C102" s="156"/>
      <c r="D102" s="156"/>
      <c r="E102" s="1196"/>
      <c r="F102" s="1196"/>
      <c r="G102" s="156"/>
      <c r="H102" s="156"/>
      <c r="I102" s="156"/>
      <c r="J102" s="109" t="str">
        <f>B22</f>
        <v xml:space="preserve">  Relief</v>
      </c>
      <c r="K102" s="1002"/>
      <c r="L102" s="1003">
        <f>D22</f>
        <v>47403.283200000005</v>
      </c>
      <c r="M102" s="1004">
        <f>E52</f>
        <v>1.5899999999999999</v>
      </c>
      <c r="N102" s="1005">
        <f>L102*M102</f>
        <v>75371.220287999997</v>
      </c>
      <c r="O102" s="156"/>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c r="AU102" s="985"/>
      <c r="AV102" s="985"/>
      <c r="AW102" s="985"/>
      <c r="AX102" s="985"/>
      <c r="AY102" s="985"/>
      <c r="AZ102" s="985"/>
      <c r="BA102" s="985"/>
      <c r="BB102" s="985"/>
      <c r="BC102" s="985"/>
      <c r="BD102" s="985"/>
      <c r="BE102" s="985"/>
      <c r="BF102" s="985"/>
      <c r="BG102" s="985"/>
      <c r="BH102" s="985"/>
      <c r="BI102" s="985"/>
      <c r="BJ102" s="985"/>
    </row>
    <row r="103" spans="1:62" s="984" customFormat="1">
      <c r="A103" s="156"/>
      <c r="B103" s="156"/>
      <c r="C103" s="156"/>
      <c r="D103" s="156"/>
      <c r="E103" s="1196"/>
      <c r="F103" s="1196"/>
      <c r="G103" s="156"/>
      <c r="H103" s="156"/>
      <c r="I103" s="156"/>
      <c r="J103" s="1018" t="s">
        <v>13</v>
      </c>
      <c r="K103" s="1019"/>
      <c r="L103" s="1019"/>
      <c r="M103" s="1307">
        <f>SUM(M94:M102)</f>
        <v>20.190000000000001</v>
      </c>
      <c r="N103" s="1136">
        <f>SUM(N94:N102)</f>
        <v>1043906.8062079999</v>
      </c>
      <c r="O103" s="156"/>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c r="AU103" s="985"/>
      <c r="AV103" s="985"/>
      <c r="AW103" s="985"/>
      <c r="AX103" s="985"/>
      <c r="AY103" s="985"/>
      <c r="AZ103" s="985"/>
      <c r="BA103" s="985"/>
      <c r="BB103" s="985"/>
      <c r="BC103" s="985"/>
      <c r="BD103" s="985"/>
      <c r="BE103" s="985"/>
      <c r="BF103" s="985"/>
      <c r="BG103" s="985"/>
      <c r="BH103" s="985"/>
      <c r="BI103" s="985"/>
      <c r="BJ103" s="985"/>
    </row>
    <row r="104" spans="1:62" s="984" customFormat="1">
      <c r="A104" s="156"/>
      <c r="B104" s="156"/>
      <c r="C104" s="156"/>
      <c r="D104" s="156"/>
      <c r="E104" s="1196"/>
      <c r="F104" s="1196"/>
      <c r="G104" s="156"/>
      <c r="H104" s="156"/>
      <c r="I104" s="156"/>
      <c r="J104" s="109"/>
      <c r="K104" s="156"/>
      <c r="L104" s="156"/>
      <c r="M104" s="156"/>
      <c r="N104" s="991"/>
      <c r="O104" s="156"/>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c r="AU104" s="985"/>
      <c r="AV104" s="985"/>
      <c r="AW104" s="985"/>
      <c r="AX104" s="985"/>
      <c r="AY104" s="985"/>
      <c r="AZ104" s="985"/>
      <c r="BA104" s="985"/>
      <c r="BB104" s="985"/>
      <c r="BC104" s="985"/>
      <c r="BD104" s="985"/>
      <c r="BE104" s="985"/>
      <c r="BF104" s="985"/>
      <c r="BG104" s="985"/>
      <c r="BH104" s="985"/>
      <c r="BI104" s="985"/>
      <c r="BJ104" s="985"/>
    </row>
    <row r="105" spans="1:62" s="984" customFormat="1">
      <c r="A105" s="156"/>
      <c r="B105" s="156"/>
      <c r="C105" s="156"/>
      <c r="D105" s="156"/>
      <c r="E105" s="1196"/>
      <c r="F105" s="1196"/>
      <c r="G105" s="156"/>
      <c r="H105" s="156"/>
      <c r="I105" s="156"/>
      <c r="J105" s="111" t="s">
        <v>15</v>
      </c>
      <c r="K105" s="269"/>
      <c r="L105" s="269"/>
      <c r="M105" s="269" t="s">
        <v>16</v>
      </c>
      <c r="N105" s="991"/>
      <c r="O105" s="156"/>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c r="AU105" s="985"/>
      <c r="AV105" s="985"/>
      <c r="AW105" s="985"/>
      <c r="AX105" s="985"/>
      <c r="AY105" s="985"/>
      <c r="AZ105" s="985"/>
      <c r="BA105" s="985"/>
      <c r="BB105" s="985"/>
      <c r="BC105" s="985"/>
      <c r="BD105" s="985"/>
      <c r="BE105" s="985"/>
      <c r="BF105" s="985"/>
      <c r="BG105" s="985"/>
      <c r="BH105" s="985"/>
      <c r="BI105" s="985"/>
      <c r="BJ105" s="985"/>
    </row>
    <row r="106" spans="1:62" s="984" customFormat="1">
      <c r="A106" s="156"/>
      <c r="B106" s="156"/>
      <c r="C106" s="156"/>
      <c r="D106" s="156"/>
      <c r="E106" s="1196"/>
      <c r="F106" s="1196"/>
      <c r="G106" s="156"/>
      <c r="H106" s="156"/>
      <c r="I106" s="156"/>
      <c r="J106" s="109" t="str">
        <f>B26</f>
        <v xml:space="preserve">  Tax and Fringe</v>
      </c>
      <c r="K106" s="156"/>
      <c r="L106" s="1811">
        <f>D26</f>
        <v>0.27379999999999999</v>
      </c>
      <c r="M106" s="156"/>
      <c r="N106" s="1017">
        <f>L106*N103</f>
        <v>285821.68353975035</v>
      </c>
      <c r="O106" s="156"/>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c r="AL106" s="985"/>
      <c r="AM106" s="985"/>
      <c r="AN106" s="985"/>
      <c r="AO106" s="985"/>
      <c r="AP106" s="985"/>
      <c r="AQ106" s="985"/>
      <c r="AR106" s="985"/>
      <c r="AS106" s="985"/>
      <c r="AT106" s="985"/>
      <c r="AU106" s="985"/>
      <c r="AV106" s="985"/>
      <c r="AW106" s="985"/>
      <c r="AX106" s="985"/>
      <c r="AY106" s="985"/>
      <c r="AZ106" s="985"/>
      <c r="BA106" s="985"/>
      <c r="BB106" s="985"/>
      <c r="BC106" s="985"/>
      <c r="BD106" s="985"/>
      <c r="BE106" s="985"/>
      <c r="BF106" s="985"/>
      <c r="BG106" s="985"/>
      <c r="BH106" s="985"/>
      <c r="BI106" s="985"/>
      <c r="BJ106" s="985"/>
    </row>
    <row r="107" spans="1:62" s="984" customFormat="1">
      <c r="A107" s="156"/>
      <c r="B107" s="156"/>
      <c r="C107" s="156"/>
      <c r="D107" s="156"/>
      <c r="E107" s="1196"/>
      <c r="F107" s="1196"/>
      <c r="G107" s="156"/>
      <c r="H107" s="156"/>
      <c r="I107" s="156"/>
      <c r="J107" s="1018" t="s">
        <v>18</v>
      </c>
      <c r="K107" s="1019"/>
      <c r="L107" s="1019"/>
      <c r="M107" s="1020"/>
      <c r="N107" s="1021">
        <f>N103+N106</f>
        <v>1329728.4897477503</v>
      </c>
      <c r="O107" s="156"/>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c r="AL107" s="985"/>
      <c r="AM107" s="985"/>
      <c r="AN107" s="985"/>
      <c r="AO107" s="985"/>
      <c r="AP107" s="985"/>
      <c r="AQ107" s="985"/>
      <c r="AR107" s="985"/>
      <c r="AS107" s="985"/>
      <c r="AT107" s="985"/>
      <c r="AU107" s="985"/>
      <c r="AV107" s="985"/>
      <c r="AW107" s="985"/>
      <c r="AX107" s="985"/>
      <c r="AY107" s="985"/>
      <c r="AZ107" s="985"/>
      <c r="BA107" s="985"/>
      <c r="BB107" s="985"/>
      <c r="BC107" s="985"/>
      <c r="BD107" s="985"/>
      <c r="BE107" s="985"/>
      <c r="BF107" s="985"/>
      <c r="BG107" s="985"/>
      <c r="BH107" s="985"/>
      <c r="BI107" s="985"/>
      <c r="BJ107" s="985"/>
    </row>
    <row r="108" spans="1:62" s="984" customFormat="1">
      <c r="A108" s="156"/>
      <c r="B108" s="156"/>
      <c r="C108" s="156"/>
      <c r="D108" s="156"/>
      <c r="E108" s="1196"/>
      <c r="F108" s="1196"/>
      <c r="G108" s="156"/>
      <c r="H108" s="156"/>
      <c r="I108" s="156"/>
      <c r="J108" s="109"/>
      <c r="K108" s="156"/>
      <c r="L108" s="156"/>
      <c r="M108" s="884"/>
      <c r="N108" s="1005"/>
      <c r="O108" s="156"/>
      <c r="P108" s="985"/>
      <c r="Q108" s="985"/>
      <c r="R108" s="985"/>
      <c r="S108" s="985"/>
      <c r="T108" s="985"/>
      <c r="U108" s="985"/>
      <c r="V108" s="985"/>
      <c r="W108" s="985"/>
      <c r="X108" s="985"/>
      <c r="Y108" s="985"/>
      <c r="Z108" s="985"/>
      <c r="AA108" s="985"/>
      <c r="AB108" s="985"/>
      <c r="AC108" s="985"/>
      <c r="AD108" s="985"/>
      <c r="AE108" s="985"/>
      <c r="AF108" s="985"/>
      <c r="AG108" s="985"/>
      <c r="AH108" s="985"/>
      <c r="AI108" s="985"/>
      <c r="AJ108" s="985"/>
      <c r="AK108" s="985"/>
      <c r="AL108" s="985"/>
      <c r="AM108" s="985"/>
      <c r="AN108" s="985"/>
      <c r="AO108" s="985"/>
      <c r="AP108" s="985"/>
      <c r="AQ108" s="985"/>
      <c r="AR108" s="985"/>
      <c r="AS108" s="985"/>
      <c r="AT108" s="985"/>
      <c r="AU108" s="985"/>
      <c r="AV108" s="985"/>
      <c r="AW108" s="985"/>
      <c r="AX108" s="985"/>
      <c r="AY108" s="985"/>
      <c r="AZ108" s="985"/>
      <c r="BA108" s="985"/>
      <c r="BB108" s="985"/>
      <c r="BC108" s="985"/>
      <c r="BD108" s="985"/>
      <c r="BE108" s="985"/>
      <c r="BF108" s="985"/>
      <c r="BG108" s="985"/>
      <c r="BH108" s="985"/>
      <c r="BI108" s="985"/>
      <c r="BJ108" s="985"/>
    </row>
    <row r="109" spans="1:62" s="984" customFormat="1">
      <c r="A109" s="156"/>
      <c r="B109" s="156"/>
      <c r="C109" s="156"/>
      <c r="D109" s="156"/>
      <c r="E109" s="1196"/>
      <c r="F109" s="1196"/>
      <c r="G109" s="156"/>
      <c r="H109" s="156"/>
      <c r="I109" s="156"/>
      <c r="J109" s="995" t="s">
        <v>328</v>
      </c>
      <c r="K109" s="1012"/>
      <c r="L109" s="997" t="s">
        <v>19</v>
      </c>
      <c r="M109" s="1139" t="s">
        <v>20</v>
      </c>
      <c r="N109" s="1140" t="s">
        <v>7</v>
      </c>
      <c r="O109" s="156"/>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c r="AL109" s="985"/>
      <c r="AM109" s="985"/>
      <c r="AN109" s="985"/>
      <c r="AO109" s="985"/>
      <c r="AP109" s="985"/>
      <c r="AQ109" s="985"/>
      <c r="AR109" s="985"/>
      <c r="AS109" s="985"/>
      <c r="AT109" s="985"/>
      <c r="AU109" s="985"/>
      <c r="AV109" s="985"/>
      <c r="AW109" s="985"/>
      <c r="AX109" s="985"/>
      <c r="AY109" s="985"/>
      <c r="AZ109" s="985"/>
      <c r="BA109" s="985"/>
      <c r="BB109" s="985"/>
      <c r="BC109" s="985"/>
      <c r="BD109" s="985"/>
      <c r="BE109" s="985"/>
      <c r="BF109" s="985"/>
      <c r="BG109" s="985"/>
      <c r="BH109" s="985"/>
      <c r="BI109" s="985"/>
      <c r="BJ109" s="985"/>
    </row>
    <row r="110" spans="1:62" s="984" customFormat="1">
      <c r="A110" s="156"/>
      <c r="B110" s="156"/>
      <c r="C110" s="156"/>
      <c r="D110" s="156"/>
      <c r="E110" s="1196"/>
      <c r="F110" s="1196"/>
      <c r="G110" s="156"/>
      <c r="H110" s="156"/>
      <c r="I110" s="156"/>
      <c r="J110" s="109" t="str">
        <f>B29</f>
        <v xml:space="preserve">  Occupational Therapist</v>
      </c>
      <c r="K110" s="156"/>
      <c r="L110" s="1151">
        <f>D29</f>
        <v>55.04</v>
      </c>
      <c r="M110" s="1004">
        <f>E54*52</f>
        <v>78</v>
      </c>
      <c r="N110" s="1325">
        <f>L110*M110</f>
        <v>4293.12</v>
      </c>
      <c r="O110" s="156"/>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c r="AU110" s="985"/>
      <c r="AV110" s="985"/>
      <c r="AW110" s="985"/>
      <c r="AX110" s="985"/>
      <c r="AY110" s="985"/>
      <c r="AZ110" s="985"/>
      <c r="BA110" s="985"/>
      <c r="BB110" s="985"/>
      <c r="BC110" s="985"/>
      <c r="BD110" s="985"/>
      <c r="BE110" s="985"/>
      <c r="BF110" s="985"/>
      <c r="BG110" s="985"/>
      <c r="BH110" s="985"/>
      <c r="BI110" s="985"/>
      <c r="BJ110" s="985"/>
    </row>
    <row r="111" spans="1:62" s="984" customFormat="1">
      <c r="A111" s="156"/>
      <c r="B111" s="156"/>
      <c r="C111" s="156"/>
      <c r="D111" s="156"/>
      <c r="E111" s="1196"/>
      <c r="F111" s="1196"/>
      <c r="G111" s="156"/>
      <c r="H111" s="156"/>
      <c r="I111" s="156"/>
      <c r="J111" s="121" t="str">
        <f>B30</f>
        <v xml:space="preserve">  LPHA</v>
      </c>
      <c r="K111" s="156"/>
      <c r="L111" s="1358">
        <f>D30</f>
        <v>43.35403429727625</v>
      </c>
      <c r="M111" s="1004">
        <f>E55*52</f>
        <v>78</v>
      </c>
      <c r="N111" s="1017">
        <f>L111*M111</f>
        <v>3381.6146751875476</v>
      </c>
      <c r="O111" s="156"/>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c r="AU111" s="985"/>
      <c r="AV111" s="985"/>
      <c r="AW111" s="985"/>
      <c r="AX111" s="985"/>
      <c r="AY111" s="985"/>
      <c r="AZ111" s="985"/>
      <c r="BA111" s="985"/>
      <c r="BB111" s="985"/>
      <c r="BC111" s="985"/>
      <c r="BD111" s="985"/>
      <c r="BE111" s="985"/>
      <c r="BF111" s="985"/>
      <c r="BG111" s="985"/>
      <c r="BH111" s="985"/>
      <c r="BI111" s="985"/>
      <c r="BJ111" s="985"/>
    </row>
    <row r="112" spans="1:62" s="984" customFormat="1">
      <c r="A112" s="156"/>
      <c r="B112" s="156"/>
      <c r="C112" s="156"/>
      <c r="D112" s="156"/>
      <c r="E112" s="1196"/>
      <c r="F112" s="1196"/>
      <c r="G112" s="156"/>
      <c r="H112" s="156"/>
      <c r="I112" s="156"/>
      <c r="J112" s="1018" t="s">
        <v>21</v>
      </c>
      <c r="K112" s="1019"/>
      <c r="L112" s="1019"/>
      <c r="M112" s="1019"/>
      <c r="N112" s="1021">
        <f>SUM(N110:N111)</f>
        <v>7674.7346751875475</v>
      </c>
      <c r="O112" s="156"/>
      <c r="P112" s="985"/>
      <c r="Q112" s="985"/>
      <c r="R112" s="985"/>
      <c r="S112" s="985"/>
      <c r="T112" s="985"/>
      <c r="U112" s="985"/>
      <c r="V112" s="985"/>
      <c r="W112" s="985"/>
      <c r="X112" s="985"/>
      <c r="Y112" s="985"/>
      <c r="Z112" s="985"/>
      <c r="AA112" s="985"/>
      <c r="AB112" s="985"/>
      <c r="AC112" s="985"/>
      <c r="AD112" s="985"/>
      <c r="AE112" s="985"/>
      <c r="AF112" s="985"/>
      <c r="AG112" s="985"/>
      <c r="AH112" s="985"/>
      <c r="AI112" s="985"/>
      <c r="AJ112" s="985"/>
      <c r="AK112" s="985"/>
      <c r="AL112" s="985"/>
      <c r="AM112" s="985"/>
      <c r="AN112" s="985"/>
      <c r="AO112" s="985"/>
      <c r="AP112" s="985"/>
      <c r="AQ112" s="985"/>
      <c r="AR112" s="985"/>
      <c r="AS112" s="985"/>
      <c r="AT112" s="985"/>
      <c r="AU112" s="985"/>
      <c r="AV112" s="985"/>
      <c r="AW112" s="985"/>
      <c r="AX112" s="985"/>
      <c r="AY112" s="985"/>
      <c r="AZ112" s="985"/>
      <c r="BA112" s="985"/>
      <c r="BB112" s="985"/>
      <c r="BC112" s="985"/>
      <c r="BD112" s="985"/>
      <c r="BE112" s="985"/>
      <c r="BF112" s="985"/>
      <c r="BG112" s="985"/>
      <c r="BH112" s="985"/>
      <c r="BI112" s="985"/>
      <c r="BJ112" s="985"/>
    </row>
    <row r="113" spans="1:62" s="984" customFormat="1">
      <c r="A113" s="156"/>
      <c r="B113" s="156"/>
      <c r="C113" s="156"/>
      <c r="D113" s="156"/>
      <c r="E113" s="1196"/>
      <c r="F113" s="1196"/>
      <c r="G113" s="156"/>
      <c r="H113" s="156"/>
      <c r="I113" s="156"/>
      <c r="J113" s="109"/>
      <c r="K113" s="156"/>
      <c r="L113" s="156"/>
      <c r="M113" s="1442"/>
      <c r="N113" s="1017"/>
      <c r="O113" s="156"/>
      <c r="P113" s="985"/>
      <c r="Q113" s="985"/>
      <c r="R113" s="985"/>
      <c r="S113" s="985"/>
      <c r="T113" s="985"/>
      <c r="U113" s="985"/>
      <c r="V113" s="985"/>
      <c r="W113" s="985"/>
      <c r="X113" s="985"/>
      <c r="Y113" s="985"/>
      <c r="Z113" s="985"/>
      <c r="AA113" s="985"/>
      <c r="AB113" s="985"/>
      <c r="AC113" s="985"/>
      <c r="AD113" s="985"/>
      <c r="AE113" s="985"/>
      <c r="AF113" s="985"/>
      <c r="AG113" s="985"/>
      <c r="AH113" s="985"/>
      <c r="AI113" s="985"/>
      <c r="AJ113" s="985"/>
      <c r="AK113" s="985"/>
      <c r="AL113" s="985"/>
      <c r="AM113" s="985"/>
      <c r="AN113" s="985"/>
      <c r="AO113" s="985"/>
      <c r="AP113" s="985"/>
      <c r="AQ113" s="985"/>
      <c r="AR113" s="985"/>
      <c r="AS113" s="985"/>
      <c r="AT113" s="985"/>
      <c r="AU113" s="985"/>
      <c r="AV113" s="985"/>
      <c r="AW113" s="985"/>
      <c r="AX113" s="985"/>
      <c r="AY113" s="985"/>
      <c r="AZ113" s="985"/>
      <c r="BA113" s="985"/>
      <c r="BB113" s="985"/>
      <c r="BC113" s="985"/>
      <c r="BD113" s="985"/>
      <c r="BE113" s="985"/>
      <c r="BF113" s="985"/>
      <c r="BG113" s="985"/>
      <c r="BH113" s="985"/>
      <c r="BI113" s="985"/>
      <c r="BJ113" s="985"/>
    </row>
    <row r="114" spans="1:62" s="984" customFormat="1">
      <c r="A114" s="156"/>
      <c r="B114" s="156"/>
      <c r="C114" s="156"/>
      <c r="D114" s="156"/>
      <c r="E114" s="1196"/>
      <c r="F114" s="1196"/>
      <c r="G114" s="156"/>
      <c r="H114" s="156"/>
      <c r="I114" s="156"/>
      <c r="J114" s="1356" t="str">
        <f>B33</f>
        <v xml:space="preserve"> Staff Training</v>
      </c>
      <c r="K114" s="156"/>
      <c r="L114" s="156"/>
      <c r="M114" s="1151">
        <f ca="1">D33</f>
        <v>192.10807561388694</v>
      </c>
      <c r="N114" s="1311">
        <f ca="1">M114*M103</f>
        <v>3878.6620466443774</v>
      </c>
      <c r="O114" s="156"/>
      <c r="P114" s="985"/>
      <c r="Q114" s="985"/>
      <c r="R114" s="985"/>
      <c r="S114" s="985"/>
      <c r="T114" s="985"/>
      <c r="U114" s="985"/>
      <c r="V114" s="985"/>
      <c r="W114" s="985"/>
      <c r="X114" s="985"/>
      <c r="Y114" s="985"/>
      <c r="Z114" s="985"/>
      <c r="AA114" s="985"/>
      <c r="AB114" s="985"/>
      <c r="AC114" s="985"/>
      <c r="AD114" s="985"/>
      <c r="AE114" s="985"/>
      <c r="AF114" s="985"/>
      <c r="AG114" s="985"/>
      <c r="AH114" s="985"/>
      <c r="AI114" s="985"/>
      <c r="AJ114" s="985"/>
      <c r="AK114" s="985"/>
      <c r="AL114" s="985"/>
      <c r="AM114" s="985"/>
      <c r="AN114" s="985"/>
      <c r="AO114" s="985"/>
      <c r="AP114" s="985"/>
      <c r="AQ114" s="985"/>
      <c r="AR114" s="985"/>
      <c r="AS114" s="985"/>
      <c r="AT114" s="985"/>
      <c r="AU114" s="985"/>
      <c r="AV114" s="985"/>
      <c r="AW114" s="985"/>
      <c r="AX114" s="985"/>
      <c r="AY114" s="985"/>
      <c r="AZ114" s="985"/>
      <c r="BA114" s="985"/>
      <c r="BB114" s="985"/>
      <c r="BC114" s="985"/>
      <c r="BD114" s="985"/>
      <c r="BE114" s="985"/>
      <c r="BF114" s="985"/>
      <c r="BG114" s="985"/>
      <c r="BH114" s="985"/>
      <c r="BI114" s="985"/>
      <c r="BJ114" s="985"/>
    </row>
    <row r="115" spans="1:62" s="984" customFormat="1">
      <c r="A115" s="156"/>
      <c r="B115" s="156"/>
      <c r="C115" s="156"/>
      <c r="D115" s="156"/>
      <c r="E115" s="1196"/>
      <c r="F115" s="1196"/>
      <c r="G115" s="156"/>
      <c r="H115" s="156"/>
      <c r="I115" s="156"/>
      <c r="J115" s="109" t="str">
        <f>B34</f>
        <v xml:space="preserve">  Transportation</v>
      </c>
      <c r="K115" s="156"/>
      <c r="L115" s="156"/>
      <c r="M115" s="1151">
        <f>M76</f>
        <v>2.0190812303224459</v>
      </c>
      <c r="N115" s="1359">
        <f>M115*N90</f>
        <v>8106.6111397446202</v>
      </c>
      <c r="O115" s="156"/>
      <c r="P115" s="985"/>
      <c r="Q115" s="985"/>
      <c r="R115" s="985"/>
      <c r="S115" s="985"/>
      <c r="T115" s="985"/>
      <c r="U115" s="985"/>
      <c r="V115" s="985"/>
      <c r="W115" s="985"/>
      <c r="X115" s="985"/>
      <c r="Y115" s="985"/>
      <c r="Z115" s="985"/>
      <c r="AA115" s="985"/>
      <c r="AB115" s="985"/>
      <c r="AC115" s="985"/>
      <c r="AD115" s="985"/>
      <c r="AE115" s="985"/>
      <c r="AF115" s="985"/>
      <c r="AG115" s="985"/>
      <c r="AH115" s="985"/>
      <c r="AI115" s="985"/>
      <c r="AJ115" s="985"/>
      <c r="AK115" s="985"/>
      <c r="AL115" s="985"/>
      <c r="AM115" s="985"/>
      <c r="AN115" s="985"/>
      <c r="AO115" s="985"/>
      <c r="AP115" s="985"/>
      <c r="AQ115" s="985"/>
      <c r="AR115" s="985"/>
      <c r="AS115" s="985"/>
      <c r="AT115" s="985"/>
      <c r="AU115" s="985"/>
      <c r="AV115" s="985"/>
      <c r="AW115" s="985"/>
      <c r="AX115" s="985"/>
      <c r="AY115" s="985"/>
      <c r="AZ115" s="985"/>
      <c r="BA115" s="985"/>
      <c r="BB115" s="985"/>
      <c r="BC115" s="985"/>
      <c r="BD115" s="985"/>
      <c r="BE115" s="985"/>
      <c r="BF115" s="985"/>
      <c r="BG115" s="985"/>
      <c r="BH115" s="985"/>
      <c r="BI115" s="985"/>
      <c r="BJ115" s="985"/>
    </row>
    <row r="116" spans="1:62" s="984" customFormat="1">
      <c r="A116" s="156"/>
      <c r="B116" s="156"/>
      <c r="C116" s="156"/>
      <c r="D116" s="156"/>
      <c r="E116" s="1196"/>
      <c r="F116" s="1196"/>
      <c r="G116" s="156"/>
      <c r="H116" s="156"/>
      <c r="I116" s="156"/>
      <c r="J116" s="109" t="s">
        <v>1108</v>
      </c>
      <c r="K116" s="156"/>
      <c r="L116" s="156"/>
      <c r="M116" s="1358">
        <f>D36</f>
        <v>10.004761904761907</v>
      </c>
      <c r="N116" s="1311">
        <f>M116*N90</f>
        <v>40169.119047619053</v>
      </c>
      <c r="O116" s="156"/>
      <c r="P116" s="985"/>
      <c r="Q116" s="985"/>
      <c r="R116" s="985"/>
      <c r="S116" s="985"/>
      <c r="T116" s="985"/>
      <c r="U116" s="985"/>
      <c r="V116" s="985"/>
      <c r="W116" s="985"/>
      <c r="X116" s="985"/>
      <c r="Y116" s="985"/>
      <c r="Z116" s="985"/>
      <c r="AA116" s="985"/>
      <c r="AB116" s="985"/>
      <c r="AC116" s="985"/>
      <c r="AD116" s="985"/>
      <c r="AE116" s="985"/>
      <c r="AF116" s="985"/>
      <c r="AG116" s="985"/>
      <c r="AH116" s="985"/>
      <c r="AI116" s="985"/>
      <c r="AJ116" s="985"/>
      <c r="AK116" s="985"/>
      <c r="AL116" s="985"/>
      <c r="AM116" s="985"/>
      <c r="AN116" s="985"/>
      <c r="AO116" s="985"/>
      <c r="AP116" s="985"/>
      <c r="AQ116" s="985"/>
      <c r="AR116" s="985"/>
      <c r="AS116" s="985"/>
      <c r="AT116" s="985"/>
      <c r="AU116" s="985"/>
      <c r="AV116" s="985"/>
      <c r="AW116" s="985"/>
      <c r="AX116" s="985"/>
      <c r="AY116" s="985"/>
      <c r="AZ116" s="985"/>
      <c r="BA116" s="985"/>
      <c r="BB116" s="985"/>
      <c r="BC116" s="985"/>
      <c r="BD116" s="985"/>
      <c r="BE116" s="985"/>
      <c r="BF116" s="985"/>
      <c r="BG116" s="985"/>
      <c r="BH116" s="985"/>
      <c r="BI116" s="985"/>
      <c r="BJ116" s="985"/>
    </row>
    <row r="117" spans="1:62" s="984" customFormat="1" ht="13.5" thickBot="1">
      <c r="A117" s="156"/>
      <c r="B117" s="156"/>
      <c r="C117" s="156"/>
      <c r="D117" s="156"/>
      <c r="E117" s="1196"/>
      <c r="F117" s="1196"/>
      <c r="G117" s="156"/>
      <c r="H117" s="156"/>
      <c r="I117" s="156"/>
      <c r="J117" s="291" t="str">
        <f>B35</f>
        <v xml:space="preserve">  Program Supplies &amp; Materials</v>
      </c>
      <c r="K117" s="156"/>
      <c r="L117" s="156"/>
      <c r="M117" s="1151">
        <f ca="1">D35</f>
        <v>693.71474143152727</v>
      </c>
      <c r="N117" s="1364">
        <f ca="1">M117*M103</f>
        <v>14006.100629502536</v>
      </c>
      <c r="O117" s="156"/>
      <c r="P117" s="985"/>
      <c r="Q117" s="985"/>
      <c r="R117" s="985"/>
      <c r="S117" s="985"/>
      <c r="T117" s="985"/>
      <c r="U117" s="985"/>
      <c r="V117" s="985"/>
      <c r="W117" s="985"/>
      <c r="X117" s="985"/>
      <c r="Y117" s="985"/>
      <c r="Z117" s="985"/>
      <c r="AA117" s="985"/>
      <c r="AB117" s="985"/>
      <c r="AC117" s="985"/>
      <c r="AD117" s="985"/>
      <c r="AE117" s="985"/>
      <c r="AF117" s="985"/>
      <c r="AG117" s="985"/>
      <c r="AH117" s="985"/>
      <c r="AI117" s="985"/>
      <c r="AJ117" s="985"/>
      <c r="AK117" s="985"/>
      <c r="AL117" s="985"/>
      <c r="AM117" s="985"/>
      <c r="AN117" s="985"/>
      <c r="AO117" s="985"/>
      <c r="AP117" s="985"/>
      <c r="AQ117" s="985"/>
      <c r="AR117" s="985"/>
      <c r="AS117" s="985"/>
      <c r="AT117" s="985"/>
      <c r="AU117" s="985"/>
      <c r="AV117" s="985"/>
      <c r="AW117" s="985"/>
      <c r="AX117" s="985"/>
      <c r="AY117" s="985"/>
      <c r="AZ117" s="985"/>
      <c r="BA117" s="985"/>
      <c r="BB117" s="985"/>
      <c r="BC117" s="985"/>
      <c r="BD117" s="985"/>
      <c r="BE117" s="985"/>
      <c r="BF117" s="985"/>
      <c r="BG117" s="985"/>
      <c r="BH117" s="985"/>
      <c r="BI117" s="985"/>
      <c r="BJ117" s="985"/>
    </row>
    <row r="118" spans="1:62" s="984" customFormat="1" ht="13.5" thickTop="1">
      <c r="A118" s="156"/>
      <c r="B118" s="156"/>
      <c r="C118" s="156"/>
      <c r="D118" s="156"/>
      <c r="E118" s="1196"/>
      <c r="F118" s="1196"/>
      <c r="G118" s="156"/>
      <c r="H118" s="156"/>
      <c r="I118" s="156"/>
      <c r="J118" s="109"/>
      <c r="K118" s="156"/>
      <c r="L118" s="156"/>
      <c r="M118" s="1151"/>
      <c r="N118" s="885">
        <f ca="1">SUM(N113:N117)</f>
        <v>66160.49286351059</v>
      </c>
      <c r="O118" s="156"/>
      <c r="P118" s="985"/>
      <c r="Q118" s="985"/>
      <c r="R118" s="985"/>
      <c r="S118" s="985"/>
      <c r="T118" s="985"/>
      <c r="U118" s="985"/>
      <c r="V118" s="985"/>
      <c r="W118" s="985"/>
      <c r="X118" s="985"/>
      <c r="Y118" s="985"/>
      <c r="Z118" s="985"/>
      <c r="AA118" s="985"/>
      <c r="AB118" s="985"/>
      <c r="AC118" s="985"/>
      <c r="AD118" s="985"/>
      <c r="AE118" s="985"/>
      <c r="AF118" s="985"/>
      <c r="AG118" s="985"/>
      <c r="AH118" s="985"/>
      <c r="AI118" s="985"/>
      <c r="AJ118" s="985"/>
      <c r="AK118" s="985"/>
      <c r="AL118" s="985"/>
      <c r="AM118" s="985"/>
      <c r="AN118" s="985"/>
      <c r="AO118" s="985"/>
      <c r="AP118" s="985"/>
      <c r="AQ118" s="985"/>
      <c r="AR118" s="985"/>
      <c r="AS118" s="985"/>
      <c r="AT118" s="985"/>
      <c r="AU118" s="985"/>
      <c r="AV118" s="985"/>
      <c r="AW118" s="985"/>
      <c r="AX118" s="985"/>
      <c r="AY118" s="985"/>
      <c r="AZ118" s="985"/>
      <c r="BA118" s="985"/>
      <c r="BB118" s="985"/>
      <c r="BC118" s="985"/>
      <c r="BD118" s="985"/>
      <c r="BE118" s="985"/>
      <c r="BF118" s="985"/>
      <c r="BG118" s="985"/>
      <c r="BH118" s="985"/>
      <c r="BI118" s="985"/>
      <c r="BJ118" s="985"/>
    </row>
    <row r="119" spans="1:62" s="984" customFormat="1">
      <c r="A119" s="156"/>
      <c r="B119" s="156"/>
      <c r="C119" s="156"/>
      <c r="D119" s="156"/>
      <c r="E119" s="1196"/>
      <c r="F119" s="1196"/>
      <c r="G119" s="156"/>
      <c r="H119" s="156"/>
      <c r="I119" s="156"/>
      <c r="J119" s="1018" t="s">
        <v>23</v>
      </c>
      <c r="K119" s="1019"/>
      <c r="L119" s="1019"/>
      <c r="M119" s="1019"/>
      <c r="N119" s="1030">
        <f ca="1">SUM(N107,N112,N118)</f>
        <v>1403563.7172864485</v>
      </c>
      <c r="O119" s="156"/>
      <c r="P119" s="985"/>
      <c r="Q119" s="985"/>
      <c r="R119" s="985"/>
      <c r="S119" s="985"/>
      <c r="T119" s="985"/>
      <c r="U119" s="985"/>
      <c r="V119" s="985"/>
      <c r="W119" s="985"/>
      <c r="X119" s="985"/>
      <c r="Y119" s="985"/>
      <c r="Z119" s="985"/>
      <c r="AA119" s="985"/>
      <c r="AB119" s="985"/>
      <c r="AC119" s="985"/>
      <c r="AD119" s="985"/>
      <c r="AE119" s="985"/>
      <c r="AF119" s="985"/>
      <c r="AG119" s="985"/>
      <c r="AH119" s="985"/>
      <c r="AI119" s="985"/>
      <c r="AJ119" s="985"/>
      <c r="AK119" s="985"/>
      <c r="AL119" s="985"/>
      <c r="AM119" s="985"/>
      <c r="AN119" s="985"/>
      <c r="AO119" s="985"/>
      <c r="AP119" s="985"/>
      <c r="AQ119" s="985"/>
      <c r="AR119" s="985"/>
      <c r="AS119" s="985"/>
      <c r="AT119" s="985"/>
      <c r="AU119" s="985"/>
      <c r="AV119" s="985"/>
      <c r="AW119" s="985"/>
      <c r="AX119" s="985"/>
      <c r="AY119" s="985"/>
      <c r="AZ119" s="985"/>
      <c r="BA119" s="985"/>
      <c r="BB119" s="985"/>
      <c r="BC119" s="985"/>
      <c r="BD119" s="985"/>
      <c r="BE119" s="985"/>
      <c r="BF119" s="985"/>
      <c r="BG119" s="985"/>
      <c r="BH119" s="985"/>
      <c r="BI119" s="985"/>
      <c r="BJ119" s="985"/>
    </row>
    <row r="120" spans="1:62" s="984" customFormat="1">
      <c r="A120" s="156"/>
      <c r="B120" s="156"/>
      <c r="C120" s="156"/>
      <c r="D120" s="156"/>
      <c r="E120" s="1196"/>
      <c r="F120" s="1196"/>
      <c r="G120" s="156"/>
      <c r="H120" s="156"/>
      <c r="I120" s="156"/>
      <c r="J120" s="109" t="s">
        <v>24</v>
      </c>
      <c r="K120" s="156"/>
      <c r="L120" s="1033">
        <f>D38</f>
        <v>0.12</v>
      </c>
      <c r="M120" s="156"/>
      <c r="N120" s="1017">
        <f ca="1">L120*N119</f>
        <v>168427.6460743738</v>
      </c>
      <c r="O120" s="156"/>
      <c r="P120" s="985"/>
      <c r="Q120" s="985"/>
      <c r="R120" s="985"/>
      <c r="S120" s="985"/>
      <c r="T120" s="985"/>
      <c r="U120" s="985"/>
      <c r="V120" s="985"/>
      <c r="W120" s="985"/>
      <c r="X120" s="985"/>
      <c r="Y120" s="985"/>
      <c r="Z120" s="985"/>
      <c r="AA120" s="985"/>
      <c r="AB120" s="985"/>
      <c r="AC120" s="985"/>
      <c r="AD120" s="985"/>
      <c r="AE120" s="985"/>
      <c r="AF120" s="985"/>
      <c r="AG120" s="985"/>
      <c r="AH120" s="985"/>
      <c r="AI120" s="985"/>
      <c r="AJ120" s="985"/>
      <c r="AK120" s="985"/>
      <c r="AL120" s="985"/>
      <c r="AM120" s="985"/>
      <c r="AN120" s="985"/>
      <c r="AO120" s="985"/>
      <c r="AP120" s="985"/>
      <c r="AQ120" s="985"/>
      <c r="AR120" s="985"/>
      <c r="AS120" s="985"/>
      <c r="AT120" s="985"/>
      <c r="AU120" s="985"/>
      <c r="AV120" s="985"/>
      <c r="AW120" s="985"/>
      <c r="AX120" s="985"/>
      <c r="AY120" s="985"/>
      <c r="AZ120" s="985"/>
      <c r="BA120" s="985"/>
      <c r="BB120" s="985"/>
      <c r="BC120" s="985"/>
      <c r="BD120" s="985"/>
      <c r="BE120" s="985"/>
      <c r="BF120" s="985"/>
      <c r="BG120" s="985"/>
      <c r="BH120" s="985"/>
      <c r="BI120" s="985"/>
      <c r="BJ120" s="985"/>
    </row>
    <row r="121" spans="1:62" s="984" customFormat="1" ht="13.5" thickBot="1">
      <c r="A121" s="156"/>
      <c r="B121" s="156"/>
      <c r="C121" s="156"/>
      <c r="D121" s="156"/>
      <c r="E121" s="1196"/>
      <c r="F121" s="1196"/>
      <c r="G121" s="156"/>
      <c r="H121" s="156"/>
      <c r="I121" s="156"/>
      <c r="J121" s="1042" t="s">
        <v>25</v>
      </c>
      <c r="K121" s="1328"/>
      <c r="L121" s="1328"/>
      <c r="M121" s="1328"/>
      <c r="N121" s="1044">
        <f ca="1">SUM(N119:N120)</f>
        <v>1571991.3633608222</v>
      </c>
      <c r="O121" s="156"/>
      <c r="P121" s="985"/>
      <c r="Q121" s="985"/>
      <c r="R121" s="985"/>
      <c r="S121" s="985"/>
      <c r="T121" s="985"/>
      <c r="U121" s="985"/>
      <c r="V121" s="985"/>
      <c r="W121" s="985"/>
      <c r="X121" s="985"/>
      <c r="Y121" s="985"/>
      <c r="Z121" s="985"/>
      <c r="AA121" s="985"/>
      <c r="AB121" s="985"/>
      <c r="AC121" s="985"/>
      <c r="AD121" s="985"/>
      <c r="AE121" s="985"/>
      <c r="AF121" s="985"/>
      <c r="AG121" s="985"/>
      <c r="AH121" s="985"/>
      <c r="AI121" s="985"/>
      <c r="AJ121" s="985"/>
      <c r="AK121" s="985"/>
      <c r="AL121" s="985"/>
      <c r="AM121" s="985"/>
      <c r="AN121" s="985"/>
      <c r="AO121" s="985"/>
      <c r="AP121" s="985"/>
      <c r="AQ121" s="985"/>
      <c r="AR121" s="985"/>
      <c r="AS121" s="985"/>
      <c r="AT121" s="985"/>
      <c r="AU121" s="985"/>
      <c r="AV121" s="985"/>
      <c r="AW121" s="985"/>
      <c r="AX121" s="985"/>
      <c r="AY121" s="985"/>
      <c r="AZ121" s="985"/>
      <c r="BA121" s="985"/>
      <c r="BB121" s="985"/>
      <c r="BC121" s="985"/>
      <c r="BD121" s="985"/>
      <c r="BE121" s="985"/>
      <c r="BF121" s="985"/>
      <c r="BG121" s="985"/>
      <c r="BH121" s="985"/>
      <c r="BI121" s="985"/>
      <c r="BJ121" s="985"/>
    </row>
    <row r="122" spans="1:62" s="984" customFormat="1" ht="14.25" thickTop="1" thickBot="1">
      <c r="A122" s="156"/>
      <c r="B122" s="156"/>
      <c r="C122" s="156"/>
      <c r="D122" s="156"/>
      <c r="E122" s="1196"/>
      <c r="F122" s="1196"/>
      <c r="G122" s="156"/>
      <c r="H122" s="156"/>
      <c r="I122" s="156"/>
      <c r="J122" s="109" t="s">
        <v>26</v>
      </c>
      <c r="K122" s="156"/>
      <c r="L122" s="1447">
        <f>D40</f>
        <v>2.5758086673353865E-2</v>
      </c>
      <c r="M122" s="156"/>
      <c r="N122" s="1046">
        <f ca="1">N121+(N121*L122)-(N103*L122)</f>
        <v>1585593.8111548244</v>
      </c>
      <c r="O122" s="156"/>
      <c r="P122" s="985"/>
      <c r="Q122" s="985"/>
      <c r="R122" s="985"/>
      <c r="S122" s="985"/>
      <c r="T122" s="985"/>
      <c r="U122" s="985"/>
      <c r="V122" s="985"/>
      <c r="W122" s="985"/>
      <c r="X122" s="985"/>
      <c r="Y122" s="985"/>
      <c r="Z122" s="985"/>
      <c r="AA122" s="985"/>
      <c r="AB122" s="985"/>
      <c r="AC122" s="985"/>
      <c r="AD122" s="985"/>
      <c r="AE122" s="985"/>
      <c r="AF122" s="985"/>
      <c r="AG122" s="985"/>
      <c r="AH122" s="985"/>
      <c r="AI122" s="985"/>
      <c r="AJ122" s="985"/>
      <c r="AK122" s="985"/>
      <c r="AL122" s="985"/>
      <c r="AM122" s="985"/>
      <c r="AN122" s="985"/>
      <c r="AO122" s="985"/>
      <c r="AP122" s="985"/>
      <c r="AQ122" s="985"/>
      <c r="AR122" s="985"/>
      <c r="AS122" s="985"/>
      <c r="AT122" s="985"/>
      <c r="AU122" s="985"/>
      <c r="AV122" s="985"/>
      <c r="AW122" s="985"/>
      <c r="AX122" s="985"/>
      <c r="AY122" s="985"/>
      <c r="AZ122" s="985"/>
      <c r="BA122" s="985"/>
      <c r="BB122" s="985"/>
      <c r="BC122" s="985"/>
      <c r="BD122" s="985"/>
      <c r="BE122" s="985"/>
      <c r="BF122" s="985"/>
      <c r="BG122" s="985"/>
      <c r="BH122" s="985"/>
      <c r="BI122" s="985"/>
      <c r="BJ122" s="985"/>
    </row>
    <row r="123" spans="1:62" s="984" customFormat="1" ht="13.5" thickBot="1">
      <c r="A123" s="156"/>
      <c r="B123" s="156"/>
      <c r="C123" s="156"/>
      <c r="D123" s="156"/>
      <c r="E123" s="1196"/>
      <c r="F123" s="1196"/>
      <c r="G123" s="156"/>
      <c r="H123" s="156"/>
      <c r="I123" s="156"/>
      <c r="J123" s="1329" t="s">
        <v>794</v>
      </c>
      <c r="K123" s="1330"/>
      <c r="L123" s="1330"/>
      <c r="M123" s="1330"/>
      <c r="N123" s="2067">
        <f ca="1">N122/N90</f>
        <v>394.91751211826261</v>
      </c>
      <c r="O123" s="156"/>
      <c r="P123" s="985"/>
      <c r="Q123" s="985"/>
      <c r="R123" s="985"/>
      <c r="S123" s="985"/>
      <c r="T123" s="985"/>
      <c r="U123" s="985"/>
      <c r="V123" s="985"/>
      <c r="W123" s="985"/>
      <c r="X123" s="985"/>
      <c r="Y123" s="985"/>
      <c r="Z123" s="985"/>
      <c r="AA123" s="985"/>
      <c r="AB123" s="985"/>
      <c r="AC123" s="985"/>
      <c r="AD123" s="985"/>
      <c r="AE123" s="985"/>
      <c r="AF123" s="985"/>
      <c r="AG123" s="985"/>
      <c r="AH123" s="985"/>
      <c r="AI123" s="985"/>
      <c r="AJ123" s="985"/>
      <c r="AK123" s="985"/>
      <c r="AL123" s="985"/>
      <c r="AM123" s="985"/>
      <c r="AN123" s="985"/>
      <c r="AO123" s="985"/>
      <c r="AP123" s="985"/>
      <c r="AQ123" s="985"/>
      <c r="AR123" s="985"/>
      <c r="AS123" s="985"/>
      <c r="AT123" s="985"/>
      <c r="AU123" s="985"/>
      <c r="AV123" s="985"/>
      <c r="AW123" s="985"/>
      <c r="AX123" s="985"/>
      <c r="AY123" s="985"/>
      <c r="AZ123" s="985"/>
      <c r="BA123" s="985"/>
      <c r="BB123" s="985"/>
      <c r="BC123" s="985"/>
      <c r="BD123" s="985"/>
      <c r="BE123" s="985"/>
      <c r="BF123" s="985"/>
      <c r="BG123" s="985"/>
      <c r="BH123" s="985"/>
      <c r="BI123" s="985"/>
      <c r="BJ123" s="985"/>
    </row>
    <row r="124" spans="1:62" s="984" customFormat="1">
      <c r="A124" s="156"/>
      <c r="B124" s="156"/>
      <c r="C124" s="156"/>
      <c r="D124" s="156"/>
      <c r="E124" s="1196"/>
      <c r="F124" s="1196"/>
      <c r="G124" s="156"/>
      <c r="H124" s="156"/>
      <c r="I124" s="156"/>
      <c r="J124" s="156"/>
      <c r="K124" s="156"/>
      <c r="L124" s="156"/>
      <c r="M124" s="156" t="s">
        <v>783</v>
      </c>
      <c r="N124" s="1320">
        <v>328.56</v>
      </c>
      <c r="O124" s="156"/>
      <c r="P124" s="985"/>
      <c r="Q124" s="985"/>
      <c r="R124" s="985"/>
      <c r="S124" s="985"/>
      <c r="T124" s="985"/>
      <c r="U124" s="985"/>
      <c r="V124" s="985"/>
      <c r="W124" s="985"/>
      <c r="X124" s="985"/>
      <c r="Y124" s="985"/>
      <c r="Z124" s="985"/>
      <c r="AA124" s="985"/>
      <c r="AB124" s="985"/>
      <c r="AC124" s="985"/>
      <c r="AD124" s="985"/>
      <c r="AE124" s="985"/>
      <c r="AF124" s="985"/>
      <c r="AG124" s="985"/>
      <c r="AH124" s="985"/>
      <c r="AI124" s="985"/>
      <c r="AJ124" s="985"/>
      <c r="AK124" s="985"/>
      <c r="AL124" s="985"/>
      <c r="AM124" s="985"/>
      <c r="AN124" s="985"/>
      <c r="AO124" s="985"/>
      <c r="AP124" s="985"/>
      <c r="AQ124" s="985"/>
      <c r="AR124" s="985"/>
      <c r="AS124" s="985"/>
      <c r="AT124" s="985"/>
      <c r="AU124" s="985"/>
      <c r="AV124" s="985"/>
      <c r="AW124" s="985"/>
      <c r="AX124" s="985"/>
      <c r="AY124" s="985"/>
      <c r="AZ124" s="985"/>
      <c r="BA124" s="985"/>
      <c r="BB124" s="985"/>
      <c r="BC124" s="985"/>
      <c r="BD124" s="985"/>
      <c r="BE124" s="985"/>
      <c r="BF124" s="985"/>
      <c r="BG124" s="985"/>
      <c r="BH124" s="985"/>
      <c r="BI124" s="985"/>
      <c r="BJ124" s="985"/>
    </row>
    <row r="125" spans="1:62" s="985" customFormat="1">
      <c r="A125" s="156"/>
      <c r="B125" s="156"/>
      <c r="C125" s="156"/>
      <c r="D125" s="156"/>
      <c r="E125" s="1196"/>
      <c r="F125" s="1196"/>
      <c r="G125" s="156"/>
      <c r="H125" s="156"/>
      <c r="I125" s="156"/>
      <c r="J125" s="156"/>
      <c r="K125" s="156"/>
      <c r="L125" s="156"/>
      <c r="M125" s="156"/>
      <c r="N125" s="884">
        <f ca="1">N123-N124</f>
        <v>66.357512118262605</v>
      </c>
      <c r="O125" s="156"/>
    </row>
    <row r="126" spans="1:62" s="985" customFormat="1">
      <c r="A126" s="156"/>
      <c r="B126" s="156"/>
      <c r="C126" s="156"/>
      <c r="D126" s="156"/>
      <c r="E126" s="1196"/>
      <c r="F126" s="1196"/>
      <c r="G126" s="156"/>
      <c r="H126" s="156"/>
      <c r="I126" s="156"/>
      <c r="J126" s="156"/>
      <c r="K126" s="156"/>
      <c r="L126" s="156"/>
      <c r="M126" s="156"/>
      <c r="N126" s="1321">
        <f ca="1">(N123-N124)/N124</f>
        <v>0.20196467043542307</v>
      </c>
      <c r="O126" s="156"/>
    </row>
    <row r="127" spans="1:62" s="985" customFormat="1">
      <c r="A127" s="156"/>
      <c r="B127" s="156"/>
      <c r="C127" s="156"/>
      <c r="D127" s="156"/>
      <c r="E127" s="1196"/>
      <c r="F127" s="1196"/>
      <c r="G127" s="156"/>
      <c r="H127" s="156"/>
      <c r="I127" s="156"/>
      <c r="J127" s="156"/>
      <c r="K127" s="156"/>
      <c r="L127" s="156"/>
      <c r="M127" s="156"/>
      <c r="N127" s="156"/>
      <c r="O127" s="156"/>
    </row>
    <row r="128" spans="1:62" s="985" customFormat="1">
      <c r="A128" s="156"/>
      <c r="B128" s="156"/>
      <c r="C128" s="156"/>
      <c r="D128" s="156"/>
      <c r="E128" s="1196"/>
      <c r="F128" s="1196"/>
      <c r="G128" s="156"/>
      <c r="H128" s="156"/>
      <c r="I128" s="156"/>
      <c r="J128" s="156"/>
      <c r="K128" s="156"/>
      <c r="L128" s="156"/>
      <c r="M128" s="156"/>
      <c r="N128" s="156"/>
      <c r="O128" s="156"/>
    </row>
    <row r="129" spans="1:15" s="985" customFormat="1">
      <c r="A129" s="156"/>
      <c r="B129" s="156"/>
      <c r="C129" s="156"/>
      <c r="D129" s="156"/>
      <c r="E129" s="1196"/>
      <c r="F129" s="1196"/>
      <c r="G129" s="156"/>
      <c r="H129" s="156"/>
      <c r="I129" s="156"/>
      <c r="J129" s="156"/>
      <c r="K129" s="156"/>
      <c r="L129" s="156"/>
      <c r="M129" s="156"/>
      <c r="N129" s="156"/>
      <c r="O129" s="156"/>
    </row>
    <row r="130" spans="1:15" s="985" customFormat="1">
      <c r="A130" s="156"/>
      <c r="B130" s="156"/>
      <c r="C130" s="156"/>
      <c r="D130" s="156"/>
      <c r="E130" s="1196"/>
      <c r="F130" s="1196"/>
      <c r="G130" s="156"/>
      <c r="H130" s="156"/>
      <c r="I130" s="156"/>
      <c r="J130" s="156"/>
      <c r="K130" s="156"/>
      <c r="L130" s="156"/>
      <c r="M130" s="156"/>
      <c r="N130" s="156"/>
      <c r="O130" s="156"/>
    </row>
    <row r="131" spans="1:15" s="985" customFormat="1">
      <c r="A131" s="156"/>
      <c r="B131" s="156"/>
      <c r="C131" s="156"/>
      <c r="D131" s="156"/>
      <c r="E131" s="1196"/>
      <c r="F131" s="1196"/>
      <c r="G131" s="156"/>
      <c r="H131" s="156"/>
      <c r="I131" s="156"/>
      <c r="J131" s="156"/>
      <c r="K131" s="156"/>
      <c r="L131" s="156"/>
      <c r="M131" s="156"/>
      <c r="N131" s="156"/>
      <c r="O131" s="156"/>
    </row>
    <row r="132" spans="1:15" s="985" customFormat="1">
      <c r="A132" s="156"/>
      <c r="B132" s="156"/>
      <c r="C132" s="156"/>
      <c r="D132" s="156"/>
      <c r="E132" s="1196"/>
      <c r="F132" s="1196"/>
      <c r="G132" s="156"/>
      <c r="H132" s="156"/>
      <c r="I132" s="156"/>
      <c r="J132" s="156"/>
      <c r="K132" s="156"/>
      <c r="L132" s="156"/>
      <c r="M132" s="156"/>
      <c r="N132" s="156"/>
      <c r="O132" s="156"/>
    </row>
    <row r="133" spans="1:15" s="985" customFormat="1">
      <c r="A133" s="156"/>
      <c r="B133" s="156"/>
      <c r="C133" s="156"/>
      <c r="D133" s="156"/>
      <c r="E133" s="1196"/>
      <c r="F133" s="1196"/>
      <c r="G133" s="156"/>
      <c r="H133" s="156"/>
      <c r="I133" s="156"/>
      <c r="J133" s="156"/>
      <c r="K133" s="156"/>
      <c r="L133" s="156"/>
      <c r="M133" s="156"/>
      <c r="N133" s="156"/>
      <c r="O133" s="156"/>
    </row>
    <row r="134" spans="1:15" s="985" customFormat="1">
      <c r="A134" s="156"/>
      <c r="B134" s="156"/>
      <c r="C134" s="156"/>
      <c r="D134" s="156"/>
      <c r="E134" s="1196"/>
      <c r="F134" s="1196"/>
      <c r="G134" s="156"/>
      <c r="H134" s="156"/>
      <c r="I134" s="156"/>
      <c r="J134" s="156"/>
      <c r="K134" s="156"/>
      <c r="L134" s="156"/>
      <c r="M134" s="156"/>
      <c r="N134" s="156"/>
      <c r="O134" s="156"/>
    </row>
    <row r="135" spans="1:15" s="985" customFormat="1">
      <c r="A135" s="156"/>
      <c r="B135" s="156"/>
      <c r="C135" s="156"/>
      <c r="D135" s="156"/>
      <c r="E135" s="1196"/>
      <c r="F135" s="1196"/>
      <c r="G135" s="156"/>
      <c r="H135" s="156"/>
      <c r="I135" s="156"/>
      <c r="J135" s="156"/>
      <c r="K135" s="156"/>
      <c r="L135" s="156"/>
      <c r="M135" s="156"/>
      <c r="N135" s="156"/>
      <c r="O135" s="156"/>
    </row>
    <row r="136" spans="1:15" s="985" customFormat="1">
      <c r="A136" s="156"/>
      <c r="B136" s="156"/>
      <c r="C136" s="156"/>
      <c r="D136" s="156"/>
      <c r="E136" s="1196"/>
      <c r="F136" s="1196"/>
      <c r="G136" s="156"/>
      <c r="H136" s="156"/>
      <c r="I136" s="156"/>
      <c r="J136" s="156"/>
      <c r="K136" s="156"/>
      <c r="L136" s="156"/>
      <c r="M136" s="156"/>
      <c r="N136" s="156"/>
      <c r="O136" s="156"/>
    </row>
    <row r="137" spans="1:15" s="985" customFormat="1">
      <c r="A137" s="156"/>
      <c r="B137" s="156"/>
      <c r="C137" s="156"/>
      <c r="D137" s="156"/>
      <c r="E137" s="1196"/>
      <c r="F137" s="1196"/>
      <c r="G137" s="156"/>
      <c r="H137" s="156"/>
      <c r="I137" s="156"/>
      <c r="J137" s="156"/>
      <c r="K137" s="156"/>
      <c r="L137" s="156"/>
      <c r="M137" s="156"/>
      <c r="N137" s="156"/>
      <c r="O137" s="156"/>
    </row>
    <row r="138" spans="1:15" s="985" customFormat="1">
      <c r="A138" s="156"/>
      <c r="B138" s="156"/>
      <c r="C138" s="156"/>
      <c r="D138" s="156"/>
      <c r="E138" s="1196"/>
      <c r="F138" s="1196"/>
      <c r="G138" s="156"/>
      <c r="H138" s="156"/>
      <c r="I138" s="156"/>
      <c r="J138" s="156"/>
      <c r="K138" s="156"/>
      <c r="L138" s="156"/>
      <c r="M138" s="156"/>
      <c r="N138" s="156"/>
      <c r="O138" s="156"/>
    </row>
    <row r="139" spans="1:15" s="985" customFormat="1">
      <c r="A139" s="156"/>
      <c r="B139" s="156"/>
      <c r="C139" s="156"/>
      <c r="D139" s="156"/>
      <c r="E139" s="1196"/>
      <c r="F139" s="1196"/>
      <c r="G139" s="156"/>
      <c r="H139" s="156"/>
      <c r="I139" s="156"/>
      <c r="J139" s="156"/>
      <c r="K139" s="156"/>
      <c r="L139" s="156"/>
      <c r="M139" s="156"/>
      <c r="N139" s="156"/>
      <c r="O139" s="156"/>
    </row>
    <row r="140" spans="1:15" s="985" customFormat="1">
      <c r="A140" s="156"/>
      <c r="B140" s="156"/>
      <c r="C140" s="156"/>
      <c r="D140" s="156"/>
      <c r="E140" s="1196"/>
      <c r="F140" s="1196"/>
      <c r="G140" s="156"/>
      <c r="H140" s="156"/>
      <c r="I140" s="156"/>
      <c r="J140" s="156"/>
      <c r="K140" s="156"/>
      <c r="L140" s="156"/>
      <c r="M140" s="156"/>
      <c r="N140" s="156"/>
      <c r="O140" s="156"/>
    </row>
    <row r="141" spans="1:15" s="985" customFormat="1">
      <c r="A141" s="156"/>
      <c r="B141" s="156"/>
      <c r="C141" s="156"/>
      <c r="D141" s="156"/>
      <c r="E141" s="1196"/>
      <c r="F141" s="1196"/>
      <c r="G141" s="156"/>
      <c r="H141" s="156"/>
      <c r="I141" s="156"/>
      <c r="J141" s="156"/>
      <c r="K141" s="156"/>
      <c r="L141" s="156"/>
      <c r="M141" s="156"/>
      <c r="N141" s="156"/>
    </row>
    <row r="142" spans="1:15" s="985" customFormat="1">
      <c r="A142" s="156"/>
      <c r="B142" s="156"/>
      <c r="C142" s="156"/>
      <c r="D142" s="156"/>
      <c r="E142" s="1196"/>
      <c r="F142" s="1196"/>
      <c r="G142" s="156"/>
      <c r="H142" s="156"/>
      <c r="I142" s="156"/>
      <c r="J142" s="156"/>
      <c r="K142" s="156"/>
      <c r="L142" s="156"/>
      <c r="M142" s="156"/>
      <c r="N142" s="156"/>
    </row>
    <row r="143" spans="1:15" s="985" customFormat="1">
      <c r="A143" s="156"/>
      <c r="B143" s="156"/>
      <c r="C143" s="156"/>
      <c r="D143" s="156"/>
      <c r="E143" s="1196"/>
      <c r="F143" s="1196"/>
      <c r="G143" s="156"/>
      <c r="H143" s="156"/>
      <c r="I143" s="156"/>
      <c r="J143" s="156"/>
      <c r="K143" s="156"/>
      <c r="L143" s="156"/>
      <c r="M143" s="156"/>
      <c r="N143" s="156"/>
    </row>
    <row r="144" spans="1:15" s="985" customFormat="1">
      <c r="A144" s="156"/>
      <c r="B144" s="156"/>
      <c r="C144" s="156"/>
      <c r="D144" s="156"/>
      <c r="E144" s="1196"/>
      <c r="F144" s="1196"/>
      <c r="G144" s="156"/>
      <c r="H144" s="156"/>
      <c r="I144" s="156"/>
      <c r="J144" s="156"/>
      <c r="K144" s="156"/>
      <c r="L144" s="156"/>
      <c r="M144" s="156"/>
      <c r="N144" s="156"/>
    </row>
    <row r="145" spans="1:14" s="985" customFormat="1">
      <c r="A145" s="156"/>
      <c r="B145" s="156"/>
      <c r="C145" s="156"/>
      <c r="D145" s="156"/>
      <c r="E145" s="1196"/>
      <c r="F145" s="1196"/>
      <c r="G145" s="156"/>
      <c r="H145" s="156"/>
      <c r="I145" s="156"/>
      <c r="J145" s="156"/>
      <c r="K145" s="156"/>
      <c r="L145" s="156"/>
      <c r="M145" s="156"/>
      <c r="N145" s="156"/>
    </row>
    <row r="146" spans="1:14" s="985" customFormat="1">
      <c r="A146" s="156"/>
      <c r="B146" s="156"/>
      <c r="C146" s="156"/>
      <c r="D146" s="156"/>
      <c r="E146" s="1196"/>
      <c r="F146" s="1196"/>
      <c r="G146" s="156"/>
      <c r="H146" s="156"/>
      <c r="I146" s="156"/>
      <c r="J146" s="156"/>
      <c r="K146" s="156"/>
      <c r="L146" s="156"/>
      <c r="M146" s="156"/>
      <c r="N146" s="156"/>
    </row>
    <row r="147" spans="1:14" s="985" customFormat="1">
      <c r="A147" s="156"/>
      <c r="B147" s="156"/>
      <c r="C147" s="156"/>
      <c r="D147" s="156"/>
      <c r="E147" s="1196"/>
      <c r="F147" s="1196"/>
      <c r="G147" s="156"/>
      <c r="H147" s="156"/>
      <c r="I147" s="156"/>
      <c r="J147" s="156"/>
      <c r="K147" s="156"/>
      <c r="L147" s="156"/>
      <c r="M147" s="156"/>
      <c r="N147" s="156"/>
    </row>
    <row r="148" spans="1:14" s="985" customFormat="1">
      <c r="A148" s="156"/>
      <c r="B148" s="156"/>
      <c r="C148" s="156"/>
      <c r="D148" s="156"/>
      <c r="E148" s="1196"/>
      <c r="F148" s="1196"/>
      <c r="G148" s="156"/>
      <c r="H148" s="156"/>
      <c r="I148" s="156"/>
      <c r="J148" s="156"/>
      <c r="K148" s="156"/>
      <c r="L148" s="156"/>
      <c r="M148" s="156"/>
      <c r="N148" s="156"/>
    </row>
    <row r="149" spans="1:14" s="985" customFormat="1">
      <c r="A149" s="156"/>
      <c r="B149" s="156"/>
      <c r="C149" s="156"/>
      <c r="D149" s="156"/>
      <c r="E149" s="1196"/>
      <c r="F149" s="1196"/>
      <c r="G149" s="156"/>
      <c r="H149" s="156"/>
      <c r="I149" s="156"/>
      <c r="J149" s="156"/>
      <c r="K149" s="156"/>
      <c r="L149" s="156"/>
      <c r="M149" s="156"/>
      <c r="N149" s="156"/>
    </row>
    <row r="150" spans="1:14" s="985" customFormat="1">
      <c r="A150" s="156"/>
      <c r="B150" s="156"/>
      <c r="C150" s="156"/>
      <c r="D150" s="156"/>
      <c r="E150" s="1196"/>
      <c r="F150" s="1196"/>
      <c r="G150" s="156"/>
      <c r="H150" s="156"/>
      <c r="I150" s="156"/>
      <c r="J150" s="156"/>
      <c r="K150" s="156"/>
      <c r="L150" s="156"/>
      <c r="M150" s="156"/>
      <c r="N150" s="156"/>
    </row>
    <row r="151" spans="1:14" s="985" customFormat="1">
      <c r="A151" s="156"/>
      <c r="B151" s="156"/>
      <c r="C151" s="156"/>
      <c r="D151" s="156"/>
      <c r="E151" s="1196"/>
      <c r="F151" s="1196"/>
      <c r="G151" s="156"/>
      <c r="H151" s="156"/>
      <c r="I151" s="156"/>
      <c r="J151" s="156"/>
      <c r="K151" s="156"/>
      <c r="L151" s="156"/>
      <c r="M151" s="156"/>
      <c r="N151" s="156"/>
    </row>
    <row r="152" spans="1:14" s="985" customFormat="1">
      <c r="A152" s="156"/>
      <c r="B152" s="156"/>
      <c r="C152" s="156"/>
      <c r="D152" s="156"/>
      <c r="E152" s="1196"/>
      <c r="F152" s="1196"/>
      <c r="G152" s="156"/>
      <c r="H152" s="156"/>
      <c r="I152" s="156"/>
      <c r="J152" s="156"/>
      <c r="K152" s="156"/>
      <c r="L152" s="156"/>
      <c r="M152" s="156"/>
      <c r="N152" s="156"/>
    </row>
    <row r="153" spans="1:14" s="985" customFormat="1">
      <c r="A153" s="156"/>
      <c r="B153" s="156"/>
      <c r="C153" s="156"/>
      <c r="D153" s="156"/>
      <c r="E153" s="1196"/>
      <c r="F153" s="1196"/>
      <c r="G153" s="156"/>
      <c r="H153" s="156"/>
      <c r="I153" s="156"/>
      <c r="J153" s="156"/>
      <c r="K153" s="156"/>
      <c r="L153" s="156"/>
      <c r="M153" s="156"/>
      <c r="N153" s="156"/>
    </row>
    <row r="154" spans="1:14" s="985" customFormat="1">
      <c r="A154" s="156"/>
      <c r="B154" s="156"/>
      <c r="C154" s="156"/>
      <c r="D154" s="156"/>
      <c r="E154" s="1196"/>
      <c r="F154" s="1196"/>
      <c r="G154" s="156"/>
      <c r="H154" s="156"/>
      <c r="I154" s="156"/>
    </row>
    <row r="155" spans="1:14" s="985" customFormat="1">
      <c r="A155" s="156"/>
      <c r="B155" s="156"/>
      <c r="C155" s="156"/>
      <c r="D155" s="156"/>
      <c r="E155" s="1196"/>
      <c r="F155" s="1196"/>
      <c r="G155" s="156"/>
      <c r="H155" s="156"/>
      <c r="I155" s="156"/>
    </row>
    <row r="156" spans="1:14" s="985" customFormat="1">
      <c r="A156" s="156"/>
      <c r="B156" s="156"/>
      <c r="C156" s="156"/>
      <c r="D156" s="156"/>
      <c r="E156" s="1196"/>
      <c r="F156" s="1196"/>
      <c r="G156" s="156"/>
      <c r="H156" s="156"/>
      <c r="I156" s="156"/>
    </row>
    <row r="157" spans="1:14" s="985" customFormat="1">
      <c r="A157" s="156"/>
      <c r="B157" s="156"/>
      <c r="C157" s="156"/>
      <c r="D157" s="156"/>
      <c r="E157" s="1196"/>
      <c r="F157" s="1196"/>
      <c r="G157" s="156"/>
      <c r="H157" s="156"/>
      <c r="I157" s="156"/>
    </row>
    <row r="158" spans="1:14" s="985" customFormat="1">
      <c r="A158" s="156"/>
      <c r="B158" s="156"/>
      <c r="C158" s="156"/>
      <c r="D158" s="156"/>
      <c r="E158" s="1196"/>
      <c r="F158" s="1196"/>
      <c r="G158" s="156"/>
      <c r="H158" s="156"/>
      <c r="I158" s="156"/>
    </row>
    <row r="159" spans="1:14" s="985" customFormat="1">
      <c r="A159" s="156"/>
      <c r="B159" s="156"/>
      <c r="C159" s="156"/>
      <c r="D159" s="156"/>
      <c r="E159" s="1196"/>
      <c r="F159" s="1196"/>
      <c r="G159" s="156"/>
      <c r="H159" s="156"/>
      <c r="I159" s="156"/>
    </row>
    <row r="160" spans="1:14" s="985" customFormat="1">
      <c r="A160" s="156"/>
      <c r="B160" s="156"/>
      <c r="C160" s="156"/>
      <c r="D160" s="156"/>
      <c r="E160" s="1196"/>
      <c r="F160" s="1196"/>
      <c r="G160" s="156"/>
      <c r="H160" s="156"/>
      <c r="I160" s="156"/>
    </row>
    <row r="161" spans="1:9" s="985" customFormat="1">
      <c r="A161" s="156"/>
      <c r="B161" s="156"/>
      <c r="C161" s="156"/>
      <c r="D161" s="156"/>
      <c r="E161" s="1196"/>
      <c r="F161" s="1196"/>
      <c r="G161" s="156"/>
      <c r="H161" s="156"/>
      <c r="I161" s="156"/>
    </row>
    <row r="162" spans="1:9" s="985" customFormat="1">
      <c r="A162" s="156"/>
      <c r="B162" s="156"/>
      <c r="C162" s="156"/>
      <c r="D162" s="156"/>
      <c r="E162" s="1196"/>
      <c r="F162" s="1196"/>
      <c r="G162" s="156"/>
      <c r="H162" s="156"/>
      <c r="I162" s="156"/>
    </row>
    <row r="163" spans="1:9" s="985" customFormat="1">
      <c r="A163" s="156"/>
      <c r="B163" s="156"/>
      <c r="C163" s="156"/>
      <c r="D163" s="156"/>
      <c r="E163" s="1196"/>
      <c r="F163" s="1196"/>
      <c r="G163" s="156"/>
      <c r="H163" s="156"/>
      <c r="I163" s="156"/>
    </row>
    <row r="164" spans="1:9" s="985" customFormat="1">
      <c r="A164" s="156"/>
      <c r="B164" s="156"/>
      <c r="C164" s="156"/>
      <c r="D164" s="156"/>
      <c r="E164" s="1196"/>
      <c r="F164" s="1196"/>
      <c r="G164" s="156"/>
      <c r="H164" s="156"/>
      <c r="I164" s="156"/>
    </row>
    <row r="165" spans="1:9" s="985" customFormat="1">
      <c r="A165" s="156"/>
      <c r="B165" s="156"/>
      <c r="C165" s="156"/>
      <c r="D165" s="156"/>
      <c r="E165" s="1196"/>
      <c r="F165" s="1196"/>
      <c r="G165" s="156"/>
      <c r="H165" s="156"/>
      <c r="I165" s="156"/>
    </row>
    <row r="166" spans="1:9" s="985" customFormat="1">
      <c r="A166" s="156"/>
      <c r="B166" s="156"/>
      <c r="C166" s="156"/>
      <c r="D166" s="156"/>
      <c r="E166" s="1196"/>
      <c r="F166" s="1196"/>
      <c r="G166" s="156"/>
      <c r="H166" s="156"/>
      <c r="I166" s="156"/>
    </row>
    <row r="167" spans="1:9" s="985" customFormat="1">
      <c r="A167" s="156"/>
      <c r="B167" s="156"/>
      <c r="C167" s="156"/>
      <c r="D167" s="156"/>
      <c r="E167" s="1196"/>
      <c r="F167" s="1196"/>
      <c r="G167" s="156"/>
      <c r="H167" s="156"/>
      <c r="I167" s="156"/>
    </row>
    <row r="168" spans="1:9" s="985" customFormat="1">
      <c r="A168" s="156"/>
      <c r="B168" s="156"/>
      <c r="C168" s="156"/>
      <c r="D168" s="156"/>
      <c r="E168" s="1196"/>
      <c r="F168" s="1196"/>
      <c r="G168" s="156"/>
      <c r="H168" s="156"/>
      <c r="I168" s="156"/>
    </row>
    <row r="169" spans="1:9" s="985" customFormat="1">
      <c r="A169" s="156"/>
      <c r="B169" s="156"/>
      <c r="C169" s="156"/>
      <c r="D169" s="156"/>
      <c r="E169" s="1196"/>
      <c r="F169" s="1196"/>
      <c r="G169" s="156"/>
      <c r="H169" s="156"/>
      <c r="I169" s="156"/>
    </row>
    <row r="170" spans="1:9" s="985" customFormat="1">
      <c r="A170" s="156"/>
      <c r="B170" s="156"/>
      <c r="C170" s="156"/>
      <c r="D170" s="156"/>
      <c r="E170" s="1196"/>
      <c r="F170" s="1196"/>
      <c r="G170" s="156"/>
      <c r="H170" s="156"/>
      <c r="I170" s="156"/>
    </row>
    <row r="171" spans="1:9" s="985" customFormat="1">
      <c r="A171" s="156"/>
      <c r="B171" s="156"/>
      <c r="C171" s="156"/>
      <c r="D171" s="156"/>
      <c r="E171" s="1196"/>
      <c r="F171" s="1196"/>
      <c r="G171" s="156"/>
      <c r="H171" s="156"/>
      <c r="I171" s="156"/>
    </row>
    <row r="172" spans="1:9" s="985" customFormat="1">
      <c r="A172" s="156"/>
      <c r="B172" s="156"/>
      <c r="C172" s="156"/>
      <c r="D172" s="156"/>
      <c r="E172" s="1196"/>
      <c r="F172" s="1196"/>
      <c r="G172" s="156"/>
      <c r="H172" s="156"/>
      <c r="I172" s="156"/>
    </row>
    <row r="173" spans="1:9" s="985" customFormat="1">
      <c r="A173" s="156"/>
      <c r="E173" s="933"/>
      <c r="F173" s="933"/>
      <c r="H173" s="156"/>
      <c r="I173" s="156"/>
    </row>
    <row r="174" spans="1:9" s="985" customFormat="1">
      <c r="A174" s="156"/>
      <c r="E174" s="933"/>
      <c r="F174" s="933"/>
      <c r="H174" s="156"/>
      <c r="I174" s="156"/>
    </row>
    <row r="175" spans="1:9" s="985" customFormat="1">
      <c r="E175" s="933"/>
      <c r="F175" s="933"/>
      <c r="H175" s="156"/>
    </row>
    <row r="176" spans="1:9" s="985" customFormat="1">
      <c r="E176" s="933"/>
      <c r="F176" s="933"/>
    </row>
    <row r="177" spans="5:6" s="985" customFormat="1">
      <c r="E177" s="933"/>
      <c r="F177" s="933"/>
    </row>
    <row r="178" spans="5:6" s="985" customFormat="1">
      <c r="E178" s="933"/>
      <c r="F178" s="933"/>
    </row>
    <row r="179" spans="5:6" s="985" customFormat="1">
      <c r="E179" s="933"/>
      <c r="F179" s="933"/>
    </row>
    <row r="180" spans="5:6" s="985" customFormat="1">
      <c r="E180" s="933"/>
      <c r="F180" s="933"/>
    </row>
    <row r="181" spans="5:6" s="985" customFormat="1">
      <c r="E181" s="933"/>
      <c r="F181" s="933"/>
    </row>
    <row r="182" spans="5:6" s="985" customFormat="1">
      <c r="E182" s="933"/>
      <c r="F182" s="933"/>
    </row>
    <row r="183" spans="5:6" s="985" customFormat="1">
      <c r="E183" s="933"/>
      <c r="F183" s="933"/>
    </row>
    <row r="184" spans="5:6" s="985" customFormat="1">
      <c r="E184" s="933"/>
      <c r="F184" s="933"/>
    </row>
    <row r="185" spans="5:6" s="985" customFormat="1">
      <c r="E185" s="933"/>
      <c r="F185" s="933"/>
    </row>
    <row r="186" spans="5:6" s="985" customFormat="1">
      <c r="E186" s="933"/>
      <c r="F186" s="933"/>
    </row>
    <row r="187" spans="5:6" s="985" customFormat="1">
      <c r="E187" s="933"/>
      <c r="F187" s="933"/>
    </row>
    <row r="188" spans="5:6" s="985" customFormat="1">
      <c r="E188" s="933"/>
      <c r="F188" s="933"/>
    </row>
    <row r="189" spans="5:6" s="985" customFormat="1">
      <c r="E189" s="933"/>
      <c r="F189" s="933"/>
    </row>
    <row r="190" spans="5:6" s="985" customFormat="1">
      <c r="E190" s="933"/>
      <c r="F190" s="933"/>
    </row>
    <row r="191" spans="5:6" s="985" customFormat="1">
      <c r="E191" s="933"/>
      <c r="F191" s="933"/>
    </row>
    <row r="192" spans="5:6" s="985" customFormat="1">
      <c r="E192" s="933"/>
      <c r="F192" s="933"/>
    </row>
    <row r="193" spans="5:6" s="985" customFormat="1">
      <c r="E193" s="933"/>
      <c r="F193" s="933"/>
    </row>
    <row r="194" spans="5:6" s="985" customFormat="1">
      <c r="E194" s="933"/>
      <c r="F194" s="933"/>
    </row>
    <row r="195" spans="5:6" s="985" customFormat="1">
      <c r="E195" s="933"/>
      <c r="F195" s="933"/>
    </row>
    <row r="196" spans="5:6" s="985" customFormat="1">
      <c r="E196" s="933"/>
      <c r="F196" s="933"/>
    </row>
    <row r="197" spans="5:6" s="985" customFormat="1">
      <c r="E197" s="933"/>
      <c r="F197" s="933"/>
    </row>
    <row r="198" spans="5:6" s="985" customFormat="1">
      <c r="E198" s="933"/>
      <c r="F198" s="933"/>
    </row>
    <row r="199" spans="5:6" s="985" customFormat="1">
      <c r="E199" s="933"/>
      <c r="F199" s="933"/>
    </row>
    <row r="200" spans="5:6" s="985" customFormat="1">
      <c r="E200" s="933"/>
      <c r="F200" s="933"/>
    </row>
    <row r="201" spans="5:6" s="985" customFormat="1">
      <c r="E201" s="933"/>
      <c r="F201" s="933"/>
    </row>
    <row r="202" spans="5:6" s="985" customFormat="1">
      <c r="E202" s="933"/>
      <c r="F202" s="933"/>
    </row>
    <row r="203" spans="5:6" s="985" customFormat="1">
      <c r="E203" s="933"/>
      <c r="F203" s="933"/>
    </row>
    <row r="204" spans="5:6" s="985" customFormat="1">
      <c r="E204" s="933"/>
      <c r="F204" s="933"/>
    </row>
    <row r="205" spans="5:6" s="985" customFormat="1">
      <c r="E205" s="933"/>
      <c r="F205" s="933"/>
    </row>
    <row r="206" spans="5:6" s="985" customFormat="1">
      <c r="E206" s="933"/>
      <c r="F206" s="933"/>
    </row>
    <row r="207" spans="5:6" s="985" customFormat="1">
      <c r="E207" s="933"/>
      <c r="F207" s="933"/>
    </row>
    <row r="208" spans="5:6" s="985" customFormat="1">
      <c r="E208" s="933"/>
      <c r="F208" s="933"/>
    </row>
    <row r="209" spans="5:6" s="985" customFormat="1">
      <c r="E209" s="933"/>
      <c r="F209" s="933"/>
    </row>
    <row r="210" spans="5:6" s="985" customFormat="1">
      <c r="E210" s="933"/>
      <c r="F210" s="933"/>
    </row>
    <row r="211" spans="5:6" s="985" customFormat="1">
      <c r="E211" s="933"/>
      <c r="F211" s="933"/>
    </row>
    <row r="212" spans="5:6" s="985" customFormat="1">
      <c r="E212" s="933"/>
      <c r="F212" s="933"/>
    </row>
    <row r="213" spans="5:6" s="985" customFormat="1">
      <c r="E213" s="933"/>
      <c r="F213" s="933"/>
    </row>
    <row r="214" spans="5:6" s="985" customFormat="1">
      <c r="E214" s="933"/>
      <c r="F214" s="933"/>
    </row>
    <row r="215" spans="5:6" s="985" customFormat="1">
      <c r="E215" s="933"/>
      <c r="F215" s="933"/>
    </row>
    <row r="216" spans="5:6" s="985" customFormat="1">
      <c r="E216" s="933"/>
      <c r="F216" s="933"/>
    </row>
    <row r="217" spans="5:6" s="985" customFormat="1">
      <c r="E217" s="933"/>
      <c r="F217" s="933"/>
    </row>
    <row r="218" spans="5:6" s="985" customFormat="1">
      <c r="E218" s="933"/>
      <c r="F218" s="933"/>
    </row>
    <row r="219" spans="5:6" s="985" customFormat="1">
      <c r="E219" s="933"/>
      <c r="F219" s="933"/>
    </row>
    <row r="220" spans="5:6" s="985" customFormat="1">
      <c r="E220" s="933"/>
      <c r="F220" s="933"/>
    </row>
    <row r="221" spans="5:6" s="985" customFormat="1">
      <c r="E221" s="933"/>
      <c r="F221" s="933"/>
    </row>
    <row r="222" spans="5:6" s="985" customFormat="1">
      <c r="E222" s="933"/>
      <c r="F222" s="933"/>
    </row>
    <row r="223" spans="5:6" s="985" customFormat="1">
      <c r="E223" s="933"/>
      <c r="F223" s="933"/>
    </row>
    <row r="224" spans="5:6" s="985" customFormat="1">
      <c r="E224" s="933"/>
      <c r="F224" s="933"/>
    </row>
    <row r="225" spans="5:6" s="985" customFormat="1">
      <c r="E225" s="933"/>
      <c r="F225" s="933"/>
    </row>
    <row r="226" spans="5:6" s="985" customFormat="1">
      <c r="E226" s="933"/>
      <c r="F226" s="933"/>
    </row>
    <row r="227" spans="5:6" s="985" customFormat="1">
      <c r="E227" s="933"/>
      <c r="F227" s="933"/>
    </row>
    <row r="228" spans="5:6" s="985" customFormat="1">
      <c r="E228" s="933"/>
      <c r="F228" s="933"/>
    </row>
    <row r="229" spans="5:6" s="985" customFormat="1">
      <c r="E229" s="933"/>
      <c r="F229" s="933"/>
    </row>
    <row r="230" spans="5:6" s="985" customFormat="1">
      <c r="E230" s="933"/>
      <c r="F230" s="933"/>
    </row>
    <row r="231" spans="5:6" s="985" customFormat="1">
      <c r="E231" s="933"/>
      <c r="F231" s="933"/>
    </row>
    <row r="232" spans="5:6" s="985" customFormat="1">
      <c r="E232" s="933"/>
      <c r="F232" s="933"/>
    </row>
    <row r="233" spans="5:6" s="985" customFormat="1">
      <c r="E233" s="933"/>
      <c r="F233" s="933"/>
    </row>
    <row r="234" spans="5:6" s="985" customFormat="1">
      <c r="E234" s="933"/>
      <c r="F234" s="933"/>
    </row>
    <row r="235" spans="5:6" s="985" customFormat="1">
      <c r="E235" s="933"/>
      <c r="F235" s="933"/>
    </row>
    <row r="236" spans="5:6" s="985" customFormat="1">
      <c r="E236" s="933"/>
      <c r="F236" s="933"/>
    </row>
    <row r="237" spans="5:6" s="985" customFormat="1">
      <c r="E237" s="933"/>
      <c r="F237" s="933"/>
    </row>
    <row r="238" spans="5:6" s="985" customFormat="1">
      <c r="E238" s="933"/>
      <c r="F238" s="933"/>
    </row>
    <row r="239" spans="5:6" s="985" customFormat="1">
      <c r="E239" s="933"/>
      <c r="F239" s="933"/>
    </row>
    <row r="240" spans="5:6" s="985" customFormat="1">
      <c r="E240" s="933"/>
      <c r="F240" s="933"/>
    </row>
    <row r="241" spans="5:6" s="985" customFormat="1">
      <c r="E241" s="933"/>
      <c r="F241" s="933"/>
    </row>
    <row r="242" spans="5:6" s="985" customFormat="1">
      <c r="E242" s="933"/>
      <c r="F242" s="933"/>
    </row>
    <row r="243" spans="5:6" s="985" customFormat="1">
      <c r="E243" s="933"/>
      <c r="F243" s="933"/>
    </row>
    <row r="244" spans="5:6" s="985" customFormat="1">
      <c r="E244" s="933"/>
      <c r="F244" s="933"/>
    </row>
    <row r="245" spans="5:6" s="985" customFormat="1">
      <c r="E245" s="933"/>
      <c r="F245" s="933"/>
    </row>
    <row r="246" spans="5:6" s="985" customFormat="1">
      <c r="E246" s="933"/>
      <c r="F246" s="933"/>
    </row>
    <row r="247" spans="5:6" s="985" customFormat="1">
      <c r="E247" s="933"/>
      <c r="F247" s="933"/>
    </row>
    <row r="248" spans="5:6" s="985" customFormat="1">
      <c r="E248" s="933"/>
      <c r="F248" s="933"/>
    </row>
    <row r="249" spans="5:6" s="985" customFormat="1">
      <c r="E249" s="933"/>
      <c r="F249" s="933"/>
    </row>
    <row r="250" spans="5:6" s="985" customFormat="1">
      <c r="E250" s="933"/>
      <c r="F250" s="933"/>
    </row>
    <row r="251" spans="5:6" s="985" customFormat="1">
      <c r="E251" s="933"/>
      <c r="F251" s="933"/>
    </row>
    <row r="252" spans="5:6" s="985" customFormat="1">
      <c r="E252" s="933"/>
      <c r="F252" s="933"/>
    </row>
    <row r="253" spans="5:6" s="985" customFormat="1">
      <c r="E253" s="933"/>
      <c r="F253" s="933"/>
    </row>
    <row r="254" spans="5:6" s="985" customFormat="1">
      <c r="E254" s="933"/>
      <c r="F254" s="933"/>
    </row>
    <row r="255" spans="5:6" s="985" customFormat="1">
      <c r="E255" s="933"/>
      <c r="F255" s="933"/>
    </row>
    <row r="256" spans="5:6" s="985" customFormat="1">
      <c r="E256" s="933"/>
      <c r="F256" s="933"/>
    </row>
    <row r="257" spans="5:6" s="985" customFormat="1">
      <c r="E257" s="933"/>
      <c r="F257" s="933"/>
    </row>
    <row r="258" spans="5:6" s="985" customFormat="1">
      <c r="E258" s="933"/>
      <c r="F258" s="933"/>
    </row>
    <row r="259" spans="5:6" s="985" customFormat="1">
      <c r="E259" s="933"/>
      <c r="F259" s="933"/>
    </row>
    <row r="260" spans="5:6" s="985" customFormat="1">
      <c r="E260" s="933"/>
      <c r="F260" s="933"/>
    </row>
    <row r="261" spans="5:6" s="985" customFormat="1">
      <c r="E261" s="933"/>
      <c r="F261" s="933"/>
    </row>
    <row r="262" spans="5:6" s="985" customFormat="1">
      <c r="E262" s="933"/>
      <c r="F262" s="933"/>
    </row>
    <row r="263" spans="5:6" s="985" customFormat="1">
      <c r="E263" s="933"/>
      <c r="F263" s="933"/>
    </row>
    <row r="264" spans="5:6" s="985" customFormat="1">
      <c r="E264" s="933"/>
      <c r="F264" s="933"/>
    </row>
    <row r="265" spans="5:6" s="985" customFormat="1">
      <c r="E265" s="933"/>
      <c r="F265" s="933"/>
    </row>
    <row r="266" spans="5:6" s="985" customFormat="1">
      <c r="E266" s="933"/>
      <c r="F266" s="933"/>
    </row>
    <row r="267" spans="5:6" s="985" customFormat="1">
      <c r="E267" s="933"/>
      <c r="F267" s="933"/>
    </row>
    <row r="268" spans="5:6" s="985" customFormat="1">
      <c r="E268" s="933"/>
      <c r="F268" s="933"/>
    </row>
    <row r="269" spans="5:6" s="985" customFormat="1">
      <c r="E269" s="933"/>
      <c r="F269" s="933"/>
    </row>
    <row r="270" spans="5:6" s="985" customFormat="1">
      <c r="E270" s="933"/>
      <c r="F270" s="933"/>
    </row>
    <row r="271" spans="5:6" s="985" customFormat="1">
      <c r="E271" s="933"/>
      <c r="F271" s="933"/>
    </row>
    <row r="272" spans="5:6" s="985" customFormat="1">
      <c r="E272" s="933"/>
      <c r="F272" s="933"/>
    </row>
    <row r="273" spans="5:6" s="985" customFormat="1">
      <c r="E273" s="933"/>
      <c r="F273" s="933"/>
    </row>
    <row r="274" spans="5:6" s="985" customFormat="1">
      <c r="E274" s="933"/>
      <c r="F274" s="933"/>
    </row>
    <row r="275" spans="5:6" s="985" customFormat="1">
      <c r="E275" s="933"/>
      <c r="F275" s="933"/>
    </row>
    <row r="276" spans="5:6" s="985" customFormat="1">
      <c r="E276" s="933"/>
      <c r="F276" s="933"/>
    </row>
    <row r="277" spans="5:6" s="985" customFormat="1">
      <c r="E277" s="933"/>
      <c r="F277" s="933"/>
    </row>
    <row r="278" spans="5:6" s="985" customFormat="1">
      <c r="E278" s="933"/>
      <c r="F278" s="933"/>
    </row>
    <row r="279" spans="5:6" s="985" customFormat="1">
      <c r="E279" s="933"/>
      <c r="F279" s="933"/>
    </row>
    <row r="280" spans="5:6" s="985" customFormat="1">
      <c r="E280" s="933"/>
      <c r="F280" s="933"/>
    </row>
    <row r="281" spans="5:6" s="985" customFormat="1">
      <c r="E281" s="933"/>
      <c r="F281" s="933"/>
    </row>
    <row r="282" spans="5:6" s="985" customFormat="1">
      <c r="E282" s="933"/>
      <c r="F282" s="933"/>
    </row>
    <row r="283" spans="5:6" s="985" customFormat="1">
      <c r="E283" s="933"/>
      <c r="F283" s="933"/>
    </row>
    <row r="284" spans="5:6" s="985" customFormat="1">
      <c r="E284" s="933"/>
      <c r="F284" s="933"/>
    </row>
    <row r="285" spans="5:6" s="985" customFormat="1">
      <c r="E285" s="933"/>
      <c r="F285" s="933"/>
    </row>
    <row r="286" spans="5:6" s="985" customFormat="1">
      <c r="E286" s="933"/>
      <c r="F286" s="933"/>
    </row>
    <row r="287" spans="5:6" s="985" customFormat="1">
      <c r="E287" s="933"/>
      <c r="F287" s="933"/>
    </row>
    <row r="288" spans="5:6" s="985" customFormat="1">
      <c r="E288" s="933"/>
      <c r="F288" s="933"/>
    </row>
    <row r="289" spans="5:6" s="985" customFormat="1">
      <c r="E289" s="933"/>
      <c r="F289" s="933"/>
    </row>
    <row r="290" spans="5:6" s="985" customFormat="1">
      <c r="E290" s="933"/>
      <c r="F290" s="933"/>
    </row>
    <row r="291" spans="5:6" s="985" customFormat="1">
      <c r="E291" s="933"/>
      <c r="F291" s="933"/>
    </row>
    <row r="292" spans="5:6" s="985" customFormat="1">
      <c r="E292" s="933"/>
      <c r="F292" s="933"/>
    </row>
    <row r="293" spans="5:6" s="985" customFormat="1">
      <c r="E293" s="933"/>
      <c r="F293" s="933"/>
    </row>
    <row r="294" spans="5:6" s="985" customFormat="1">
      <c r="E294" s="933"/>
      <c r="F294" s="933"/>
    </row>
    <row r="295" spans="5:6" s="985" customFormat="1">
      <c r="E295" s="933"/>
      <c r="F295" s="933"/>
    </row>
    <row r="296" spans="5:6" s="985" customFormat="1">
      <c r="E296" s="933"/>
      <c r="F296" s="933"/>
    </row>
    <row r="297" spans="5:6" s="985" customFormat="1">
      <c r="E297" s="933"/>
      <c r="F297" s="933"/>
    </row>
    <row r="298" spans="5:6" s="985" customFormat="1">
      <c r="E298" s="933"/>
      <c r="F298" s="933"/>
    </row>
    <row r="299" spans="5:6" s="985" customFormat="1">
      <c r="E299" s="933"/>
      <c r="F299" s="933"/>
    </row>
    <row r="300" spans="5:6" s="985" customFormat="1">
      <c r="E300" s="933"/>
      <c r="F300" s="933"/>
    </row>
    <row r="301" spans="5:6" s="985" customFormat="1">
      <c r="E301" s="933"/>
      <c r="F301" s="933"/>
    </row>
    <row r="302" spans="5:6" s="985" customFormat="1">
      <c r="E302" s="933"/>
      <c r="F302" s="933"/>
    </row>
    <row r="303" spans="5:6" s="985" customFormat="1">
      <c r="E303" s="933"/>
      <c r="F303" s="933"/>
    </row>
    <row r="304" spans="5:6" s="985" customFormat="1">
      <c r="E304" s="933"/>
      <c r="F304" s="933"/>
    </row>
    <row r="305" spans="5:6" s="985" customFormat="1">
      <c r="E305" s="933"/>
      <c r="F305" s="933"/>
    </row>
    <row r="306" spans="5:6" s="985" customFormat="1">
      <c r="E306" s="933"/>
      <c r="F306" s="933"/>
    </row>
    <row r="307" spans="5:6" s="985" customFormat="1">
      <c r="E307" s="933"/>
      <c r="F307" s="933"/>
    </row>
    <row r="308" spans="5:6" s="985" customFormat="1">
      <c r="E308" s="933"/>
      <c r="F308" s="933"/>
    </row>
    <row r="309" spans="5:6" s="985" customFormat="1">
      <c r="E309" s="933"/>
      <c r="F309" s="933"/>
    </row>
    <row r="310" spans="5:6" s="985" customFormat="1">
      <c r="E310" s="933"/>
      <c r="F310" s="933"/>
    </row>
    <row r="311" spans="5:6" s="985" customFormat="1">
      <c r="E311" s="933"/>
      <c r="F311" s="933"/>
    </row>
    <row r="312" spans="5:6" s="985" customFormat="1">
      <c r="E312" s="933"/>
      <c r="F312" s="933"/>
    </row>
    <row r="313" spans="5:6" s="985" customFormat="1">
      <c r="E313" s="933"/>
      <c r="F313" s="933"/>
    </row>
    <row r="314" spans="5:6" s="985" customFormat="1">
      <c r="E314" s="933"/>
      <c r="F314" s="933"/>
    </row>
    <row r="315" spans="5:6" s="985" customFormat="1">
      <c r="E315" s="933"/>
      <c r="F315" s="933"/>
    </row>
    <row r="316" spans="5:6" s="985" customFormat="1">
      <c r="E316" s="933"/>
      <c r="F316" s="933"/>
    </row>
    <row r="317" spans="5:6" s="985" customFormat="1">
      <c r="E317" s="933"/>
      <c r="F317" s="933"/>
    </row>
    <row r="318" spans="5:6" s="985" customFormat="1">
      <c r="E318" s="933"/>
      <c r="F318" s="933"/>
    </row>
    <row r="319" spans="5:6" s="985" customFormat="1">
      <c r="E319" s="933"/>
      <c r="F319" s="933"/>
    </row>
    <row r="320" spans="5:6" s="985" customFormat="1">
      <c r="E320" s="933"/>
      <c r="F320" s="933"/>
    </row>
    <row r="321" spans="5:6" s="985" customFormat="1">
      <c r="E321" s="933"/>
      <c r="F321" s="933"/>
    </row>
    <row r="322" spans="5:6" s="985" customFormat="1">
      <c r="E322" s="933"/>
      <c r="F322" s="933"/>
    </row>
    <row r="323" spans="5:6" s="985" customFormat="1">
      <c r="E323" s="933"/>
      <c r="F323" s="933"/>
    </row>
    <row r="324" spans="5:6" s="985" customFormat="1">
      <c r="E324" s="933"/>
      <c r="F324" s="933"/>
    </row>
    <row r="325" spans="5:6" s="985" customFormat="1">
      <c r="E325" s="933"/>
      <c r="F325" s="933"/>
    </row>
    <row r="326" spans="5:6" s="985" customFormat="1">
      <c r="E326" s="933"/>
      <c r="F326" s="933"/>
    </row>
    <row r="327" spans="5:6" s="985" customFormat="1">
      <c r="E327" s="933"/>
      <c r="F327" s="933"/>
    </row>
    <row r="328" spans="5:6" s="985" customFormat="1">
      <c r="E328" s="933"/>
      <c r="F328" s="933"/>
    </row>
    <row r="329" spans="5:6" s="985" customFormat="1">
      <c r="E329" s="933"/>
      <c r="F329" s="933"/>
    </row>
    <row r="330" spans="5:6" s="985" customFormat="1">
      <c r="E330" s="933"/>
      <c r="F330" s="933"/>
    </row>
    <row r="331" spans="5:6" s="985" customFormat="1">
      <c r="E331" s="933"/>
      <c r="F331" s="933"/>
    </row>
    <row r="332" spans="5:6" s="985" customFormat="1">
      <c r="E332" s="933"/>
      <c r="F332" s="933"/>
    </row>
    <row r="333" spans="5:6" s="985" customFormat="1">
      <c r="E333" s="933"/>
      <c r="F333" s="933"/>
    </row>
    <row r="334" spans="5:6" s="985" customFormat="1">
      <c r="E334" s="933"/>
      <c r="F334" s="933"/>
    </row>
    <row r="335" spans="5:6" s="985" customFormat="1">
      <c r="E335" s="933"/>
      <c r="F335" s="933"/>
    </row>
    <row r="336" spans="5:6" s="985" customFormat="1">
      <c r="E336" s="933"/>
      <c r="F336" s="933"/>
    </row>
    <row r="337" spans="5:6" s="985" customFormat="1">
      <c r="E337" s="933"/>
      <c r="F337" s="933"/>
    </row>
    <row r="338" spans="5:6" s="985" customFormat="1">
      <c r="E338" s="933"/>
      <c r="F338" s="933"/>
    </row>
    <row r="339" spans="5:6" s="985" customFormat="1">
      <c r="E339" s="933"/>
      <c r="F339" s="933"/>
    </row>
    <row r="340" spans="5:6" s="985" customFormat="1">
      <c r="E340" s="933"/>
      <c r="F340" s="933"/>
    </row>
    <row r="341" spans="5:6" s="985" customFormat="1">
      <c r="E341" s="933"/>
      <c r="F341" s="933"/>
    </row>
    <row r="342" spans="5:6" s="985" customFormat="1">
      <c r="E342" s="933"/>
      <c r="F342" s="933"/>
    </row>
    <row r="343" spans="5:6" s="985" customFormat="1">
      <c r="E343" s="933"/>
      <c r="F343" s="933"/>
    </row>
    <row r="344" spans="5:6" s="985" customFormat="1">
      <c r="E344" s="933"/>
      <c r="F344" s="933"/>
    </row>
    <row r="345" spans="5:6" s="985" customFormat="1">
      <c r="E345" s="933"/>
      <c r="F345" s="933"/>
    </row>
    <row r="346" spans="5:6" s="985" customFormat="1">
      <c r="E346" s="933"/>
      <c r="F346" s="933"/>
    </row>
    <row r="347" spans="5:6" s="985" customFormat="1">
      <c r="E347" s="933"/>
      <c r="F347" s="933"/>
    </row>
    <row r="348" spans="5:6" s="985" customFormat="1">
      <c r="E348" s="933"/>
      <c r="F348" s="933"/>
    </row>
    <row r="349" spans="5:6" s="985" customFormat="1">
      <c r="E349" s="933"/>
      <c r="F349" s="933"/>
    </row>
    <row r="350" spans="5:6" s="985" customFormat="1">
      <c r="E350" s="933"/>
      <c r="F350" s="933"/>
    </row>
    <row r="351" spans="5:6" s="985" customFormat="1">
      <c r="E351" s="933"/>
      <c r="F351" s="933"/>
    </row>
    <row r="352" spans="5:6" s="985" customFormat="1">
      <c r="E352" s="933"/>
      <c r="F352" s="933"/>
    </row>
    <row r="353" spans="5:6" s="985" customFormat="1">
      <c r="E353" s="933"/>
      <c r="F353" s="933"/>
    </row>
    <row r="354" spans="5:6" s="985" customFormat="1">
      <c r="E354" s="933"/>
      <c r="F354" s="933"/>
    </row>
    <row r="355" spans="5:6" s="985" customFormat="1">
      <c r="E355" s="933"/>
      <c r="F355" s="933"/>
    </row>
    <row r="356" spans="5:6" s="985" customFormat="1">
      <c r="E356" s="933"/>
      <c r="F356" s="933"/>
    </row>
    <row r="357" spans="5:6" s="985" customFormat="1">
      <c r="E357" s="933"/>
      <c r="F357" s="933"/>
    </row>
    <row r="358" spans="5:6" s="985" customFormat="1">
      <c r="E358" s="933"/>
      <c r="F358" s="933"/>
    </row>
    <row r="359" spans="5:6" s="985" customFormat="1">
      <c r="E359" s="933"/>
      <c r="F359" s="933"/>
    </row>
    <row r="360" spans="5:6" s="985" customFormat="1">
      <c r="E360" s="933"/>
      <c r="F360" s="933"/>
    </row>
    <row r="361" spans="5:6" s="985" customFormat="1">
      <c r="E361" s="933"/>
      <c r="F361" s="933"/>
    </row>
    <row r="362" spans="5:6" s="985" customFormat="1">
      <c r="E362" s="933"/>
      <c r="F362" s="933"/>
    </row>
    <row r="363" spans="5:6" s="985" customFormat="1">
      <c r="E363" s="933"/>
      <c r="F363" s="933"/>
    </row>
    <row r="364" spans="5:6" s="985" customFormat="1">
      <c r="E364" s="933"/>
      <c r="F364" s="933"/>
    </row>
    <row r="365" spans="5:6" s="985" customFormat="1">
      <c r="E365" s="933"/>
      <c r="F365" s="933"/>
    </row>
    <row r="366" spans="5:6" s="985" customFormat="1">
      <c r="E366" s="933"/>
      <c r="F366" s="933"/>
    </row>
    <row r="367" spans="5:6" s="985" customFormat="1">
      <c r="E367" s="933"/>
      <c r="F367" s="933"/>
    </row>
    <row r="368" spans="5:6" s="985" customFormat="1">
      <c r="E368" s="933"/>
      <c r="F368" s="933"/>
    </row>
    <row r="369" spans="5:6" s="985" customFormat="1">
      <c r="E369" s="933"/>
      <c r="F369" s="933"/>
    </row>
    <row r="370" spans="5:6" s="985" customFormat="1">
      <c r="E370" s="933"/>
      <c r="F370" s="933"/>
    </row>
    <row r="371" spans="5:6" s="985" customFormat="1">
      <c r="E371" s="933"/>
      <c r="F371" s="933"/>
    </row>
    <row r="372" spans="5:6" s="985" customFormat="1">
      <c r="E372" s="933"/>
      <c r="F372" s="933"/>
    </row>
    <row r="373" spans="5:6" s="985" customFormat="1">
      <c r="E373" s="933"/>
      <c r="F373" s="933"/>
    </row>
    <row r="374" spans="5:6" s="985" customFormat="1">
      <c r="E374" s="933"/>
      <c r="F374" s="933"/>
    </row>
    <row r="375" spans="5:6" s="985" customFormat="1">
      <c r="E375" s="933"/>
      <c r="F375" s="933"/>
    </row>
    <row r="376" spans="5:6" s="985" customFormat="1">
      <c r="E376" s="933"/>
      <c r="F376" s="933"/>
    </row>
    <row r="377" spans="5:6" s="985" customFormat="1">
      <c r="E377" s="933"/>
      <c r="F377" s="933"/>
    </row>
    <row r="378" spans="5:6" s="985" customFormat="1">
      <c r="E378" s="933"/>
      <c r="F378" s="933"/>
    </row>
    <row r="379" spans="5:6" s="985" customFormat="1">
      <c r="E379" s="933"/>
      <c r="F379" s="933"/>
    </row>
    <row r="380" spans="5:6" s="985" customFormat="1">
      <c r="E380" s="933"/>
      <c r="F380" s="933"/>
    </row>
    <row r="381" spans="5:6" s="985" customFormat="1">
      <c r="E381" s="933"/>
      <c r="F381" s="933"/>
    </row>
    <row r="382" spans="5:6" s="985" customFormat="1">
      <c r="E382" s="933"/>
      <c r="F382" s="933"/>
    </row>
    <row r="383" spans="5:6" s="985" customFormat="1">
      <c r="E383" s="933"/>
      <c r="F383" s="933"/>
    </row>
    <row r="384" spans="5:6" s="985" customFormat="1">
      <c r="E384" s="933"/>
      <c r="F384" s="933"/>
    </row>
    <row r="385" spans="5:6" s="985" customFormat="1">
      <c r="E385" s="933"/>
      <c r="F385" s="933"/>
    </row>
    <row r="386" spans="5:6" s="985" customFormat="1">
      <c r="E386" s="933"/>
      <c r="F386" s="933"/>
    </row>
    <row r="387" spans="5:6" s="985" customFormat="1">
      <c r="E387" s="933"/>
      <c r="F387" s="933"/>
    </row>
    <row r="388" spans="5:6" s="985" customFormat="1">
      <c r="E388" s="933"/>
      <c r="F388" s="933"/>
    </row>
    <row r="389" spans="5:6" s="985" customFormat="1">
      <c r="E389" s="933"/>
      <c r="F389" s="933"/>
    </row>
    <row r="390" spans="5:6" s="985" customFormat="1">
      <c r="E390" s="933"/>
      <c r="F390" s="933"/>
    </row>
    <row r="391" spans="5:6" s="985" customFormat="1">
      <c r="E391" s="933"/>
      <c r="F391" s="933"/>
    </row>
    <row r="392" spans="5:6" s="985" customFormat="1">
      <c r="E392" s="933"/>
      <c r="F392" s="933"/>
    </row>
    <row r="393" spans="5:6" s="985" customFormat="1">
      <c r="E393" s="933"/>
      <c r="F393" s="933"/>
    </row>
    <row r="394" spans="5:6" s="985" customFormat="1">
      <c r="E394" s="933"/>
      <c r="F394" s="933"/>
    </row>
    <row r="395" spans="5:6" s="985" customFormat="1">
      <c r="E395" s="933"/>
      <c r="F395" s="933"/>
    </row>
    <row r="396" spans="5:6" s="985" customFormat="1">
      <c r="E396" s="933"/>
      <c r="F396" s="933"/>
    </row>
    <row r="397" spans="5:6" s="985" customFormat="1">
      <c r="E397" s="933"/>
      <c r="F397" s="933"/>
    </row>
    <row r="398" spans="5:6" s="985" customFormat="1">
      <c r="E398" s="933"/>
      <c r="F398" s="933"/>
    </row>
    <row r="399" spans="5:6" s="985" customFormat="1">
      <c r="E399" s="933"/>
      <c r="F399" s="933"/>
    </row>
    <row r="400" spans="5:6" s="985" customFormat="1">
      <c r="E400" s="933"/>
      <c r="F400" s="933"/>
    </row>
    <row r="401" spans="5:6" s="985" customFormat="1">
      <c r="E401" s="933"/>
      <c r="F401" s="933"/>
    </row>
    <row r="402" spans="5:6" s="985" customFormat="1">
      <c r="E402" s="933"/>
      <c r="F402" s="933"/>
    </row>
    <row r="403" spans="5:6" s="985" customFormat="1">
      <c r="E403" s="933"/>
      <c r="F403" s="933"/>
    </row>
    <row r="404" spans="5:6" s="985" customFormat="1">
      <c r="E404" s="933"/>
      <c r="F404" s="933"/>
    </row>
    <row r="405" spans="5:6" s="985" customFormat="1">
      <c r="E405" s="933"/>
      <c r="F405" s="933"/>
    </row>
    <row r="406" spans="5:6" s="985" customFormat="1">
      <c r="E406" s="933"/>
      <c r="F406" s="933"/>
    </row>
    <row r="407" spans="5:6" s="985" customFormat="1">
      <c r="E407" s="933"/>
      <c r="F407" s="933"/>
    </row>
    <row r="408" spans="5:6" s="985" customFormat="1">
      <c r="E408" s="933"/>
      <c r="F408" s="933"/>
    </row>
    <row r="409" spans="5:6" s="985" customFormat="1">
      <c r="E409" s="933"/>
      <c r="F409" s="933"/>
    </row>
    <row r="410" spans="5:6" s="985" customFormat="1">
      <c r="E410" s="933"/>
      <c r="F410" s="933"/>
    </row>
    <row r="411" spans="5:6" s="985" customFormat="1">
      <c r="E411" s="933"/>
      <c r="F411" s="933"/>
    </row>
    <row r="412" spans="5:6" s="985" customFormat="1">
      <c r="E412" s="933"/>
      <c r="F412" s="933"/>
    </row>
    <row r="413" spans="5:6" s="985" customFormat="1">
      <c r="E413" s="933"/>
      <c r="F413" s="933"/>
    </row>
    <row r="414" spans="5:6" s="985" customFormat="1">
      <c r="E414" s="933"/>
      <c r="F414" s="933"/>
    </row>
    <row r="415" spans="5:6" s="985" customFormat="1">
      <c r="E415" s="933"/>
      <c r="F415" s="933"/>
    </row>
    <row r="416" spans="5:6" s="985" customFormat="1">
      <c r="E416" s="933"/>
      <c r="F416" s="933"/>
    </row>
    <row r="417" spans="5:6" s="985" customFormat="1">
      <c r="E417" s="933"/>
      <c r="F417" s="933"/>
    </row>
    <row r="418" spans="5:6" s="985" customFormat="1">
      <c r="E418" s="933"/>
      <c r="F418" s="933"/>
    </row>
    <row r="419" spans="5:6" s="985" customFormat="1">
      <c r="E419" s="933"/>
      <c r="F419" s="933"/>
    </row>
    <row r="420" spans="5:6" s="985" customFormat="1">
      <c r="E420" s="933"/>
      <c r="F420" s="933"/>
    </row>
    <row r="421" spans="5:6" s="985" customFormat="1">
      <c r="E421" s="933"/>
      <c r="F421" s="933"/>
    </row>
    <row r="422" spans="5:6" s="985" customFormat="1">
      <c r="E422" s="933"/>
      <c r="F422" s="933"/>
    </row>
    <row r="423" spans="5:6" s="985" customFormat="1">
      <c r="E423" s="933"/>
      <c r="F423" s="933"/>
    </row>
    <row r="424" spans="5:6" s="985" customFormat="1">
      <c r="E424" s="933"/>
      <c r="F424" s="933"/>
    </row>
    <row r="425" spans="5:6" s="985" customFormat="1">
      <c r="E425" s="933"/>
      <c r="F425" s="933"/>
    </row>
    <row r="426" spans="5:6" s="985" customFormat="1">
      <c r="E426" s="933"/>
      <c r="F426" s="933"/>
    </row>
    <row r="427" spans="5:6" s="985" customFormat="1">
      <c r="E427" s="933"/>
      <c r="F427" s="933"/>
    </row>
    <row r="428" spans="5:6" s="985" customFormat="1">
      <c r="E428" s="933"/>
      <c r="F428" s="933"/>
    </row>
    <row r="429" spans="5:6" s="985" customFormat="1">
      <c r="E429" s="933"/>
      <c r="F429" s="933"/>
    </row>
    <row r="430" spans="5:6" s="985" customFormat="1">
      <c r="E430" s="933"/>
      <c r="F430" s="933"/>
    </row>
    <row r="431" spans="5:6" s="985" customFormat="1">
      <c r="E431" s="933"/>
      <c r="F431" s="933"/>
    </row>
    <row r="432" spans="5:6" s="985" customFormat="1">
      <c r="E432" s="933"/>
      <c r="F432" s="933"/>
    </row>
    <row r="433" spans="5:6" s="985" customFormat="1">
      <c r="E433" s="933"/>
      <c r="F433" s="933"/>
    </row>
    <row r="434" spans="5:6" s="985" customFormat="1">
      <c r="E434" s="933"/>
      <c r="F434" s="933"/>
    </row>
    <row r="435" spans="5:6" s="985" customFormat="1">
      <c r="E435" s="933"/>
      <c r="F435" s="933"/>
    </row>
    <row r="436" spans="5:6" s="985" customFormat="1">
      <c r="E436" s="933"/>
      <c r="F436" s="933"/>
    </row>
    <row r="437" spans="5:6" s="985" customFormat="1">
      <c r="E437" s="933"/>
      <c r="F437" s="933"/>
    </row>
    <row r="438" spans="5:6" s="985" customFormat="1">
      <c r="E438" s="933"/>
      <c r="F438" s="933"/>
    </row>
    <row r="439" spans="5:6" s="985" customFormat="1">
      <c r="E439" s="933"/>
      <c r="F439" s="933"/>
    </row>
    <row r="440" spans="5:6" s="985" customFormat="1">
      <c r="E440" s="933"/>
      <c r="F440" s="933"/>
    </row>
    <row r="441" spans="5:6" s="985" customFormat="1">
      <c r="E441" s="933"/>
      <c r="F441" s="933"/>
    </row>
    <row r="442" spans="5:6" s="985" customFormat="1">
      <c r="E442" s="933"/>
      <c r="F442" s="933"/>
    </row>
    <row r="443" spans="5:6" s="985" customFormat="1">
      <c r="E443" s="933"/>
      <c r="F443" s="933"/>
    </row>
    <row r="444" spans="5:6" s="985" customFormat="1">
      <c r="E444" s="933"/>
      <c r="F444" s="933"/>
    </row>
    <row r="445" spans="5:6" s="985" customFormat="1">
      <c r="E445" s="933"/>
      <c r="F445" s="933"/>
    </row>
    <row r="446" spans="5:6" s="985" customFormat="1">
      <c r="E446" s="933"/>
      <c r="F446" s="933"/>
    </row>
    <row r="447" spans="5:6" s="985" customFormat="1">
      <c r="E447" s="933"/>
      <c r="F447" s="933"/>
    </row>
    <row r="448" spans="5:6" s="985" customFormat="1">
      <c r="E448" s="933"/>
      <c r="F448" s="933"/>
    </row>
    <row r="449" spans="5:6" s="985" customFormat="1">
      <c r="E449" s="933"/>
      <c r="F449" s="933"/>
    </row>
    <row r="450" spans="5:6" s="985" customFormat="1">
      <c r="E450" s="933"/>
      <c r="F450" s="933"/>
    </row>
    <row r="451" spans="5:6" s="985" customFormat="1">
      <c r="E451" s="933"/>
      <c r="F451" s="933"/>
    </row>
    <row r="452" spans="5:6" s="985" customFormat="1">
      <c r="E452" s="933"/>
      <c r="F452" s="933"/>
    </row>
    <row r="453" spans="5:6" s="985" customFormat="1">
      <c r="E453" s="933"/>
      <c r="F453" s="933"/>
    </row>
    <row r="454" spans="5:6" s="985" customFormat="1">
      <c r="E454" s="933"/>
      <c r="F454" s="933"/>
    </row>
    <row r="455" spans="5:6" s="985" customFormat="1">
      <c r="E455" s="933"/>
      <c r="F455" s="933"/>
    </row>
    <row r="456" spans="5:6" s="985" customFormat="1">
      <c r="E456" s="933"/>
      <c r="F456" s="933"/>
    </row>
    <row r="457" spans="5:6" s="985" customFormat="1">
      <c r="E457" s="933"/>
      <c r="F457" s="933"/>
    </row>
    <row r="458" spans="5:6" s="985" customFormat="1">
      <c r="E458" s="933"/>
      <c r="F458" s="933"/>
    </row>
    <row r="459" spans="5:6" s="985" customFormat="1">
      <c r="E459" s="933"/>
      <c r="F459" s="933"/>
    </row>
    <row r="460" spans="5:6" s="985" customFormat="1">
      <c r="E460" s="933"/>
      <c r="F460" s="933"/>
    </row>
    <row r="461" spans="5:6" s="985" customFormat="1">
      <c r="E461" s="933"/>
      <c r="F461" s="933"/>
    </row>
    <row r="462" spans="5:6" s="985" customFormat="1">
      <c r="E462" s="933"/>
      <c r="F462" s="933"/>
    </row>
    <row r="463" spans="5:6" s="985" customFormat="1">
      <c r="E463" s="933"/>
      <c r="F463" s="933"/>
    </row>
    <row r="464" spans="5:6" s="985" customFormat="1">
      <c r="E464" s="933"/>
      <c r="F464" s="933"/>
    </row>
    <row r="465" spans="5:6" s="985" customFormat="1">
      <c r="E465" s="933"/>
      <c r="F465" s="933"/>
    </row>
    <row r="466" spans="5:6" s="985" customFormat="1">
      <c r="E466" s="933"/>
      <c r="F466" s="933"/>
    </row>
    <row r="467" spans="5:6" s="985" customFormat="1">
      <c r="E467" s="933"/>
      <c r="F467" s="933"/>
    </row>
    <row r="468" spans="5:6" s="985" customFormat="1">
      <c r="E468" s="933"/>
      <c r="F468" s="933"/>
    </row>
    <row r="469" spans="5:6" s="985" customFormat="1">
      <c r="E469" s="933"/>
      <c r="F469" s="933"/>
    </row>
    <row r="470" spans="5:6" s="985" customFormat="1">
      <c r="E470" s="933"/>
      <c r="F470" s="933"/>
    </row>
    <row r="471" spans="5:6" s="985" customFormat="1">
      <c r="E471" s="933"/>
      <c r="F471" s="933"/>
    </row>
    <row r="472" spans="5:6" s="985" customFormat="1">
      <c r="E472" s="933"/>
      <c r="F472" s="933"/>
    </row>
    <row r="473" spans="5:6" s="985" customFormat="1">
      <c r="E473" s="933"/>
      <c r="F473" s="933"/>
    </row>
    <row r="474" spans="5:6" s="985" customFormat="1">
      <c r="E474" s="933"/>
      <c r="F474" s="933"/>
    </row>
    <row r="475" spans="5:6" s="985" customFormat="1">
      <c r="E475" s="933"/>
      <c r="F475" s="933"/>
    </row>
    <row r="476" spans="5:6" s="985" customFormat="1">
      <c r="E476" s="933"/>
      <c r="F476" s="933"/>
    </row>
    <row r="477" spans="5:6" s="985" customFormat="1">
      <c r="E477" s="933"/>
      <c r="F477" s="933"/>
    </row>
    <row r="478" spans="5:6" s="985" customFormat="1">
      <c r="E478" s="933"/>
      <c r="F478" s="933"/>
    </row>
    <row r="479" spans="5:6" s="985" customFormat="1">
      <c r="E479" s="933"/>
      <c r="F479" s="933"/>
    </row>
    <row r="480" spans="5:6" s="985" customFormat="1">
      <c r="E480" s="933"/>
      <c r="F480" s="933"/>
    </row>
    <row r="481" spans="5:14" s="985" customFormat="1">
      <c r="E481" s="933"/>
      <c r="F481" s="933"/>
    </row>
    <row r="482" spans="5:14" s="985" customFormat="1">
      <c r="E482" s="933"/>
      <c r="F482" s="933"/>
    </row>
    <row r="483" spans="5:14" s="985" customFormat="1">
      <c r="E483" s="933"/>
      <c r="F483" s="933"/>
    </row>
    <row r="484" spans="5:14" s="985" customFormat="1">
      <c r="E484" s="933"/>
      <c r="F484" s="933"/>
    </row>
    <row r="485" spans="5:14" s="985" customFormat="1">
      <c r="E485" s="933"/>
      <c r="F485" s="933"/>
    </row>
    <row r="486" spans="5:14" s="985" customFormat="1">
      <c r="E486" s="933"/>
      <c r="F486" s="933"/>
    </row>
    <row r="487" spans="5:14" s="985" customFormat="1">
      <c r="E487" s="933"/>
      <c r="F487" s="933"/>
    </row>
    <row r="488" spans="5:14" s="985" customFormat="1">
      <c r="E488" s="933"/>
      <c r="F488" s="933"/>
    </row>
    <row r="489" spans="5:14" s="985" customFormat="1">
      <c r="E489" s="933"/>
      <c r="F489" s="933"/>
    </row>
    <row r="490" spans="5:14" s="985" customFormat="1">
      <c r="E490" s="933"/>
      <c r="F490" s="933"/>
    </row>
    <row r="491" spans="5:14" s="985" customFormat="1">
      <c r="E491" s="933"/>
      <c r="F491" s="933"/>
    </row>
    <row r="492" spans="5:14" s="985" customFormat="1">
      <c r="E492" s="933"/>
      <c r="F492" s="933"/>
    </row>
    <row r="493" spans="5:14" s="985" customFormat="1">
      <c r="E493" s="933"/>
      <c r="F493" s="933"/>
    </row>
    <row r="494" spans="5:14" s="985" customFormat="1">
      <c r="E494" s="933"/>
      <c r="F494" s="933"/>
    </row>
    <row r="496" spans="5:14">
      <c r="J496" s="984"/>
      <c r="K496" s="984"/>
      <c r="L496" s="984"/>
      <c r="M496" s="984"/>
      <c r="N496" s="984"/>
    </row>
    <row r="497" spans="10:14">
      <c r="J497" s="984"/>
      <c r="K497" s="984"/>
      <c r="L497" s="984"/>
      <c r="M497" s="984"/>
      <c r="N497" s="984"/>
    </row>
    <row r="498" spans="10:14">
      <c r="J498" s="984"/>
      <c r="K498" s="984"/>
      <c r="L498" s="984"/>
      <c r="M498" s="984"/>
      <c r="N498" s="984"/>
    </row>
    <row r="499" spans="10:14">
      <c r="J499" s="984"/>
      <c r="K499" s="984"/>
      <c r="L499" s="984"/>
      <c r="M499" s="984"/>
      <c r="N499" s="984"/>
    </row>
    <row r="500" spans="10:14">
      <c r="J500" s="984"/>
      <c r="K500" s="984"/>
      <c r="L500" s="984"/>
      <c r="M500" s="984"/>
      <c r="N500" s="984"/>
    </row>
    <row r="501" spans="10:14">
      <c r="J501" s="984"/>
      <c r="K501" s="984"/>
      <c r="L501" s="984"/>
      <c r="M501" s="984"/>
      <c r="N501" s="984"/>
    </row>
    <row r="502" spans="10:14">
      <c r="J502" s="984"/>
      <c r="K502" s="984"/>
      <c r="L502" s="984"/>
      <c r="M502" s="984"/>
      <c r="N502" s="984"/>
    </row>
    <row r="503" spans="10:14">
      <c r="J503" s="984"/>
      <c r="K503" s="984"/>
      <c r="L503" s="984"/>
      <c r="M503" s="984"/>
      <c r="N503" s="984"/>
    </row>
  </sheetData>
  <mergeCells count="8">
    <mergeCell ref="J89:N89"/>
    <mergeCell ref="B1:H1"/>
    <mergeCell ref="J1:N1"/>
    <mergeCell ref="J8:N8"/>
    <mergeCell ref="H15:H16"/>
    <mergeCell ref="J51:N51"/>
    <mergeCell ref="B56:H56"/>
    <mergeCell ref="H26:K26"/>
  </mergeCells>
  <phoneticPr fontId="115" type="noConversion"/>
  <printOptions horizontalCentered="1" verticalCentered="1"/>
  <pageMargins left="0.25" right="0.25" top="0" bottom="0" header="0.3" footer="0"/>
  <pageSetup scale="75" fitToHeight="2" orientation="portrait" r:id="rId1"/>
  <headerFooter>
    <oddFooter>&amp;R&amp;P of &amp;N</oddFooter>
  </headerFooter>
  <rowBreaks count="1" manualBreakCount="1">
    <brk id="50" min="9" max="1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79998168889431442"/>
  </sheetPr>
  <dimension ref="A1:NY503"/>
  <sheetViews>
    <sheetView topLeftCell="A16" zoomScale="80" zoomScaleNormal="80" workbookViewId="0">
      <selection activeCell="D34" sqref="D34:D36"/>
    </sheetView>
  </sheetViews>
  <sheetFormatPr defaultColWidth="9.42578125" defaultRowHeight="12.75"/>
  <cols>
    <col min="1" max="1" width="3.42578125" style="985" customWidth="1"/>
    <col min="2" max="2" width="32.42578125" style="985" customWidth="1"/>
    <col min="3" max="4" width="12.42578125" style="985" customWidth="1"/>
    <col min="5" max="5" width="12.42578125" style="933" customWidth="1"/>
    <col min="6" max="6" width="6.5703125" style="985" customWidth="1"/>
    <col min="7" max="7" width="51.42578125" style="985" customWidth="1"/>
    <col min="8" max="8" width="11.42578125" style="985" customWidth="1"/>
    <col min="9" max="9" width="28.42578125" style="985" customWidth="1"/>
    <col min="10" max="10" width="6.42578125" style="985" customWidth="1"/>
    <col min="11" max="11" width="11" style="985" customWidth="1"/>
    <col min="12" max="12" width="13.5703125" style="985" customWidth="1"/>
    <col min="13" max="13" width="17.5703125" style="985" customWidth="1"/>
    <col min="14" max="14" width="21.5703125" style="985" customWidth="1"/>
    <col min="15" max="16" width="9.42578125" style="985"/>
    <col min="17" max="17" width="6.5703125" style="985" customWidth="1"/>
    <col min="18" max="18" width="10.5703125" style="985" customWidth="1"/>
    <col min="19" max="19" width="9.42578125" style="985"/>
    <col min="20" max="20" width="13.5703125" style="985" customWidth="1"/>
    <col min="21" max="21" width="10.5703125" style="985" customWidth="1"/>
    <col min="22" max="22" width="15.42578125" style="985" bestFit="1" customWidth="1"/>
    <col min="23" max="23" width="10.5703125" style="985" customWidth="1"/>
    <col min="24" max="24" width="15.5703125" style="985" customWidth="1"/>
    <col min="25" max="61" width="9.42578125" style="985"/>
    <col min="62" max="389" width="9.42578125" style="984"/>
    <col min="390" max="16384" width="9.42578125" style="985"/>
  </cols>
  <sheetData>
    <row r="1" spans="1:14" ht="15.75" customHeight="1" thickBot="1">
      <c r="A1" s="156"/>
      <c r="B1" s="2585" t="s">
        <v>546</v>
      </c>
      <c r="C1" s="2585"/>
      <c r="D1" s="2585"/>
      <c r="E1" s="2585"/>
      <c r="F1" s="2585"/>
      <c r="G1" s="2585"/>
      <c r="H1" s="156"/>
      <c r="I1" s="2586" t="s">
        <v>379</v>
      </c>
      <c r="J1" s="2586"/>
      <c r="K1" s="2586"/>
      <c r="L1" s="2586"/>
      <c r="M1" s="2586"/>
      <c r="N1" s="156"/>
    </row>
    <row r="2" spans="1:14" ht="13.5" thickBot="1">
      <c r="A2" s="156"/>
      <c r="B2" s="156"/>
      <c r="C2" s="156"/>
      <c r="D2" s="156"/>
      <c r="E2" s="1196"/>
      <c r="F2" s="156"/>
      <c r="G2" s="156"/>
      <c r="H2" s="156"/>
      <c r="I2" s="1045"/>
      <c r="J2" s="156"/>
      <c r="K2" s="156"/>
      <c r="L2" s="156"/>
      <c r="M2" s="156"/>
      <c r="N2" s="156"/>
    </row>
    <row r="3" spans="1:14">
      <c r="A3" s="156"/>
      <c r="B3" s="1331" t="s">
        <v>0</v>
      </c>
      <c r="C3" s="1332" t="s">
        <v>1</v>
      </c>
      <c r="D3" s="1333" t="s">
        <v>2</v>
      </c>
      <c r="E3" s="1367"/>
      <c r="F3" s="1334"/>
      <c r="G3" s="156"/>
      <c r="H3" s="156"/>
      <c r="I3" s="156"/>
      <c r="J3" s="39"/>
      <c r="K3" s="1334"/>
      <c r="L3" s="1334"/>
      <c r="M3" s="156"/>
      <c r="N3" s="156"/>
    </row>
    <row r="4" spans="1:14">
      <c r="A4" s="156"/>
      <c r="B4" s="140" t="s">
        <v>370</v>
      </c>
      <c r="C4" s="854">
        <v>15</v>
      </c>
      <c r="D4" s="164">
        <f>C4*8</f>
        <v>120</v>
      </c>
      <c r="E4" s="1368"/>
      <c r="F4" s="39"/>
      <c r="G4" s="156"/>
      <c r="H4" s="156"/>
      <c r="I4" s="156"/>
      <c r="J4" s="39"/>
      <c r="K4" s="39"/>
      <c r="L4" s="39"/>
      <c r="M4" s="156"/>
      <c r="N4" s="156"/>
    </row>
    <row r="5" spans="1:14" ht="13.5" thickBot="1">
      <c r="A5" s="156"/>
      <c r="B5" s="140" t="s">
        <v>378</v>
      </c>
      <c r="C5" s="854">
        <v>8</v>
      </c>
      <c r="D5" s="164">
        <f>C5*8</f>
        <v>64</v>
      </c>
      <c r="E5" s="1368"/>
      <c r="F5" s="39"/>
      <c r="G5" s="156"/>
      <c r="H5" s="156"/>
      <c r="I5" s="156"/>
      <c r="J5" s="39"/>
      <c r="K5" s="39"/>
      <c r="L5" s="39"/>
      <c r="M5" s="156"/>
      <c r="N5" s="156"/>
    </row>
    <row r="6" spans="1:14">
      <c r="A6" s="156"/>
      <c r="B6" s="140" t="s">
        <v>372</v>
      </c>
      <c r="C6" s="854">
        <v>10</v>
      </c>
      <c r="D6" s="164">
        <f>C6*8</f>
        <v>80</v>
      </c>
      <c r="E6" s="1368"/>
      <c r="F6" s="39"/>
      <c r="G6" s="156"/>
      <c r="H6" s="156"/>
      <c r="I6" s="901"/>
      <c r="J6" s="903"/>
      <c r="K6" s="903"/>
      <c r="L6" s="903"/>
      <c r="M6" s="1077"/>
      <c r="N6" s="156"/>
    </row>
    <row r="7" spans="1:14" ht="13.5" thickBot="1">
      <c r="A7" s="156"/>
      <c r="B7" s="142" t="s">
        <v>902</v>
      </c>
      <c r="C7" s="854">
        <v>5</v>
      </c>
      <c r="D7" s="165">
        <f>C7*8</f>
        <v>40</v>
      </c>
      <c r="E7" s="1368"/>
      <c r="F7" s="39"/>
      <c r="G7" s="156"/>
      <c r="H7" s="156"/>
      <c r="I7" s="112"/>
      <c r="J7" s="39"/>
      <c r="K7" s="39"/>
      <c r="L7" s="39"/>
      <c r="M7" s="991"/>
      <c r="N7" s="156"/>
    </row>
    <row r="8" spans="1:14" ht="13.5" thickBot="1">
      <c r="A8" s="156"/>
      <c r="B8" s="140"/>
      <c r="C8" s="143" t="s">
        <v>3</v>
      </c>
      <c r="D8" s="164">
        <f>SUM(D4:D7)</f>
        <v>304</v>
      </c>
      <c r="E8" s="1368"/>
      <c r="F8" s="39"/>
      <c r="G8" s="156"/>
      <c r="H8" s="156"/>
      <c r="I8" s="2582" t="s">
        <v>569</v>
      </c>
      <c r="J8" s="2583"/>
      <c r="K8" s="2583"/>
      <c r="L8" s="2583"/>
      <c r="M8" s="2584"/>
      <c r="N8" s="156"/>
    </row>
    <row r="9" spans="1:14" ht="13.5" thickBot="1">
      <c r="A9" s="156"/>
      <c r="B9" s="144"/>
      <c r="C9" s="145" t="s">
        <v>4</v>
      </c>
      <c r="D9" s="166">
        <f>D8/(52*40)</f>
        <v>0.14615384615384616</v>
      </c>
      <c r="E9" s="1369"/>
      <c r="F9" s="40"/>
      <c r="G9" s="156"/>
      <c r="H9" s="156"/>
      <c r="I9" s="901" t="s">
        <v>277</v>
      </c>
      <c r="J9" s="903">
        <v>5</v>
      </c>
      <c r="K9" s="1076"/>
      <c r="L9" s="1335" t="s">
        <v>133</v>
      </c>
      <c r="M9" s="1336">
        <f>J9*365</f>
        <v>1825</v>
      </c>
      <c r="N9" s="156"/>
    </row>
    <row r="10" spans="1:14" ht="13.5" thickBot="1">
      <c r="A10" s="156"/>
      <c r="B10" s="156"/>
      <c r="C10" s="1076"/>
      <c r="D10" s="156"/>
      <c r="E10" s="1196"/>
      <c r="F10" s="156"/>
      <c r="G10" s="156"/>
      <c r="H10" s="156"/>
      <c r="I10" s="109"/>
      <c r="J10" s="156"/>
      <c r="K10" s="156"/>
      <c r="L10" s="156"/>
      <c r="M10" s="991"/>
      <c r="N10" s="156"/>
    </row>
    <row r="11" spans="1:14" ht="25.5">
      <c r="A11" s="156"/>
      <c r="B11" s="992"/>
      <c r="C11" s="1337"/>
      <c r="D11" s="1337" t="s">
        <v>41</v>
      </c>
      <c r="E11" s="1370" t="s">
        <v>821</v>
      </c>
      <c r="F11" s="1175"/>
      <c r="G11" s="1338" t="s">
        <v>278</v>
      </c>
      <c r="H11" s="156"/>
      <c r="I11" s="1097"/>
      <c r="J11" s="1339"/>
      <c r="K11" s="997" t="s">
        <v>5</v>
      </c>
      <c r="L11" s="997" t="s">
        <v>6</v>
      </c>
      <c r="M11" s="998" t="s">
        <v>7</v>
      </c>
      <c r="N11" s="156"/>
    </row>
    <row r="12" spans="1:14">
      <c r="A12" s="156"/>
      <c r="B12" s="48"/>
      <c r="C12" s="1340"/>
      <c r="D12" s="1340"/>
      <c r="E12" s="1371"/>
      <c r="F12" s="339"/>
      <c r="G12" s="1341"/>
      <c r="H12" s="156"/>
      <c r="I12" s="109"/>
      <c r="J12" s="1123"/>
      <c r="K12" s="39"/>
      <c r="L12" s="39"/>
      <c r="M12" s="1342"/>
      <c r="N12" s="156"/>
    </row>
    <row r="13" spans="1:14">
      <c r="A13" s="156"/>
      <c r="B13" s="48" t="s">
        <v>29</v>
      </c>
      <c r="C13" s="339"/>
      <c r="D13" s="1340"/>
      <c r="E13" s="1371"/>
      <c r="F13" s="339"/>
      <c r="G13" s="991"/>
      <c r="H13" s="156"/>
      <c r="I13" s="109" t="s">
        <v>29</v>
      </c>
      <c r="J13" s="1123"/>
      <c r="K13" s="1003"/>
      <c r="L13" s="39"/>
      <c r="M13" s="1342"/>
      <c r="N13" s="156"/>
    </row>
    <row r="14" spans="1:14">
      <c r="A14" s="156"/>
      <c r="B14" s="48" t="s">
        <v>421</v>
      </c>
      <c r="C14" s="1022"/>
      <c r="D14" s="999">
        <f>85899*(1+D40)</f>
        <v>92496.84919424048</v>
      </c>
      <c r="E14" s="1371"/>
      <c r="F14" s="339"/>
      <c r="G14" s="49" t="str">
        <f>GLE!G14</f>
        <v>FY16 UFR, Weighted Average, Program Function Manager</v>
      </c>
      <c r="H14" s="156"/>
      <c r="I14" s="109" t="str">
        <f>B14</f>
        <v xml:space="preserve">  Management Supervision</v>
      </c>
      <c r="J14" s="1002"/>
      <c r="K14" s="1003">
        <f>D14</f>
        <v>92496.84919424048</v>
      </c>
      <c r="L14" s="1004">
        <f>C46</f>
        <v>0.1</v>
      </c>
      <c r="M14" s="1005">
        <f>K14*L14</f>
        <v>9249.6849194240476</v>
      </c>
      <c r="N14" s="156"/>
    </row>
    <row r="15" spans="1:14" ht="13.35" customHeight="1">
      <c r="A15" s="156"/>
      <c r="B15" s="48" t="s">
        <v>402</v>
      </c>
      <c r="C15" s="1022"/>
      <c r="D15" s="1649">
        <f>'Integrated Team (FY21)'!E14</f>
        <v>53840</v>
      </c>
      <c r="E15" s="1371">
        <v>60923</v>
      </c>
      <c r="F15" s="339"/>
      <c r="G15" s="2559" t="s">
        <v>908</v>
      </c>
      <c r="H15" s="156"/>
      <c r="I15" s="109" t="str">
        <f>B15</f>
        <v xml:space="preserve">  Specialty Site Manager</v>
      </c>
      <c r="J15" s="1002"/>
      <c r="K15" s="1003">
        <f>E15</f>
        <v>60923</v>
      </c>
      <c r="L15" s="1004">
        <f>C47</f>
        <v>1</v>
      </c>
      <c r="M15" s="1005">
        <f>K15*L15</f>
        <v>60923</v>
      </c>
      <c r="N15" s="156"/>
    </row>
    <row r="16" spans="1:14">
      <c r="A16" s="156"/>
      <c r="B16" s="48" t="s">
        <v>30</v>
      </c>
      <c r="C16" s="1022"/>
      <c r="D16" s="999"/>
      <c r="E16" s="1371"/>
      <c r="F16" s="339"/>
      <c r="G16" s="2559"/>
      <c r="H16" s="156"/>
      <c r="I16" s="109" t="s">
        <v>30</v>
      </c>
      <c r="J16" s="1002"/>
      <c r="K16" s="1003"/>
      <c r="L16" s="1004"/>
      <c r="M16" s="1005"/>
      <c r="N16" s="156"/>
    </row>
    <row r="17" spans="1:16">
      <c r="A17" s="156"/>
      <c r="B17" s="48" t="s">
        <v>48</v>
      </c>
      <c r="C17" s="1022"/>
      <c r="D17" s="1372">
        <f>Chart!C20</f>
        <v>86860.800000000003</v>
      </c>
      <c r="F17" s="339"/>
      <c r="G17" s="49" t="s">
        <v>886</v>
      </c>
      <c r="H17" s="156"/>
      <c r="I17" s="1099" t="str">
        <f>B17</f>
        <v xml:space="preserve">  RN</v>
      </c>
      <c r="J17" s="1002"/>
      <c r="K17" s="1086">
        <f>D17</f>
        <v>86860.800000000003</v>
      </c>
      <c r="L17" s="1004">
        <f>C49</f>
        <v>1</v>
      </c>
      <c r="M17" s="1005">
        <f>K17*L17</f>
        <v>86860.800000000003</v>
      </c>
      <c r="N17" s="156"/>
    </row>
    <row r="18" spans="1:16">
      <c r="A18" s="156"/>
      <c r="B18" s="48" t="s">
        <v>122</v>
      </c>
      <c r="C18" s="1022"/>
      <c r="D18" s="1372">
        <f>Chart!C8</f>
        <v>32302.399999999998</v>
      </c>
      <c r="E18" s="1371"/>
      <c r="F18" s="339"/>
      <c r="G18" s="49" t="s">
        <v>886</v>
      </c>
      <c r="H18" s="156"/>
      <c r="I18" s="1099" t="str">
        <f>B18</f>
        <v xml:space="preserve">  Certified Nursing Assistant (CNA)</v>
      </c>
      <c r="J18" s="1002"/>
      <c r="K18" s="1086">
        <f>D18</f>
        <v>32302.399999999998</v>
      </c>
      <c r="L18" s="1004">
        <f>C50</f>
        <v>3</v>
      </c>
      <c r="M18" s="1005">
        <f>K18*L18</f>
        <v>96907.199999999997</v>
      </c>
      <c r="N18" s="156"/>
    </row>
    <row r="19" spans="1:16">
      <c r="A19" s="156"/>
      <c r="B19" s="48" t="s">
        <v>31</v>
      </c>
      <c r="C19" s="1022"/>
      <c r="D19" s="999"/>
      <c r="E19" s="1371"/>
      <c r="F19" s="339"/>
      <c r="G19" s="991"/>
      <c r="H19" s="156"/>
      <c r="I19" s="109"/>
      <c r="J19" s="1002"/>
      <c r="K19" s="1003"/>
      <c r="L19" s="1004"/>
      <c r="M19" s="1005"/>
      <c r="N19" s="156"/>
    </row>
    <row r="20" spans="1:16" ht="13.35" customHeight="1">
      <c r="A20" s="156"/>
      <c r="B20" s="79" t="s">
        <v>875</v>
      </c>
      <c r="C20" s="1022"/>
      <c r="D20" s="1372">
        <f>Chart!C6</f>
        <v>41516.800000000003</v>
      </c>
      <c r="E20" s="1371"/>
      <c r="F20" s="999"/>
      <c r="G20" s="49" t="s">
        <v>886</v>
      </c>
      <c r="H20" s="156"/>
      <c r="I20" s="1099" t="str">
        <f>B20</f>
        <v xml:space="preserve">  Direct Care III</v>
      </c>
      <c r="J20" s="1002"/>
      <c r="K20" s="1086">
        <f>D20</f>
        <v>41516.800000000003</v>
      </c>
      <c r="L20" s="1004">
        <f>C52</f>
        <v>2</v>
      </c>
      <c r="M20" s="1005">
        <f>K20*L20</f>
        <v>83033.600000000006</v>
      </c>
      <c r="N20" s="156"/>
    </row>
    <row r="21" spans="1:16">
      <c r="A21" s="156"/>
      <c r="B21" s="79" t="s">
        <v>973</v>
      </c>
      <c r="C21" s="1022"/>
      <c r="D21" s="1372">
        <f>Chart!C4</f>
        <v>32198.400000000001</v>
      </c>
      <c r="E21" s="1371"/>
      <c r="F21" s="999"/>
      <c r="G21" s="49" t="s">
        <v>886</v>
      </c>
      <c r="H21" s="156"/>
      <c r="I21" s="1099" t="str">
        <f>B21</f>
        <v xml:space="preserve">  Direct Care</v>
      </c>
      <c r="J21" s="1002"/>
      <c r="K21" s="1086">
        <f>D21</f>
        <v>32198.400000000001</v>
      </c>
      <c r="L21" s="1004">
        <f>C53</f>
        <v>4</v>
      </c>
      <c r="M21" s="1005">
        <f>K21*L21</f>
        <v>128793.60000000001</v>
      </c>
      <c r="N21" s="156"/>
    </row>
    <row r="22" spans="1:16">
      <c r="A22" s="156"/>
      <c r="B22" s="48" t="s">
        <v>349</v>
      </c>
      <c r="C22" s="1022"/>
      <c r="D22" s="1372">
        <f>Chart!C4</f>
        <v>32198.400000000001</v>
      </c>
      <c r="E22" s="1371"/>
      <c r="F22" s="339"/>
      <c r="G22" s="49" t="s">
        <v>886</v>
      </c>
      <c r="H22" s="156"/>
      <c r="I22" s="1099" t="str">
        <f>B22</f>
        <v xml:space="preserve">  Relief</v>
      </c>
      <c r="J22" s="1002"/>
      <c r="K22" s="1086">
        <f>D22</f>
        <v>32198.400000000001</v>
      </c>
      <c r="L22" s="1004">
        <f>C54</f>
        <v>0.87692307692307692</v>
      </c>
      <c r="M22" s="1005">
        <f>K22*L22</f>
        <v>28235.52</v>
      </c>
      <c r="N22" s="156"/>
    </row>
    <row r="23" spans="1:16">
      <c r="A23" s="156"/>
      <c r="B23" s="48"/>
      <c r="C23" s="339"/>
      <c r="D23" s="999"/>
      <c r="F23" s="339"/>
      <c r="G23" s="991"/>
      <c r="H23" s="156"/>
      <c r="I23" s="1018" t="s">
        <v>13</v>
      </c>
      <c r="J23" s="1019"/>
      <c r="K23" s="1019"/>
      <c r="L23" s="1307">
        <f>SUM(L14:L22)</f>
        <v>11.976923076923077</v>
      </c>
      <c r="M23" s="1136">
        <f>SUM(M14:M22)</f>
        <v>494003.40491942409</v>
      </c>
      <c r="N23" s="156"/>
    </row>
    <row r="24" spans="1:16">
      <c r="A24" s="156"/>
      <c r="B24" s="48"/>
      <c r="C24" s="339"/>
      <c r="D24" s="999"/>
      <c r="E24" s="1371"/>
      <c r="F24" s="339"/>
      <c r="G24" s="991"/>
      <c r="H24" s="156"/>
      <c r="I24" s="109"/>
      <c r="J24" s="156"/>
      <c r="K24" s="156"/>
      <c r="L24" s="156"/>
      <c r="M24" s="991"/>
      <c r="N24" s="156"/>
    </row>
    <row r="25" spans="1:16">
      <c r="A25" s="156"/>
      <c r="B25" s="48"/>
      <c r="C25" s="339"/>
      <c r="D25" s="1340" t="s">
        <v>42</v>
      </c>
      <c r="E25" s="1371"/>
      <c r="F25" s="339"/>
      <c r="G25" s="991"/>
      <c r="H25" s="156"/>
      <c r="I25" s="109" t="s">
        <v>15</v>
      </c>
      <c r="J25" s="156"/>
      <c r="K25" s="156"/>
      <c r="L25" s="156" t="s">
        <v>16</v>
      </c>
      <c r="M25" s="991"/>
      <c r="N25" s="156"/>
    </row>
    <row r="26" spans="1:16">
      <c r="A26" s="156"/>
      <c r="B26" s="1034" t="s">
        <v>434</v>
      </c>
      <c r="C26" s="339"/>
      <c r="D26" s="1373">
        <f>'Integrated Team (FY21)'!E32</f>
        <v>0.224</v>
      </c>
      <c r="F26" s="398"/>
      <c r="G26" s="1646" t="s">
        <v>978</v>
      </c>
      <c r="H26" s="156"/>
      <c r="I26" s="1099" t="str">
        <f>B26</f>
        <v xml:space="preserve">  Tax and Fringe</v>
      </c>
      <c r="J26" s="156"/>
      <c r="K26" s="1088">
        <f>D26</f>
        <v>0.224</v>
      </c>
      <c r="L26" s="156"/>
      <c r="M26" s="1017">
        <f>K26*M23</f>
        <v>110656.762701951</v>
      </c>
      <c r="N26" s="156"/>
    </row>
    <row r="27" spans="1:16">
      <c r="A27" s="156"/>
      <c r="B27" s="48"/>
      <c r="C27" s="398"/>
      <c r="D27" s="398"/>
      <c r="E27" s="1374"/>
      <c r="F27" s="398"/>
      <c r="G27" s="991"/>
      <c r="H27" s="156"/>
      <c r="I27" s="1018" t="s">
        <v>18</v>
      </c>
      <c r="J27" s="1019"/>
      <c r="K27" s="1019"/>
      <c r="L27" s="1020"/>
      <c r="M27" s="1021">
        <f>SUM(M23:M26)</f>
        <v>604660.16762137506</v>
      </c>
      <c r="N27" s="156"/>
    </row>
    <row r="28" spans="1:16">
      <c r="A28" s="156"/>
      <c r="B28" s="48"/>
      <c r="C28" s="1343"/>
      <c r="D28" s="1344" t="s">
        <v>328</v>
      </c>
      <c r="E28" s="1375"/>
      <c r="F28" s="1343"/>
      <c r="G28" s="991"/>
      <c r="H28" s="156"/>
      <c r="I28" s="109"/>
      <c r="J28" s="156"/>
      <c r="K28" s="156"/>
      <c r="L28" s="884"/>
      <c r="M28" s="1005"/>
      <c r="N28" s="156"/>
    </row>
    <row r="29" spans="1:16">
      <c r="A29" s="156"/>
      <c r="B29" s="48" t="s">
        <v>123</v>
      </c>
      <c r="C29" s="1022"/>
      <c r="D29" s="1221">
        <f>'Integrated Team (FY21)'!E36</f>
        <v>56.166377419662432</v>
      </c>
      <c r="E29" s="1376"/>
      <c r="F29" s="1142"/>
      <c r="G29" s="86" t="s">
        <v>475</v>
      </c>
      <c r="H29" s="156"/>
      <c r="I29" s="995" t="s">
        <v>328</v>
      </c>
      <c r="J29" s="1012"/>
      <c r="K29" s="997" t="s">
        <v>19</v>
      </c>
      <c r="L29" s="1139" t="s">
        <v>20</v>
      </c>
      <c r="M29" s="1140" t="s">
        <v>7</v>
      </c>
      <c r="N29" s="156"/>
    </row>
    <row r="30" spans="1:16">
      <c r="A30" s="156"/>
      <c r="B30" s="48" t="s">
        <v>47</v>
      </c>
      <c r="C30" s="1022"/>
      <c r="D30" s="1377">
        <f>'11.22.19 ALTR Add on Rates'!G14</f>
        <v>42.595828549102229</v>
      </c>
      <c r="F30" s="1142"/>
      <c r="G30" s="991" t="s">
        <v>876</v>
      </c>
      <c r="H30" s="156"/>
      <c r="I30" s="109" t="str">
        <f>B29</f>
        <v xml:space="preserve">  Occupational Therapist</v>
      </c>
      <c r="J30" s="156"/>
      <c r="K30" s="1151">
        <f>D29</f>
        <v>56.166377419662432</v>
      </c>
      <c r="L30" s="1004">
        <f>C56*52</f>
        <v>26</v>
      </c>
      <c r="M30" s="1325">
        <f>K30*L30</f>
        <v>1460.3258129112232</v>
      </c>
      <c r="N30" s="156"/>
    </row>
    <row r="31" spans="1:16">
      <c r="A31" s="156"/>
      <c r="B31" s="48"/>
      <c r="C31" s="397"/>
      <c r="D31" s="156"/>
      <c r="E31" s="1376"/>
      <c r="F31" s="397"/>
      <c r="G31" s="991"/>
      <c r="H31" s="156"/>
      <c r="I31" s="121" t="str">
        <f>B30</f>
        <v xml:space="preserve">  LPHA</v>
      </c>
      <c r="J31" s="156"/>
      <c r="K31" s="1308">
        <f>D30</f>
        <v>42.595828549102229</v>
      </c>
      <c r="L31" s="1004">
        <f>C57*52</f>
        <v>26</v>
      </c>
      <c r="M31" s="1017">
        <f>K31*L31</f>
        <v>1107.491542276658</v>
      </c>
      <c r="N31" s="156"/>
    </row>
    <row r="32" spans="1:16">
      <c r="A32" s="156"/>
      <c r="B32" s="48"/>
      <c r="C32" s="339"/>
      <c r="D32" s="1340" t="s">
        <v>367</v>
      </c>
      <c r="E32" s="1371"/>
      <c r="F32" s="339"/>
      <c r="G32" s="991"/>
      <c r="H32" s="156"/>
      <c r="I32" s="1018" t="s">
        <v>21</v>
      </c>
      <c r="J32" s="1019"/>
      <c r="K32" s="1019"/>
      <c r="L32" s="1019"/>
      <c r="M32" s="1021">
        <f>SUM(M30:M31)</f>
        <v>2567.8173551878813</v>
      </c>
      <c r="N32" s="156"/>
      <c r="P32" s="1145"/>
    </row>
    <row r="33" spans="1:16">
      <c r="A33" s="156"/>
      <c r="B33" s="1345" t="s">
        <v>441</v>
      </c>
      <c r="C33" s="339"/>
      <c r="D33" s="1206">
        <f>277.778888</f>
        <v>277.77888799999999</v>
      </c>
      <c r="E33" s="277"/>
      <c r="F33" s="1040"/>
      <c r="G33" s="1309" t="str">
        <f>'Integrated Team (FY21)'!H41</f>
        <v>Avg of the FY15 CBFS data per FTE.</v>
      </c>
      <c r="H33" s="156"/>
      <c r="I33" s="109" t="str">
        <f>B39</f>
        <v>PFLMA Trust Contribution</v>
      </c>
      <c r="J33" s="156"/>
      <c r="K33" s="156"/>
      <c r="L33" s="1214">
        <f>D39</f>
        <v>3.7000000000000002E-3</v>
      </c>
      <c r="M33" s="1017">
        <f>M23*L33</f>
        <v>1827.8125982018692</v>
      </c>
      <c r="N33" s="156"/>
    </row>
    <row r="34" spans="1:16">
      <c r="A34" s="156"/>
      <c r="B34" s="48" t="s">
        <v>435</v>
      </c>
      <c r="C34" s="339"/>
      <c r="D34" s="364">
        <f>GLE!C34</f>
        <v>6191.6539525126345</v>
      </c>
      <c r="F34" s="1142"/>
      <c r="G34" s="1310" t="str">
        <f>GLE!G34</f>
        <v>Benchmark: 101 CMR 420: allocation for van, 1 van / 2 GLEs</v>
      </c>
      <c r="H34" s="274"/>
      <c r="I34" s="109" t="str">
        <f>B33</f>
        <v xml:space="preserve">  Staff Training</v>
      </c>
      <c r="J34" s="156"/>
      <c r="K34" s="156"/>
      <c r="L34" s="1092">
        <f>D33</f>
        <v>277.77888799999999</v>
      </c>
      <c r="M34" s="1098">
        <f>L34*L23</f>
        <v>3326.9363739692308</v>
      </c>
      <c r="N34" s="156"/>
    </row>
    <row r="35" spans="1:16">
      <c r="A35" s="156"/>
      <c r="B35" s="48" t="s">
        <v>454</v>
      </c>
      <c r="C35" s="339"/>
      <c r="D35" s="89">
        <f>'Integrated Team (FY21)'!E44</f>
        <v>642.72053101483573</v>
      </c>
      <c r="E35" s="1371"/>
      <c r="F35" s="1142"/>
      <c r="G35" s="991" t="str">
        <f>'Integrated Team (FY21)'!H44</f>
        <v>Program Supplies &amp; Materials (33E) per FTE.</v>
      </c>
      <c r="H35" s="156"/>
      <c r="I35" s="109" t="str">
        <f>B34</f>
        <v xml:space="preserve">  Transportation</v>
      </c>
      <c r="J35" s="156"/>
      <c r="K35" s="156"/>
      <c r="L35" s="1151"/>
      <c r="M35" s="1311">
        <f>D34</f>
        <v>6191.6539525126345</v>
      </c>
      <c r="N35" s="156"/>
    </row>
    <row r="36" spans="1:16">
      <c r="A36" s="156"/>
      <c r="B36" s="48" t="s">
        <v>792</v>
      </c>
      <c r="C36" s="1312"/>
      <c r="D36" s="1206">
        <v>8.16</v>
      </c>
      <c r="E36" s="1378"/>
      <c r="G36" s="275" t="s">
        <v>599</v>
      </c>
      <c r="H36" s="156"/>
      <c r="I36" s="109" t="str">
        <f>B36</f>
        <v xml:space="preserve">  Meals / Food***</v>
      </c>
      <c r="J36" s="156"/>
      <c r="K36" s="156"/>
      <c r="L36" s="1308">
        <f>D36</f>
        <v>8.16</v>
      </c>
      <c r="M36" s="1311">
        <f>L36*M9</f>
        <v>14892</v>
      </c>
      <c r="N36" s="156"/>
    </row>
    <row r="37" spans="1:16">
      <c r="A37" s="156"/>
      <c r="B37" s="48"/>
      <c r="C37" s="339"/>
      <c r="D37" s="339"/>
      <c r="E37" s="1371"/>
      <c r="F37" s="339"/>
      <c r="G37" s="991"/>
      <c r="H37" s="274"/>
      <c r="I37" s="291" t="str">
        <f>B35</f>
        <v xml:space="preserve">  Program Supplies &amp; Materials</v>
      </c>
      <c r="J37" s="156"/>
      <c r="K37" s="156"/>
      <c r="L37" s="1151">
        <f>D35</f>
        <v>642.72053101483573</v>
      </c>
      <c r="M37" s="1311">
        <f>L37*L23</f>
        <v>7697.8143599238401</v>
      </c>
      <c r="N37" s="156"/>
    </row>
    <row r="38" spans="1:16">
      <c r="A38" s="156"/>
      <c r="B38" s="48" t="s">
        <v>24</v>
      </c>
      <c r="C38" s="339"/>
      <c r="D38" s="983">
        <f>'Integrated Team (FY21)'!E46</f>
        <v>0.12</v>
      </c>
      <c r="E38" s="1371"/>
      <c r="F38" s="339"/>
      <c r="G38" s="49" t="s">
        <v>472</v>
      </c>
      <c r="H38" s="274"/>
      <c r="I38" s="109"/>
      <c r="J38" s="156"/>
      <c r="K38" s="156"/>
      <c r="L38" s="1151"/>
      <c r="M38" s="1346">
        <f>SUM(M33:M37)</f>
        <v>33936.217284607577</v>
      </c>
      <c r="N38" s="156"/>
    </row>
    <row r="39" spans="1:16">
      <c r="A39" s="156"/>
      <c r="B39" s="1034" t="s">
        <v>788</v>
      </c>
      <c r="C39" s="1315"/>
      <c r="D39" s="1035">
        <f>'GLE (FY21)'!C38</f>
        <v>3.7000000000000002E-3</v>
      </c>
      <c r="E39" s="1371"/>
      <c r="F39" s="339"/>
      <c r="G39" s="49" t="s">
        <v>782</v>
      </c>
      <c r="H39" s="156"/>
      <c r="I39" s="898"/>
      <c r="J39" s="579"/>
      <c r="K39" s="1316"/>
      <c r="L39" s="1347"/>
      <c r="M39" s="1348"/>
      <c r="N39" s="156"/>
    </row>
    <row r="40" spans="1:16">
      <c r="A40" s="156"/>
      <c r="B40" s="48" t="s">
        <v>37</v>
      </c>
      <c r="C40" s="339"/>
      <c r="D40" s="983">
        <f>'Integrated Team (FY21)'!E47</f>
        <v>7.6809383045675458E-2</v>
      </c>
      <c r="E40" s="1371"/>
      <c r="F40" s="339"/>
      <c r="G40" s="304" t="s">
        <v>781</v>
      </c>
      <c r="H40" s="156"/>
      <c r="I40" s="995" t="s">
        <v>23</v>
      </c>
      <c r="J40" s="1012"/>
      <c r="K40" s="1012"/>
      <c r="L40" s="1012"/>
      <c r="M40" s="1317">
        <f>SUM(M27,M32,M38)</f>
        <v>641164.20226117049</v>
      </c>
      <c r="N40" s="884"/>
    </row>
    <row r="41" spans="1:16">
      <c r="A41" s="156"/>
      <c r="B41" s="1099" t="s">
        <v>37</v>
      </c>
      <c r="C41" s="1315"/>
      <c r="D41" s="1035">
        <f>'GLE (FY21)'!C41</f>
        <v>1.78E-2</v>
      </c>
      <c r="E41" s="1196"/>
      <c r="F41" s="156"/>
      <c r="G41" s="991" t="s">
        <v>780</v>
      </c>
      <c r="H41" s="156"/>
      <c r="I41" s="109" t="str">
        <f>B38</f>
        <v>Admin. Allocation</v>
      </c>
      <c r="J41" s="156"/>
      <c r="K41" s="1033">
        <f>D38</f>
        <v>0.12</v>
      </c>
      <c r="L41" s="156"/>
      <c r="M41" s="1017">
        <f>K41*M40</f>
        <v>76939.704271340452</v>
      </c>
      <c r="N41" s="156"/>
    </row>
    <row r="42" spans="1:16" ht="13.5" thickBot="1">
      <c r="A42" s="156"/>
      <c r="B42" s="109"/>
      <c r="C42" s="156"/>
      <c r="D42" s="156"/>
      <c r="E42" s="1196"/>
      <c r="F42" s="156"/>
      <c r="G42" s="991"/>
      <c r="H42" s="156"/>
      <c r="I42" s="1042" t="s">
        <v>25</v>
      </c>
      <c r="J42" s="1328"/>
      <c r="K42" s="1328"/>
      <c r="L42" s="1328"/>
      <c r="M42" s="1044">
        <f>SUM(M40:M41)</f>
        <v>718103.90653251088</v>
      </c>
      <c r="N42" s="156"/>
      <c r="P42" s="1145"/>
    </row>
    <row r="43" spans="1:16" ht="13.5" thickTop="1">
      <c r="A43" s="156"/>
      <c r="B43" s="109"/>
      <c r="C43" s="156"/>
      <c r="D43" s="156"/>
      <c r="E43" s="1196"/>
      <c r="F43" s="156"/>
      <c r="G43" s="991"/>
      <c r="H43" s="156"/>
      <c r="I43" s="109"/>
      <c r="J43" s="156"/>
      <c r="K43" s="156"/>
      <c r="L43" s="156"/>
      <c r="M43" s="991"/>
      <c r="N43" s="156"/>
    </row>
    <row r="44" spans="1:16" ht="13.5" thickBot="1">
      <c r="A44" s="156"/>
      <c r="B44" s="1351" t="s">
        <v>35</v>
      </c>
      <c r="C44" s="1352" t="s">
        <v>424</v>
      </c>
      <c r="D44" s="1353" t="s">
        <v>425</v>
      </c>
      <c r="E44" s="1354" t="s">
        <v>426</v>
      </c>
      <c r="F44" s="156"/>
      <c r="G44" s="991"/>
      <c r="H44" s="156"/>
      <c r="I44" s="1099" t="s">
        <v>26</v>
      </c>
      <c r="J44" s="156"/>
      <c r="K44" s="1090">
        <f>D41</f>
        <v>1.78E-2</v>
      </c>
      <c r="L44" s="156"/>
      <c r="M44" s="1046">
        <f>M42+(M42*K44)-(M23*K44)</f>
        <v>722092.89546122379</v>
      </c>
      <c r="N44" s="156"/>
    </row>
    <row r="45" spans="1:16" ht="13.5" thickBot="1">
      <c r="A45" s="156"/>
      <c r="B45" s="109" t="str">
        <f t="shared" ref="B45:B52" si="0">B13</f>
        <v>Management</v>
      </c>
      <c r="C45" s="156"/>
      <c r="D45" s="156"/>
      <c r="E45" s="156"/>
      <c r="F45" s="156"/>
      <c r="G45" s="991"/>
      <c r="H45" s="156"/>
      <c r="I45" s="1329" t="s">
        <v>794</v>
      </c>
      <c r="J45" s="1330"/>
      <c r="K45" s="1330"/>
      <c r="L45" s="1330"/>
      <c r="M45" s="1366">
        <f>M44/M9</f>
        <v>395.66733997875275</v>
      </c>
      <c r="N45" s="156"/>
    </row>
    <row r="46" spans="1:16">
      <c r="A46" s="156"/>
      <c r="B46" s="109" t="str">
        <f t="shared" si="0"/>
        <v xml:space="preserve">  Management Supervision</v>
      </c>
      <c r="C46" s="1022">
        <v>0.1</v>
      </c>
      <c r="D46" s="1022">
        <v>0.1</v>
      </c>
      <c r="E46" s="1022">
        <v>0.1</v>
      </c>
      <c r="F46" s="156"/>
      <c r="G46" s="991"/>
      <c r="H46" s="156"/>
      <c r="I46" s="156"/>
      <c r="J46" s="156"/>
      <c r="K46" s="156"/>
      <c r="L46" s="156" t="s">
        <v>783</v>
      </c>
      <c r="M46" s="1320">
        <v>386.73</v>
      </c>
      <c r="N46" s="156"/>
    </row>
    <row r="47" spans="1:16">
      <c r="A47" s="156"/>
      <c r="B47" s="109" t="str">
        <f t="shared" si="0"/>
        <v xml:space="preserve">  Specialty Site Manager</v>
      </c>
      <c r="C47" s="1022">
        <v>1</v>
      </c>
      <c r="D47" s="1022">
        <v>1</v>
      </c>
      <c r="E47" s="1022">
        <v>1</v>
      </c>
      <c r="F47" s="156"/>
      <c r="G47" s="991"/>
      <c r="H47" s="156"/>
      <c r="I47" s="156"/>
      <c r="J47" s="156"/>
      <c r="K47" s="156"/>
      <c r="L47" s="156"/>
      <c r="M47" s="884">
        <f>M45-M46</f>
        <v>8.9373399787527319</v>
      </c>
      <c r="N47" s="156"/>
    </row>
    <row r="48" spans="1:16">
      <c r="A48" s="156"/>
      <c r="B48" s="109" t="str">
        <f t="shared" si="0"/>
        <v>Medical and Clinical</v>
      </c>
      <c r="C48" s="1022"/>
      <c r="D48" s="1022"/>
      <c r="E48" s="1022"/>
      <c r="F48" s="156"/>
      <c r="G48" s="991"/>
      <c r="H48" s="156"/>
      <c r="I48" s="156"/>
      <c r="J48" s="156"/>
      <c r="K48" s="156"/>
      <c r="L48" s="156"/>
      <c r="M48" s="1321">
        <f>(M45-M46)/M46</f>
        <v>2.3110025027157789E-2</v>
      </c>
      <c r="N48" s="156"/>
    </row>
    <row r="49" spans="1:14">
      <c r="A49" s="156"/>
      <c r="B49" s="109" t="str">
        <f t="shared" si="0"/>
        <v xml:space="preserve">  RN</v>
      </c>
      <c r="C49" s="1022">
        <v>1</v>
      </c>
      <c r="D49" s="1022">
        <v>1.25</v>
      </c>
      <c r="E49" s="1022">
        <v>1.5</v>
      </c>
      <c r="F49" s="156"/>
      <c r="G49" s="991"/>
      <c r="H49" s="156"/>
      <c r="I49" s="156"/>
      <c r="J49" s="156"/>
      <c r="K49" s="156"/>
      <c r="L49" s="156"/>
      <c r="M49" s="884"/>
      <c r="N49" s="156"/>
    </row>
    <row r="50" spans="1:14" ht="13.5" thickBot="1">
      <c r="A50" s="156"/>
      <c r="B50" s="109" t="str">
        <f t="shared" si="0"/>
        <v xml:space="preserve">  Certified Nursing Assistant (CNA)</v>
      </c>
      <c r="C50" s="1022">
        <v>3</v>
      </c>
      <c r="D50" s="1022">
        <v>4.2</v>
      </c>
      <c r="E50" s="1022">
        <v>5.4</v>
      </c>
      <c r="F50" s="156"/>
      <c r="G50" s="991"/>
      <c r="H50" s="156"/>
      <c r="I50" s="156"/>
      <c r="J50" s="156"/>
      <c r="K50" s="156"/>
      <c r="L50" s="156"/>
      <c r="M50" s="884"/>
      <c r="N50" s="156"/>
    </row>
    <row r="51" spans="1:14" ht="13.5" thickBot="1">
      <c r="A51" s="156"/>
      <c r="B51" s="109" t="str">
        <f t="shared" si="0"/>
        <v>Direct Care</v>
      </c>
      <c r="C51" s="1022"/>
      <c r="D51" s="1022"/>
      <c r="E51" s="1022"/>
      <c r="F51" s="156"/>
      <c r="G51" s="991"/>
      <c r="H51" s="156"/>
      <c r="I51" s="2582" t="s">
        <v>570</v>
      </c>
      <c r="J51" s="2583"/>
      <c r="K51" s="2583"/>
      <c r="L51" s="2583"/>
      <c r="M51" s="2584"/>
      <c r="N51" s="156"/>
    </row>
    <row r="52" spans="1:14">
      <c r="A52" s="156"/>
      <c r="B52" s="109" t="str">
        <f t="shared" si="0"/>
        <v xml:space="preserve">  Direct Care III</v>
      </c>
      <c r="C52" s="1022">
        <v>2</v>
      </c>
      <c r="D52" s="1022">
        <v>3</v>
      </c>
      <c r="E52" s="1022">
        <v>4.3</v>
      </c>
      <c r="F52" s="156"/>
      <c r="G52" s="991"/>
      <c r="H52" s="156"/>
      <c r="I52" s="901" t="s">
        <v>277</v>
      </c>
      <c r="J52" s="903">
        <v>8</v>
      </c>
      <c r="K52" s="1076"/>
      <c r="L52" s="1335" t="s">
        <v>133</v>
      </c>
      <c r="M52" s="1336">
        <f>J52*365</f>
        <v>2920</v>
      </c>
      <c r="N52" s="156"/>
    </row>
    <row r="53" spans="1:14">
      <c r="A53" s="156"/>
      <c r="B53" s="109" t="str">
        <f>B21</f>
        <v xml:space="preserve">  Direct Care</v>
      </c>
      <c r="C53" s="1022">
        <v>4</v>
      </c>
      <c r="D53" s="1022">
        <v>5.4</v>
      </c>
      <c r="E53" s="1022">
        <v>6.3</v>
      </c>
      <c r="F53" s="156"/>
      <c r="G53" s="991"/>
      <c r="H53" s="156"/>
      <c r="I53" s="109"/>
      <c r="J53" s="39"/>
      <c r="K53" s="156"/>
      <c r="L53" s="1073"/>
      <c r="M53" s="1355"/>
      <c r="N53" s="156"/>
    </row>
    <row r="54" spans="1:14">
      <c r="A54" s="156"/>
      <c r="B54" s="109" t="str">
        <f>B22</f>
        <v xml:space="preserve">  Relief</v>
      </c>
      <c r="C54" s="1022">
        <f>SUM(C52:C53)*$D$9</f>
        <v>0.87692307692307692</v>
      </c>
      <c r="D54" s="1022">
        <f>SUM(D52:D53)*$D$9</f>
        <v>1.2276923076923079</v>
      </c>
      <c r="E54" s="1022">
        <f>SUM(E52:E53)*$D$9</f>
        <v>1.5492307692307692</v>
      </c>
      <c r="F54" s="156"/>
      <c r="G54" s="1322"/>
      <c r="H54" s="156"/>
      <c r="I54" s="1097"/>
      <c r="J54" s="1339"/>
      <c r="K54" s="997" t="s">
        <v>5</v>
      </c>
      <c r="L54" s="997" t="s">
        <v>6</v>
      </c>
      <c r="M54" s="998" t="s">
        <v>7</v>
      </c>
      <c r="N54" s="156"/>
    </row>
    <row r="55" spans="1:14">
      <c r="A55" s="156"/>
      <c r="B55" s="109"/>
      <c r="C55" s="1022"/>
      <c r="D55" s="1022"/>
      <c r="E55" s="1022"/>
      <c r="F55" s="156"/>
      <c r="G55" s="991"/>
      <c r="H55" s="156"/>
      <c r="I55" s="109" t="s">
        <v>29</v>
      </c>
      <c r="J55" s="1123"/>
      <c r="K55" s="39"/>
      <c r="L55" s="39"/>
      <c r="M55" s="1342"/>
      <c r="N55" s="156"/>
    </row>
    <row r="56" spans="1:14">
      <c r="A56" s="156"/>
      <c r="B56" s="109" t="str">
        <f>B29</f>
        <v xml:space="preserve">  Occupational Therapist</v>
      </c>
      <c r="C56" s="1022">
        <v>0.5</v>
      </c>
      <c r="D56" s="1022">
        <v>1</v>
      </c>
      <c r="E56" s="1022">
        <v>1.5</v>
      </c>
      <c r="F56" s="156"/>
      <c r="G56" s="991"/>
      <c r="H56" s="156"/>
      <c r="I56" s="109" t="str">
        <f>B14</f>
        <v xml:space="preserve">  Management Supervision</v>
      </c>
      <c r="J56" s="1002"/>
      <c r="K56" s="1003">
        <f>D14</f>
        <v>92496.84919424048</v>
      </c>
      <c r="L56" s="1004">
        <f>D46</f>
        <v>0.1</v>
      </c>
      <c r="M56" s="1005">
        <f>K56*L56</f>
        <v>9249.6849194240476</v>
      </c>
      <c r="N56" s="156"/>
    </row>
    <row r="57" spans="1:14" ht="13.5" thickBot="1">
      <c r="A57" s="156"/>
      <c r="B57" s="1051" t="str">
        <f>B30</f>
        <v xml:space="preserve">  LPHA</v>
      </c>
      <c r="C57" s="1323">
        <v>0.5</v>
      </c>
      <c r="D57" s="1323">
        <v>1</v>
      </c>
      <c r="E57" s="1323">
        <v>1.5</v>
      </c>
      <c r="F57" s="1052"/>
      <c r="G57" s="1324"/>
      <c r="H57" s="156"/>
      <c r="I57" s="109" t="str">
        <f>B15</f>
        <v xml:space="preserve">  Specialty Site Manager</v>
      </c>
      <c r="J57" s="1002"/>
      <c r="K57" s="1003">
        <f>E15</f>
        <v>60923</v>
      </c>
      <c r="L57" s="1004">
        <f>D47</f>
        <v>1</v>
      </c>
      <c r="M57" s="1005">
        <f>K57*L57</f>
        <v>60923</v>
      </c>
      <c r="N57" s="156"/>
    </row>
    <row r="58" spans="1:14">
      <c r="A58" s="156"/>
      <c r="B58" s="2573" t="s">
        <v>598</v>
      </c>
      <c r="C58" s="2573"/>
      <c r="D58" s="2573"/>
      <c r="E58" s="2573"/>
      <c r="F58" s="2573"/>
      <c r="G58" s="2573"/>
      <c r="H58" s="156"/>
      <c r="I58" s="109" t="s">
        <v>30</v>
      </c>
      <c r="J58" s="1002"/>
      <c r="K58" s="1003"/>
      <c r="L58" s="1004"/>
      <c r="M58" s="1005"/>
      <c r="N58" s="156"/>
    </row>
    <row r="59" spans="1:14">
      <c r="A59" s="156"/>
      <c r="B59" s="338"/>
      <c r="C59" s="1123"/>
      <c r="D59" s="1123"/>
      <c r="E59" s="1379"/>
      <c r="F59" s="1123"/>
      <c r="G59" s="1123"/>
      <c r="H59" s="156"/>
      <c r="I59" s="1099" t="str">
        <f>B17</f>
        <v xml:space="preserve">  RN</v>
      </c>
      <c r="J59" s="1002"/>
      <c r="K59" s="1360">
        <f>D17</f>
        <v>86860.800000000003</v>
      </c>
      <c r="L59" s="1004">
        <f>D49</f>
        <v>1.25</v>
      </c>
      <c r="M59" s="1005">
        <f>K59*L59</f>
        <v>108576</v>
      </c>
      <c r="N59" s="156"/>
    </row>
    <row r="60" spans="1:14">
      <c r="A60" s="156"/>
      <c r="B60" s="156"/>
      <c r="C60" s="156"/>
      <c r="D60" s="156"/>
      <c r="E60" s="1196"/>
      <c r="F60" s="156"/>
      <c r="G60" s="156"/>
      <c r="H60" s="156"/>
      <c r="I60" s="1099" t="str">
        <f>B18</f>
        <v xml:space="preserve">  Certified Nursing Assistant (CNA)</v>
      </c>
      <c r="J60" s="1002"/>
      <c r="K60" s="1360">
        <f>D18</f>
        <v>32302.399999999998</v>
      </c>
      <c r="L60" s="1004">
        <f>D50</f>
        <v>4.2</v>
      </c>
      <c r="M60" s="1005">
        <f>K60*L60</f>
        <v>135670.07999999999</v>
      </c>
      <c r="N60" s="156"/>
    </row>
    <row r="61" spans="1:14">
      <c r="A61" s="156"/>
      <c r="B61" s="156"/>
      <c r="C61" s="156"/>
      <c r="D61" s="156"/>
      <c r="E61" s="1196"/>
      <c r="F61" s="156"/>
      <c r="G61" s="156"/>
      <c r="H61" s="156"/>
      <c r="I61" s="109" t="s">
        <v>31</v>
      </c>
      <c r="J61" s="1002"/>
      <c r="K61" s="1003"/>
      <c r="L61" s="1004"/>
      <c r="M61" s="1005"/>
      <c r="N61" s="156"/>
    </row>
    <row r="62" spans="1:14">
      <c r="A62" s="156"/>
      <c r="B62" s="156"/>
      <c r="C62" s="156"/>
      <c r="D62" s="156"/>
      <c r="E62" s="1196"/>
      <c r="F62" s="156"/>
      <c r="G62" s="156"/>
      <c r="H62" s="156"/>
      <c r="I62" s="1099" t="str">
        <f>B20</f>
        <v xml:space="preserve">  Direct Care III</v>
      </c>
      <c r="J62" s="1002"/>
      <c r="K62" s="1086">
        <f>D20</f>
        <v>41516.800000000003</v>
      </c>
      <c r="L62" s="1004">
        <f>D52</f>
        <v>3</v>
      </c>
      <c r="M62" s="1005">
        <f>K62*L62</f>
        <v>124550.40000000001</v>
      </c>
      <c r="N62" s="156"/>
    </row>
    <row r="63" spans="1:14">
      <c r="A63" s="156"/>
      <c r="B63" s="156"/>
      <c r="C63" s="156"/>
      <c r="D63" s="156"/>
      <c r="E63" s="1196"/>
      <c r="F63" s="156"/>
      <c r="G63" s="156"/>
      <c r="H63" s="156"/>
      <c r="I63" s="1099" t="str">
        <f>B21</f>
        <v xml:space="preserve">  Direct Care</v>
      </c>
      <c r="J63" s="1002"/>
      <c r="K63" s="1086">
        <f>D21</f>
        <v>32198.400000000001</v>
      </c>
      <c r="L63" s="1004">
        <f>D53</f>
        <v>5.4</v>
      </c>
      <c r="M63" s="1005">
        <f>K63*L63</f>
        <v>173871.36000000002</v>
      </c>
      <c r="N63" s="156"/>
    </row>
    <row r="64" spans="1:14">
      <c r="A64" s="156"/>
      <c r="B64" s="156"/>
      <c r="C64" s="156"/>
      <c r="D64" s="156"/>
      <c r="E64" s="1196"/>
      <c r="F64" s="156"/>
      <c r="G64" s="156"/>
      <c r="H64" s="156"/>
      <c r="I64" s="109" t="str">
        <f>B22</f>
        <v xml:space="preserve">  Relief</v>
      </c>
      <c r="J64" s="1002"/>
      <c r="K64" s="1086">
        <f>D22</f>
        <v>32198.400000000001</v>
      </c>
      <c r="L64" s="1004">
        <f>D54</f>
        <v>1.2276923076923079</v>
      </c>
      <c r="M64" s="1005">
        <f>K64*L64</f>
        <v>39529.72800000001</v>
      </c>
      <c r="N64" s="156"/>
    </row>
    <row r="65" spans="1:14">
      <c r="A65" s="156"/>
      <c r="B65" s="156"/>
      <c r="C65" s="156"/>
      <c r="D65" s="156"/>
      <c r="E65" s="1196"/>
      <c r="F65" s="156"/>
      <c r="G65" s="156"/>
      <c r="H65" s="156"/>
      <c r="I65" s="1018" t="s">
        <v>13</v>
      </c>
      <c r="J65" s="1019"/>
      <c r="K65" s="1019"/>
      <c r="L65" s="1307">
        <f>SUM(L56:L64)</f>
        <v>16.177692307692308</v>
      </c>
      <c r="M65" s="1136">
        <f>SUM(M56:M64)</f>
        <v>652370.25291942409</v>
      </c>
      <c r="N65" s="156"/>
    </row>
    <row r="66" spans="1:14">
      <c r="A66" s="156"/>
      <c r="B66" s="156"/>
      <c r="C66" s="156"/>
      <c r="D66" s="156"/>
      <c r="E66" s="1196"/>
      <c r="F66" s="156"/>
      <c r="G66" s="156"/>
      <c r="H66" s="156"/>
      <c r="I66" s="111" t="s">
        <v>15</v>
      </c>
      <c r="J66" s="269"/>
      <c r="K66" s="269"/>
      <c r="L66" s="269" t="s">
        <v>16</v>
      </c>
      <c r="M66" s="991"/>
      <c r="N66" s="156"/>
    </row>
    <row r="67" spans="1:14">
      <c r="A67" s="156"/>
      <c r="B67" s="156"/>
      <c r="C67" s="156"/>
      <c r="D67" s="156"/>
      <c r="E67" s="1196"/>
      <c r="F67" s="156"/>
      <c r="G67" s="156"/>
      <c r="H67" s="156"/>
      <c r="I67" s="1099" t="str">
        <f>B26</f>
        <v xml:space="preserve">  Tax and Fringe</v>
      </c>
      <c r="J67" s="156"/>
      <c r="K67" s="1088">
        <f>D26</f>
        <v>0.224</v>
      </c>
      <c r="L67" s="156"/>
      <c r="M67" s="1017">
        <f>K67*M65</f>
        <v>146130.93665395101</v>
      </c>
      <c r="N67" s="156"/>
    </row>
    <row r="68" spans="1:14">
      <c r="A68" s="156"/>
      <c r="B68" s="156"/>
      <c r="C68" s="156"/>
      <c r="D68" s="156"/>
      <c r="E68" s="1196"/>
      <c r="F68" s="156"/>
      <c r="G68" s="156"/>
      <c r="H68" s="156"/>
      <c r="I68" s="1018" t="s">
        <v>18</v>
      </c>
      <c r="J68" s="1019"/>
      <c r="K68" s="1019"/>
      <c r="L68" s="1020"/>
      <c r="M68" s="1021">
        <f>M65+M67</f>
        <v>798501.18957337504</v>
      </c>
      <c r="N68" s="156"/>
    </row>
    <row r="69" spans="1:14">
      <c r="A69" s="156"/>
      <c r="B69" s="156"/>
      <c r="C69" s="156"/>
      <c r="D69" s="156"/>
      <c r="E69" s="1196"/>
      <c r="F69" s="156"/>
      <c r="G69" s="156"/>
      <c r="H69" s="156"/>
      <c r="I69" s="109"/>
      <c r="J69" s="156"/>
      <c r="K69" s="156"/>
      <c r="L69" s="884"/>
      <c r="M69" s="1005"/>
      <c r="N69" s="156"/>
    </row>
    <row r="70" spans="1:14">
      <c r="A70" s="156"/>
      <c r="B70" s="156"/>
      <c r="C70" s="156"/>
      <c r="D70" s="156"/>
      <c r="E70" s="1196"/>
      <c r="F70" s="156"/>
      <c r="G70" s="156"/>
      <c r="H70" s="156"/>
      <c r="I70" s="995" t="s">
        <v>328</v>
      </c>
      <c r="J70" s="1012"/>
      <c r="K70" s="997" t="s">
        <v>19</v>
      </c>
      <c r="L70" s="1139" t="s">
        <v>20</v>
      </c>
      <c r="M70" s="1140" t="s">
        <v>7</v>
      </c>
      <c r="N70" s="156"/>
    </row>
    <row r="71" spans="1:14">
      <c r="A71" s="156"/>
      <c r="B71" s="156"/>
      <c r="C71" s="156"/>
      <c r="D71" s="156"/>
      <c r="E71" s="1196"/>
      <c r="F71" s="156"/>
      <c r="G71" s="156"/>
      <c r="H71" s="156"/>
      <c r="I71" s="109" t="str">
        <f>B56</f>
        <v xml:space="preserve">  Occupational Therapist</v>
      </c>
      <c r="J71" s="156"/>
      <c r="K71" s="1151">
        <f>D29</f>
        <v>56.166377419662432</v>
      </c>
      <c r="L71" s="1004">
        <f>D56*52</f>
        <v>52</v>
      </c>
      <c r="M71" s="1325">
        <f>K71*L71</f>
        <v>2920.6516258224465</v>
      </c>
      <c r="N71" s="156"/>
    </row>
    <row r="72" spans="1:14">
      <c r="A72" s="156"/>
      <c r="B72" s="156"/>
      <c r="C72" s="156"/>
      <c r="D72" s="156"/>
      <c r="E72" s="1196"/>
      <c r="F72" s="156"/>
      <c r="G72" s="156"/>
      <c r="H72" s="156"/>
      <c r="I72" s="121" t="str">
        <f>B57</f>
        <v xml:space="preserve">  LPHA</v>
      </c>
      <c r="J72" s="156"/>
      <c r="K72" s="1361">
        <f>D30</f>
        <v>42.595828549102229</v>
      </c>
      <c r="L72" s="1004">
        <f>D57*52</f>
        <v>52</v>
      </c>
      <c r="M72" s="1017">
        <f>K72*L72</f>
        <v>2214.9830845533161</v>
      </c>
      <c r="N72" s="156"/>
    </row>
    <row r="73" spans="1:14">
      <c r="A73" s="156"/>
      <c r="B73" s="156"/>
      <c r="C73" s="156"/>
      <c r="D73" s="156"/>
      <c r="E73" s="1196"/>
      <c r="F73" s="156"/>
      <c r="G73" s="156"/>
      <c r="H73" s="156"/>
      <c r="I73" s="1018" t="s">
        <v>21</v>
      </c>
      <c r="J73" s="1019"/>
      <c r="K73" s="1019"/>
      <c r="L73" s="1019"/>
      <c r="M73" s="1021">
        <f>SUM(M71:M72)</f>
        <v>5135.6347103757626</v>
      </c>
      <c r="N73" s="156"/>
    </row>
    <row r="74" spans="1:14">
      <c r="A74" s="156"/>
      <c r="B74" s="156"/>
      <c r="C74" s="156"/>
      <c r="D74" s="156"/>
      <c r="E74" s="1196"/>
      <c r="F74" s="156"/>
      <c r="G74" s="156"/>
      <c r="H74" s="156"/>
      <c r="I74" s="1362" t="str">
        <f>B39</f>
        <v>PFLMA Trust Contribution</v>
      </c>
      <c r="J74" s="156"/>
      <c r="K74" s="156"/>
      <c r="L74" s="1220">
        <f>D39</f>
        <v>3.7000000000000002E-3</v>
      </c>
      <c r="M74" s="1017">
        <f>M65*L74</f>
        <v>2413.7699358018695</v>
      </c>
      <c r="N74" s="156"/>
    </row>
    <row r="75" spans="1:14">
      <c r="A75" s="156"/>
      <c r="B75" s="156"/>
      <c r="C75" s="156"/>
      <c r="D75" s="156"/>
      <c r="E75" s="1196"/>
      <c r="F75" s="156"/>
      <c r="G75" s="156"/>
      <c r="H75" s="156"/>
      <c r="I75" s="1091" t="str">
        <f>B33</f>
        <v xml:space="preserve">  Staff Training</v>
      </c>
      <c r="J75" s="156"/>
      <c r="K75" s="156"/>
      <c r="L75" s="1092">
        <f>D33</f>
        <v>277.77888799999999</v>
      </c>
      <c r="M75" s="1098">
        <f>L75*L65</f>
        <v>4493.8213796369228</v>
      </c>
      <c r="N75" s="156"/>
    </row>
    <row r="76" spans="1:14">
      <c r="A76" s="156"/>
      <c r="B76" s="156"/>
      <c r="C76" s="156"/>
      <c r="D76" s="156"/>
      <c r="E76" s="1196"/>
      <c r="F76" s="156"/>
      <c r="G76" s="156"/>
      <c r="H76" s="156"/>
      <c r="I76" s="109" t="str">
        <f>B34</f>
        <v xml:space="preserve">  Transportation</v>
      </c>
      <c r="J76" s="156"/>
      <c r="K76" s="156"/>
      <c r="L76" s="1151"/>
      <c r="M76" s="1311">
        <f>D34</f>
        <v>6191.6539525126345</v>
      </c>
      <c r="N76" s="156"/>
    </row>
    <row r="77" spans="1:14">
      <c r="A77" s="156"/>
      <c r="B77" s="156"/>
      <c r="C77" s="156"/>
      <c r="D77" s="156"/>
      <c r="E77" s="1196"/>
      <c r="F77" s="156"/>
      <c r="G77" s="156"/>
      <c r="H77" s="156"/>
      <c r="I77" s="109" t="s">
        <v>792</v>
      </c>
      <c r="J77" s="156"/>
      <c r="K77" s="156"/>
      <c r="L77" s="1308">
        <f>D36</f>
        <v>8.16</v>
      </c>
      <c r="M77" s="1311">
        <f>L77*M52</f>
        <v>23827.200000000001</v>
      </c>
      <c r="N77" s="156"/>
    </row>
    <row r="78" spans="1:14">
      <c r="A78" s="156"/>
      <c r="B78" s="156"/>
      <c r="C78" s="156"/>
      <c r="D78" s="156"/>
      <c r="E78" s="1196"/>
      <c r="F78" s="156"/>
      <c r="G78" s="156"/>
      <c r="H78" s="156"/>
      <c r="I78" s="291" t="str">
        <f>B35</f>
        <v xml:space="preserve">  Program Supplies &amp; Materials</v>
      </c>
      <c r="J78" s="156"/>
      <c r="K78" s="156"/>
      <c r="L78" s="1326">
        <f>D35</f>
        <v>642.72053101483573</v>
      </c>
      <c r="M78" s="1311">
        <f>L78*L65</f>
        <v>10397.734990594623</v>
      </c>
      <c r="N78" s="156"/>
    </row>
    <row r="79" spans="1:14">
      <c r="A79" s="156"/>
      <c r="B79" s="156"/>
      <c r="C79" s="156"/>
      <c r="D79" s="156"/>
      <c r="E79" s="1196"/>
      <c r="F79" s="156"/>
      <c r="G79" s="156"/>
      <c r="H79" s="156"/>
      <c r="I79" s="109"/>
      <c r="J79" s="156"/>
      <c r="K79" s="156"/>
      <c r="L79" s="1151"/>
      <c r="M79" s="1314">
        <f>SUM(M74:M78)</f>
        <v>47324.180258546054</v>
      </c>
      <c r="N79" s="156"/>
    </row>
    <row r="80" spans="1:14">
      <c r="A80" s="156"/>
      <c r="B80" s="156"/>
      <c r="C80" s="156"/>
      <c r="D80" s="156"/>
      <c r="E80" s="1196"/>
      <c r="F80" s="156"/>
      <c r="G80" s="156"/>
      <c r="H80" s="156"/>
      <c r="I80" s="109"/>
      <c r="J80" s="156"/>
      <c r="K80" s="156"/>
      <c r="L80" s="884"/>
      <c r="M80" s="1032"/>
      <c r="N80" s="156"/>
    </row>
    <row r="81" spans="1:61">
      <c r="A81" s="156"/>
      <c r="B81" s="156"/>
      <c r="C81" s="156"/>
      <c r="D81" s="156"/>
      <c r="E81" s="1196"/>
      <c r="F81" s="156"/>
      <c r="G81" s="156"/>
      <c r="H81" s="156"/>
      <c r="I81" s="1018" t="s">
        <v>23</v>
      </c>
      <c r="J81" s="1019"/>
      <c r="K81" s="1019"/>
      <c r="L81" s="1019"/>
      <c r="M81" s="1030">
        <f>SUM(M68,M73,M79)</f>
        <v>850961.00454229687</v>
      </c>
      <c r="N81" s="156"/>
    </row>
    <row r="82" spans="1:61">
      <c r="A82" s="156"/>
      <c r="B82" s="156"/>
      <c r="C82" s="156"/>
      <c r="D82" s="156"/>
      <c r="E82" s="1196"/>
      <c r="F82" s="156"/>
      <c r="G82" s="156"/>
      <c r="H82" s="156"/>
      <c r="I82" s="109" t="s">
        <v>24</v>
      </c>
      <c r="J82" s="156"/>
      <c r="K82" s="1033">
        <f>D38</f>
        <v>0.12</v>
      </c>
      <c r="L82" s="156"/>
      <c r="M82" s="1017">
        <f>K82*M81</f>
        <v>102115.32054507562</v>
      </c>
      <c r="N82" s="156"/>
    </row>
    <row r="83" spans="1:61" s="984" customFormat="1" ht="13.5" thickBot="1">
      <c r="A83" s="156"/>
      <c r="B83" s="156"/>
      <c r="C83" s="156"/>
      <c r="D83" s="156"/>
      <c r="E83" s="1196"/>
      <c r="F83" s="156"/>
      <c r="G83" s="156"/>
      <c r="H83" s="156"/>
      <c r="I83" s="1349" t="s">
        <v>25</v>
      </c>
      <c r="J83" s="1043"/>
      <c r="K83" s="1043"/>
      <c r="L83" s="1043"/>
      <c r="M83" s="1350">
        <f>SUM(M81:M82)</f>
        <v>953076.32508737245</v>
      </c>
      <c r="N83" s="156"/>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c r="AU83" s="985"/>
      <c r="AV83" s="985"/>
      <c r="AW83" s="985"/>
      <c r="AX83" s="985"/>
      <c r="AY83" s="985"/>
      <c r="AZ83" s="985"/>
      <c r="BA83" s="985"/>
      <c r="BB83" s="985"/>
      <c r="BC83" s="985"/>
      <c r="BD83" s="985"/>
      <c r="BE83" s="985"/>
      <c r="BF83" s="985"/>
      <c r="BG83" s="985"/>
      <c r="BH83" s="985"/>
      <c r="BI83" s="985"/>
    </row>
    <row r="84" spans="1:61" s="984" customFormat="1" ht="14.25" thickTop="1" thickBot="1">
      <c r="A84" s="156"/>
      <c r="B84" s="156"/>
      <c r="C84" s="156"/>
      <c r="D84" s="156"/>
      <c r="E84" s="1196"/>
      <c r="F84" s="156"/>
      <c r="G84" s="156"/>
      <c r="H84" s="156"/>
      <c r="I84" s="1099" t="s">
        <v>26</v>
      </c>
      <c r="J84" s="156"/>
      <c r="K84" s="1090">
        <f>D41</f>
        <v>1.78E-2</v>
      </c>
      <c r="L84" s="156"/>
      <c r="M84" s="1046">
        <f>M83+(M83*K84)-(M65*K84)</f>
        <v>958428.893171962</v>
      </c>
      <c r="N84" s="156"/>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c r="AL84" s="985"/>
      <c r="AM84" s="985"/>
      <c r="AN84" s="985"/>
      <c r="AO84" s="985"/>
      <c r="AP84" s="985"/>
      <c r="AQ84" s="985"/>
      <c r="AR84" s="985"/>
      <c r="AS84" s="985"/>
      <c r="AT84" s="985"/>
      <c r="AU84" s="985"/>
      <c r="AV84" s="985"/>
      <c r="AW84" s="985"/>
      <c r="AX84" s="985"/>
      <c r="AY84" s="985"/>
      <c r="AZ84" s="985"/>
      <c r="BA84" s="985"/>
      <c r="BB84" s="985"/>
      <c r="BC84" s="985"/>
      <c r="BD84" s="985"/>
      <c r="BE84" s="985"/>
      <c r="BF84" s="985"/>
      <c r="BG84" s="985"/>
      <c r="BH84" s="985"/>
      <c r="BI84" s="985"/>
    </row>
    <row r="85" spans="1:61" s="984" customFormat="1" ht="13.5" thickBot="1">
      <c r="A85" s="156"/>
      <c r="B85" s="156"/>
      <c r="C85" s="156"/>
      <c r="D85" s="156"/>
      <c r="E85" s="1196"/>
      <c r="F85" s="156"/>
      <c r="G85" s="156"/>
      <c r="H85" s="156"/>
      <c r="I85" s="1318" t="s">
        <v>813</v>
      </c>
      <c r="J85" s="1319"/>
      <c r="K85" s="1319"/>
      <c r="L85" s="1327"/>
      <c r="M85" s="1758">
        <f>M84/M52</f>
        <v>328.22907300409656</v>
      </c>
      <c r="N85" s="156"/>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c r="AU85" s="985"/>
      <c r="AV85" s="985"/>
      <c r="AW85" s="985"/>
      <c r="AX85" s="985"/>
      <c r="AY85" s="985"/>
      <c r="AZ85" s="985"/>
      <c r="BA85" s="985"/>
      <c r="BB85" s="985"/>
      <c r="BC85" s="985"/>
      <c r="BD85" s="985"/>
      <c r="BE85" s="985"/>
      <c r="BF85" s="985"/>
      <c r="BG85" s="985"/>
      <c r="BH85" s="985"/>
      <c r="BI85" s="985"/>
    </row>
    <row r="86" spans="1:61" s="984" customFormat="1">
      <c r="A86" s="156"/>
      <c r="B86" s="156"/>
      <c r="C86" s="156"/>
      <c r="D86" s="156"/>
      <c r="E86" s="1196"/>
      <c r="F86" s="156"/>
      <c r="G86" s="156"/>
      <c r="H86" s="156"/>
      <c r="I86" s="156"/>
      <c r="J86" s="156"/>
      <c r="K86" s="156"/>
      <c r="L86" s="156" t="s">
        <v>783</v>
      </c>
      <c r="M86" s="1320">
        <v>322.33</v>
      </c>
      <c r="N86" s="156"/>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c r="AU86" s="985"/>
      <c r="AV86" s="985"/>
      <c r="AW86" s="985"/>
      <c r="AX86" s="985"/>
      <c r="AY86" s="985"/>
      <c r="AZ86" s="985"/>
      <c r="BA86" s="985"/>
      <c r="BB86" s="985"/>
      <c r="BC86" s="985"/>
      <c r="BD86" s="985"/>
      <c r="BE86" s="985"/>
      <c r="BF86" s="985"/>
      <c r="BG86" s="985"/>
      <c r="BH86" s="985"/>
      <c r="BI86" s="985"/>
    </row>
    <row r="87" spans="1:61" s="984" customFormat="1">
      <c r="A87" s="156"/>
      <c r="B87" s="985"/>
      <c r="C87" s="156"/>
      <c r="D87" s="156"/>
      <c r="E87" s="1196"/>
      <c r="F87" s="156"/>
      <c r="G87" s="156"/>
      <c r="H87" s="156"/>
      <c r="I87" s="156"/>
      <c r="J87" s="156"/>
      <c r="K87" s="156"/>
      <c r="L87" s="156"/>
      <c r="M87" s="884">
        <f>M85-M86</f>
        <v>5.8990730040965786</v>
      </c>
      <c r="N87" s="156"/>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c r="AL87" s="985"/>
      <c r="AM87" s="985"/>
      <c r="AN87" s="985"/>
      <c r="AO87" s="985"/>
      <c r="AP87" s="985"/>
      <c r="AQ87" s="985"/>
      <c r="AR87" s="985"/>
      <c r="AS87" s="985"/>
      <c r="AT87" s="985"/>
      <c r="AU87" s="985"/>
      <c r="AV87" s="985"/>
      <c r="AW87" s="985"/>
      <c r="AX87" s="985"/>
      <c r="AY87" s="985"/>
      <c r="AZ87" s="985"/>
      <c r="BA87" s="985"/>
      <c r="BB87" s="985"/>
      <c r="BC87" s="985"/>
      <c r="BD87" s="985"/>
      <c r="BE87" s="985"/>
      <c r="BF87" s="985"/>
      <c r="BG87" s="985"/>
      <c r="BH87" s="985"/>
      <c r="BI87" s="985"/>
    </row>
    <row r="88" spans="1:61" s="984" customFormat="1" ht="13.5" thickBot="1">
      <c r="A88" s="156"/>
      <c r="B88" s="156"/>
      <c r="C88" s="156"/>
      <c r="D88" s="156"/>
      <c r="E88" s="1196"/>
      <c r="F88" s="156"/>
      <c r="G88" s="156"/>
      <c r="H88" s="156"/>
      <c r="I88" s="156"/>
      <c r="J88" s="156"/>
      <c r="K88" s="156"/>
      <c r="L88" s="156"/>
      <c r="M88" s="1321">
        <f>(M85-M86)/M86</f>
        <v>1.8301346458897957E-2</v>
      </c>
      <c r="N88" s="156"/>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row>
    <row r="89" spans="1:61" s="984" customFormat="1" ht="13.5" thickBot="1">
      <c r="A89" s="156"/>
      <c r="B89" s="156"/>
      <c r="C89" s="156"/>
      <c r="D89" s="156"/>
      <c r="E89" s="1196"/>
      <c r="F89" s="156"/>
      <c r="G89" s="156"/>
      <c r="H89" s="156"/>
      <c r="I89" s="2582" t="s">
        <v>571</v>
      </c>
      <c r="J89" s="2583"/>
      <c r="K89" s="2583"/>
      <c r="L89" s="2583"/>
      <c r="M89" s="2584"/>
      <c r="N89" s="156"/>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row>
    <row r="90" spans="1:61" s="984" customFormat="1">
      <c r="A90" s="156"/>
      <c r="B90" s="156"/>
      <c r="C90" s="156"/>
      <c r="D90" s="156"/>
      <c r="E90" s="1196"/>
      <c r="F90" s="156"/>
      <c r="G90" s="156"/>
      <c r="H90" s="156"/>
      <c r="I90" s="901" t="s">
        <v>277</v>
      </c>
      <c r="J90" s="903">
        <v>11</v>
      </c>
      <c r="K90" s="1076"/>
      <c r="L90" s="1335" t="s">
        <v>133</v>
      </c>
      <c r="M90" s="1336">
        <f>J90*365</f>
        <v>4015</v>
      </c>
      <c r="N90" s="156"/>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c r="AL90" s="985"/>
      <c r="AM90" s="985"/>
      <c r="AN90" s="985"/>
      <c r="AO90" s="985"/>
      <c r="AP90" s="985"/>
      <c r="AQ90" s="985"/>
      <c r="AR90" s="985"/>
      <c r="AS90" s="985"/>
      <c r="AT90" s="985"/>
      <c r="AU90" s="985"/>
      <c r="AV90" s="985"/>
      <c r="AW90" s="985"/>
      <c r="AX90" s="985"/>
      <c r="AY90" s="985"/>
      <c r="AZ90" s="985"/>
      <c r="BA90" s="985"/>
      <c r="BB90" s="985"/>
      <c r="BC90" s="985"/>
      <c r="BD90" s="985"/>
      <c r="BE90" s="985"/>
      <c r="BF90" s="985"/>
      <c r="BG90" s="985"/>
      <c r="BH90" s="985"/>
      <c r="BI90" s="985"/>
    </row>
    <row r="91" spans="1:61" s="984" customFormat="1">
      <c r="A91" s="156"/>
      <c r="B91" s="156"/>
      <c r="C91" s="156"/>
      <c r="D91" s="156"/>
      <c r="E91" s="1196"/>
      <c r="F91" s="156"/>
      <c r="G91" s="156"/>
      <c r="H91" s="156"/>
      <c r="I91" s="109"/>
      <c r="J91" s="39"/>
      <c r="K91" s="156"/>
      <c r="L91" s="1073"/>
      <c r="M91" s="1355"/>
      <c r="N91" s="156"/>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c r="AL91" s="985"/>
      <c r="AM91" s="985"/>
      <c r="AN91" s="985"/>
      <c r="AO91" s="985"/>
      <c r="AP91" s="985"/>
      <c r="AQ91" s="985"/>
      <c r="AR91" s="985"/>
      <c r="AS91" s="985"/>
      <c r="AT91" s="985"/>
      <c r="AU91" s="985"/>
      <c r="AV91" s="985"/>
      <c r="AW91" s="985"/>
      <c r="AX91" s="985"/>
      <c r="AY91" s="985"/>
      <c r="AZ91" s="985"/>
      <c r="BA91" s="985"/>
      <c r="BB91" s="985"/>
      <c r="BC91" s="985"/>
      <c r="BD91" s="985"/>
      <c r="BE91" s="985"/>
      <c r="BF91" s="985"/>
      <c r="BG91" s="985"/>
      <c r="BH91" s="985"/>
      <c r="BI91" s="985"/>
    </row>
    <row r="92" spans="1:61" s="984" customFormat="1">
      <c r="A92" s="156"/>
      <c r="B92" s="156"/>
      <c r="C92" s="156"/>
      <c r="D92" s="156"/>
      <c r="E92" s="1196"/>
      <c r="F92" s="156"/>
      <c r="G92" s="156"/>
      <c r="H92" s="156"/>
      <c r="I92" s="1097"/>
      <c r="J92" s="1339"/>
      <c r="K92" s="997" t="s">
        <v>5</v>
      </c>
      <c r="L92" s="997" t="s">
        <v>6</v>
      </c>
      <c r="M92" s="998" t="s">
        <v>7</v>
      </c>
      <c r="N92" s="156"/>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c r="AL92" s="985"/>
      <c r="AM92" s="985"/>
      <c r="AN92" s="985"/>
      <c r="AO92" s="985"/>
      <c r="AP92" s="985"/>
      <c r="AQ92" s="985"/>
      <c r="AR92" s="985"/>
      <c r="AS92" s="985"/>
      <c r="AT92" s="985"/>
      <c r="AU92" s="985"/>
      <c r="AV92" s="985"/>
      <c r="AW92" s="985"/>
      <c r="AX92" s="985"/>
      <c r="AY92" s="985"/>
      <c r="AZ92" s="985"/>
      <c r="BA92" s="985"/>
      <c r="BB92" s="985"/>
      <c r="BC92" s="985"/>
      <c r="BD92" s="985"/>
      <c r="BE92" s="985"/>
      <c r="BF92" s="985"/>
      <c r="BG92" s="985"/>
      <c r="BH92" s="985"/>
      <c r="BI92" s="985"/>
    </row>
    <row r="93" spans="1:61" s="984" customFormat="1">
      <c r="A93" s="156"/>
      <c r="B93" s="156"/>
      <c r="C93" s="156"/>
      <c r="D93" s="156"/>
      <c r="E93" s="1196"/>
      <c r="F93" s="156"/>
      <c r="G93" s="156"/>
      <c r="H93" s="156"/>
      <c r="I93" s="109" t="s">
        <v>29</v>
      </c>
      <c r="J93" s="1123"/>
      <c r="K93" s="39"/>
      <c r="L93" s="39"/>
      <c r="M93" s="1342"/>
      <c r="N93" s="156"/>
      <c r="O93" s="985"/>
      <c r="P93" s="985"/>
      <c r="Q93" s="985"/>
      <c r="R93" s="985"/>
      <c r="S93" s="985"/>
      <c r="T93" s="985"/>
      <c r="U93" s="985"/>
      <c r="V93" s="985"/>
      <c r="W93" s="985"/>
      <c r="X93" s="985"/>
      <c r="Y93" s="985"/>
      <c r="Z93" s="985"/>
      <c r="AA93" s="985"/>
      <c r="AB93" s="985"/>
      <c r="AC93" s="985"/>
      <c r="AD93" s="985"/>
      <c r="AE93" s="985"/>
      <c r="AF93" s="985"/>
      <c r="AG93" s="985"/>
      <c r="AH93" s="985"/>
      <c r="AI93" s="985"/>
      <c r="AJ93" s="985"/>
      <c r="AK93" s="985"/>
      <c r="AL93" s="985"/>
      <c r="AM93" s="985"/>
      <c r="AN93" s="985"/>
      <c r="AO93" s="985"/>
      <c r="AP93" s="985"/>
      <c r="AQ93" s="985"/>
      <c r="AR93" s="985"/>
      <c r="AS93" s="985"/>
      <c r="AT93" s="985"/>
      <c r="AU93" s="985"/>
      <c r="AV93" s="985"/>
      <c r="AW93" s="985"/>
      <c r="AX93" s="985"/>
      <c r="AY93" s="985"/>
      <c r="AZ93" s="985"/>
      <c r="BA93" s="985"/>
      <c r="BB93" s="985"/>
      <c r="BC93" s="985"/>
      <c r="BD93" s="985"/>
      <c r="BE93" s="985"/>
      <c r="BF93" s="985"/>
      <c r="BG93" s="985"/>
      <c r="BH93" s="985"/>
      <c r="BI93" s="985"/>
    </row>
    <row r="94" spans="1:61" s="984" customFormat="1">
      <c r="A94" s="156"/>
      <c r="B94" s="156"/>
      <c r="C94" s="156"/>
      <c r="D94" s="156"/>
      <c r="E94" s="1196"/>
      <c r="F94" s="156"/>
      <c r="G94" s="156"/>
      <c r="H94" s="156"/>
      <c r="I94" s="109" t="str">
        <f t="shared" ref="I94:I99" si="1">B46</f>
        <v xml:space="preserve">  Management Supervision</v>
      </c>
      <c r="J94" s="1002"/>
      <c r="K94" s="1003">
        <f>D14</f>
        <v>92496.84919424048</v>
      </c>
      <c r="L94" s="1004">
        <f>E46</f>
        <v>0.1</v>
      </c>
      <c r="M94" s="1005">
        <f>K94*L94</f>
        <v>9249.6849194240476</v>
      </c>
      <c r="N94" s="156"/>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985"/>
      <c r="AM94" s="985"/>
      <c r="AN94" s="985"/>
      <c r="AO94" s="985"/>
      <c r="AP94" s="985"/>
      <c r="AQ94" s="985"/>
      <c r="AR94" s="985"/>
      <c r="AS94" s="985"/>
      <c r="AT94" s="985"/>
      <c r="AU94" s="985"/>
      <c r="AV94" s="985"/>
      <c r="AW94" s="985"/>
      <c r="AX94" s="985"/>
      <c r="AY94" s="985"/>
      <c r="AZ94" s="985"/>
      <c r="BA94" s="985"/>
      <c r="BB94" s="985"/>
      <c r="BC94" s="985"/>
      <c r="BD94" s="985"/>
      <c r="BE94" s="985"/>
      <c r="BF94" s="985"/>
      <c r="BG94" s="985"/>
      <c r="BH94" s="985"/>
      <c r="BI94" s="985"/>
    </row>
    <row r="95" spans="1:61" s="984" customFormat="1">
      <c r="A95" s="156"/>
      <c r="B95" s="156"/>
      <c r="C95" s="156"/>
      <c r="D95" s="156"/>
      <c r="E95" s="1196"/>
      <c r="F95" s="156"/>
      <c r="G95" s="156"/>
      <c r="H95" s="156"/>
      <c r="I95" s="109" t="str">
        <f t="shared" si="1"/>
        <v xml:space="preserve">  Specialty Site Manager</v>
      </c>
      <c r="J95" s="1002"/>
      <c r="K95" s="1003">
        <f>E15</f>
        <v>60923</v>
      </c>
      <c r="L95" s="1004">
        <f>E47</f>
        <v>1</v>
      </c>
      <c r="M95" s="1005">
        <f>K95*L95</f>
        <v>60923</v>
      </c>
      <c r="N95" s="156"/>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985"/>
      <c r="AM95" s="985"/>
      <c r="AN95" s="985"/>
      <c r="AO95" s="985"/>
      <c r="AP95" s="985"/>
      <c r="AQ95" s="985"/>
      <c r="AR95" s="985"/>
      <c r="AS95" s="985"/>
      <c r="AT95" s="985"/>
      <c r="AU95" s="985"/>
      <c r="AV95" s="985"/>
      <c r="AW95" s="985"/>
      <c r="AX95" s="985"/>
      <c r="AY95" s="985"/>
      <c r="AZ95" s="985"/>
      <c r="BA95" s="985"/>
      <c r="BB95" s="985"/>
      <c r="BC95" s="985"/>
      <c r="BD95" s="985"/>
      <c r="BE95" s="985"/>
      <c r="BF95" s="985"/>
      <c r="BG95" s="985"/>
      <c r="BH95" s="985"/>
      <c r="BI95" s="985"/>
    </row>
    <row r="96" spans="1:61" s="984" customFormat="1">
      <c r="A96" s="156"/>
      <c r="B96" s="156"/>
      <c r="C96" s="156"/>
      <c r="D96" s="156"/>
      <c r="E96" s="1196"/>
      <c r="F96" s="156"/>
      <c r="G96" s="156"/>
      <c r="H96" s="156"/>
      <c r="I96" s="109" t="str">
        <f t="shared" si="1"/>
        <v>Medical and Clinical</v>
      </c>
      <c r="J96" s="1002"/>
      <c r="K96" s="1003"/>
      <c r="L96" s="1004"/>
      <c r="M96" s="1005"/>
      <c r="N96" s="156"/>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985"/>
      <c r="AM96" s="985"/>
      <c r="AN96" s="985"/>
      <c r="AO96" s="985"/>
      <c r="AP96" s="985"/>
      <c r="AQ96" s="985"/>
      <c r="AR96" s="985"/>
      <c r="AS96" s="985"/>
      <c r="AT96" s="985"/>
      <c r="AU96" s="985"/>
      <c r="AV96" s="985"/>
      <c r="AW96" s="985"/>
      <c r="AX96" s="985"/>
      <c r="AY96" s="985"/>
      <c r="AZ96" s="985"/>
      <c r="BA96" s="985"/>
      <c r="BB96" s="985"/>
      <c r="BC96" s="985"/>
      <c r="BD96" s="985"/>
      <c r="BE96" s="985"/>
      <c r="BF96" s="985"/>
      <c r="BG96" s="985"/>
      <c r="BH96" s="985"/>
      <c r="BI96" s="985"/>
    </row>
    <row r="97" spans="1:61" s="984" customFormat="1">
      <c r="A97" s="156"/>
      <c r="B97" s="156"/>
      <c r="C97" s="156"/>
      <c r="D97" s="156"/>
      <c r="E97" s="1196"/>
      <c r="F97" s="156"/>
      <c r="G97" s="156"/>
      <c r="H97" s="156"/>
      <c r="I97" s="109" t="str">
        <f t="shared" si="1"/>
        <v xml:space="preserve">  RN</v>
      </c>
      <c r="J97" s="1002"/>
      <c r="K97" s="1360">
        <f>D17</f>
        <v>86860.800000000003</v>
      </c>
      <c r="L97" s="1004">
        <f>E49</f>
        <v>1.5</v>
      </c>
      <c r="M97" s="1005">
        <f>K97*L97</f>
        <v>130291.20000000001</v>
      </c>
      <c r="N97" s="156"/>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985"/>
      <c r="AM97" s="985"/>
      <c r="AN97" s="985"/>
      <c r="AO97" s="985"/>
      <c r="AP97" s="985"/>
      <c r="AQ97" s="985"/>
      <c r="AR97" s="985"/>
      <c r="AS97" s="985"/>
      <c r="AT97" s="985"/>
      <c r="AU97" s="985"/>
      <c r="AV97" s="985"/>
      <c r="AW97" s="985"/>
      <c r="AX97" s="985"/>
      <c r="AY97" s="985"/>
      <c r="AZ97" s="985"/>
      <c r="BA97" s="985"/>
      <c r="BB97" s="985"/>
      <c r="BC97" s="985"/>
      <c r="BD97" s="985"/>
      <c r="BE97" s="985"/>
      <c r="BF97" s="985"/>
      <c r="BG97" s="985"/>
      <c r="BH97" s="985"/>
      <c r="BI97" s="985"/>
    </row>
    <row r="98" spans="1:61" s="984" customFormat="1">
      <c r="A98" s="156"/>
      <c r="B98" s="156"/>
      <c r="C98" s="156"/>
      <c r="D98" s="156"/>
      <c r="E98" s="1196"/>
      <c r="F98" s="156"/>
      <c r="G98" s="156"/>
      <c r="H98" s="156"/>
      <c r="I98" s="109" t="str">
        <f t="shared" si="1"/>
        <v xml:space="preserve">  Certified Nursing Assistant (CNA)</v>
      </c>
      <c r="J98" s="1002"/>
      <c r="K98" s="1360">
        <f>D18</f>
        <v>32302.399999999998</v>
      </c>
      <c r="L98" s="1004">
        <f>E50</f>
        <v>5.4</v>
      </c>
      <c r="M98" s="1005">
        <f>K98*L98</f>
        <v>174432.96</v>
      </c>
      <c r="N98" s="156"/>
      <c r="O98" s="985"/>
      <c r="P98" s="985"/>
      <c r="Q98" s="985"/>
      <c r="R98" s="985"/>
      <c r="S98" s="985"/>
      <c r="T98" s="985"/>
      <c r="U98" s="985"/>
      <c r="V98" s="985"/>
      <c r="W98" s="985"/>
      <c r="X98" s="985"/>
      <c r="Y98" s="985"/>
      <c r="Z98" s="985"/>
      <c r="AA98" s="985"/>
      <c r="AB98" s="985"/>
      <c r="AC98" s="985"/>
      <c r="AD98" s="985"/>
      <c r="AE98" s="985"/>
      <c r="AF98" s="985"/>
      <c r="AG98" s="985"/>
      <c r="AH98" s="985"/>
      <c r="AI98" s="985"/>
      <c r="AJ98" s="985"/>
      <c r="AK98" s="985"/>
      <c r="AL98" s="985"/>
      <c r="AM98" s="985"/>
      <c r="AN98" s="985"/>
      <c r="AO98" s="985"/>
      <c r="AP98" s="985"/>
      <c r="AQ98" s="985"/>
      <c r="AR98" s="985"/>
      <c r="AS98" s="985"/>
      <c r="AT98" s="985"/>
      <c r="AU98" s="985"/>
      <c r="AV98" s="985"/>
      <c r="AW98" s="985"/>
      <c r="AX98" s="985"/>
      <c r="AY98" s="985"/>
      <c r="AZ98" s="985"/>
      <c r="BA98" s="985"/>
      <c r="BB98" s="985"/>
      <c r="BC98" s="985"/>
      <c r="BD98" s="985"/>
      <c r="BE98" s="985"/>
      <c r="BF98" s="985"/>
      <c r="BG98" s="985"/>
      <c r="BH98" s="985"/>
      <c r="BI98" s="985"/>
    </row>
    <row r="99" spans="1:61" s="984" customFormat="1">
      <c r="A99" s="156"/>
      <c r="B99" s="156"/>
      <c r="C99" s="156"/>
      <c r="D99" s="156"/>
      <c r="E99" s="1196"/>
      <c r="F99" s="156"/>
      <c r="G99" s="156"/>
      <c r="H99" s="156"/>
      <c r="I99" s="109" t="str">
        <f t="shared" si="1"/>
        <v>Direct Care</v>
      </c>
      <c r="J99" s="1002"/>
      <c r="K99" s="1003"/>
      <c r="L99" s="1004"/>
      <c r="M99" s="1005"/>
      <c r="N99" s="156"/>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c r="AL99" s="985"/>
      <c r="AM99" s="985"/>
      <c r="AN99" s="985"/>
      <c r="AO99" s="985"/>
      <c r="AP99" s="985"/>
      <c r="AQ99" s="985"/>
      <c r="AR99" s="985"/>
      <c r="AS99" s="985"/>
      <c r="AT99" s="985"/>
      <c r="AU99" s="985"/>
      <c r="AV99" s="985"/>
      <c r="AW99" s="985"/>
      <c r="AX99" s="985"/>
      <c r="AY99" s="985"/>
      <c r="AZ99" s="985"/>
      <c r="BA99" s="985"/>
      <c r="BB99" s="985"/>
      <c r="BC99" s="985"/>
      <c r="BD99" s="985"/>
      <c r="BE99" s="985"/>
      <c r="BF99" s="985"/>
      <c r="BG99" s="985"/>
      <c r="BH99" s="985"/>
      <c r="BI99" s="985"/>
    </row>
    <row r="100" spans="1:61" s="984" customFormat="1">
      <c r="A100" s="156"/>
      <c r="B100" s="156"/>
      <c r="C100" s="156"/>
      <c r="D100" s="156"/>
      <c r="E100" s="1196"/>
      <c r="F100" s="156"/>
      <c r="G100" s="156"/>
      <c r="H100" s="156"/>
      <c r="I100" s="109" t="str">
        <f>B20</f>
        <v xml:space="preserve">  Direct Care III</v>
      </c>
      <c r="J100" s="1002"/>
      <c r="K100" s="1360">
        <f>D20</f>
        <v>41516.800000000003</v>
      </c>
      <c r="L100" s="1004">
        <f>E52</f>
        <v>4.3</v>
      </c>
      <c r="M100" s="1005">
        <f>K100*L100</f>
        <v>178522.23999999999</v>
      </c>
      <c r="N100" s="156"/>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c r="AL100" s="985"/>
      <c r="AM100" s="985"/>
      <c r="AN100" s="985"/>
      <c r="AO100" s="985"/>
      <c r="AP100" s="985"/>
      <c r="AQ100" s="985"/>
      <c r="AR100" s="985"/>
      <c r="AS100" s="985"/>
      <c r="AT100" s="985"/>
      <c r="AU100" s="985"/>
      <c r="AV100" s="985"/>
      <c r="AW100" s="985"/>
      <c r="AX100" s="985"/>
      <c r="AY100" s="985"/>
      <c r="AZ100" s="985"/>
      <c r="BA100" s="985"/>
      <c r="BB100" s="985"/>
      <c r="BC100" s="985"/>
      <c r="BD100" s="985"/>
      <c r="BE100" s="985"/>
      <c r="BF100" s="985"/>
      <c r="BG100" s="985"/>
      <c r="BH100" s="985"/>
      <c r="BI100" s="985"/>
    </row>
    <row r="101" spans="1:61" s="984" customFormat="1">
      <c r="A101" s="156"/>
      <c r="B101" s="156"/>
      <c r="C101" s="156"/>
      <c r="D101" s="156"/>
      <c r="E101" s="1196"/>
      <c r="F101" s="156"/>
      <c r="G101" s="156"/>
      <c r="H101" s="156"/>
      <c r="I101" s="109" t="str">
        <f>B21</f>
        <v xml:space="preserve">  Direct Care</v>
      </c>
      <c r="J101" s="1002"/>
      <c r="K101" s="1360">
        <f>D21</f>
        <v>32198.400000000001</v>
      </c>
      <c r="L101" s="1004">
        <f>E53</f>
        <v>6.3</v>
      </c>
      <c r="M101" s="1005">
        <f>K101*L101</f>
        <v>202849.92000000001</v>
      </c>
      <c r="N101" s="156"/>
      <c r="O101" s="985"/>
      <c r="P101" s="985"/>
      <c r="Q101" s="985"/>
      <c r="R101" s="985"/>
      <c r="S101" s="985"/>
      <c r="T101" s="985"/>
      <c r="U101" s="985"/>
      <c r="V101" s="985"/>
      <c r="W101" s="985"/>
      <c r="X101" s="985"/>
      <c r="Y101" s="985"/>
      <c r="Z101" s="985"/>
      <c r="AA101" s="985"/>
      <c r="AB101" s="985"/>
      <c r="AC101" s="985"/>
      <c r="AD101" s="985"/>
      <c r="AE101" s="985"/>
      <c r="AF101" s="985"/>
      <c r="AG101" s="985"/>
      <c r="AH101" s="985"/>
      <c r="AI101" s="985"/>
      <c r="AJ101" s="985"/>
      <c r="AK101" s="985"/>
      <c r="AL101" s="985"/>
      <c r="AM101" s="985"/>
      <c r="AN101" s="985"/>
      <c r="AO101" s="985"/>
      <c r="AP101" s="985"/>
      <c r="AQ101" s="985"/>
      <c r="AR101" s="985"/>
      <c r="AS101" s="985"/>
      <c r="AT101" s="985"/>
      <c r="AU101" s="985"/>
      <c r="AV101" s="985"/>
      <c r="AW101" s="985"/>
      <c r="AX101" s="985"/>
      <c r="AY101" s="985"/>
      <c r="AZ101" s="985"/>
      <c r="BA101" s="985"/>
      <c r="BB101" s="985"/>
      <c r="BC101" s="985"/>
      <c r="BD101" s="985"/>
      <c r="BE101" s="985"/>
      <c r="BF101" s="985"/>
      <c r="BG101" s="985"/>
      <c r="BH101" s="985"/>
      <c r="BI101" s="985"/>
    </row>
    <row r="102" spans="1:61" s="984" customFormat="1">
      <c r="A102" s="156"/>
      <c r="B102" s="156"/>
      <c r="C102" s="156"/>
      <c r="D102" s="156"/>
      <c r="E102" s="1196"/>
      <c r="F102" s="156"/>
      <c r="G102" s="156"/>
      <c r="H102" s="156"/>
      <c r="I102" s="109" t="str">
        <f>B22</f>
        <v xml:space="preserve">  Relief</v>
      </c>
      <c r="J102" s="1002"/>
      <c r="K102" s="1360">
        <f>D22</f>
        <v>32198.400000000001</v>
      </c>
      <c r="L102" s="1004">
        <f>E54</f>
        <v>1.5492307692307692</v>
      </c>
      <c r="M102" s="1005">
        <f>K102*L102</f>
        <v>49882.752</v>
      </c>
      <c r="N102" s="156"/>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c r="AU102" s="985"/>
      <c r="AV102" s="985"/>
      <c r="AW102" s="985"/>
      <c r="AX102" s="985"/>
      <c r="AY102" s="985"/>
      <c r="AZ102" s="985"/>
      <c r="BA102" s="985"/>
      <c r="BB102" s="985"/>
      <c r="BC102" s="985"/>
      <c r="BD102" s="985"/>
      <c r="BE102" s="985"/>
      <c r="BF102" s="985"/>
      <c r="BG102" s="985"/>
      <c r="BH102" s="985"/>
      <c r="BI102" s="985"/>
    </row>
    <row r="103" spans="1:61" s="984" customFormat="1">
      <c r="A103" s="156"/>
      <c r="B103" s="156"/>
      <c r="C103" s="156"/>
      <c r="D103" s="156"/>
      <c r="E103" s="1196"/>
      <c r="F103" s="156"/>
      <c r="G103" s="156"/>
      <c r="H103" s="156"/>
      <c r="I103" s="1018" t="s">
        <v>13</v>
      </c>
      <c r="J103" s="1019"/>
      <c r="K103" s="1019"/>
      <c r="L103" s="1307">
        <f>SUM(L94:L102)</f>
        <v>20.149230769230769</v>
      </c>
      <c r="M103" s="1136">
        <f>SUM(M94:M102)</f>
        <v>806151.75691942405</v>
      </c>
      <c r="N103" s="156"/>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c r="AU103" s="985"/>
      <c r="AV103" s="985"/>
      <c r="AW103" s="985"/>
      <c r="AX103" s="985"/>
      <c r="AY103" s="985"/>
      <c r="AZ103" s="985"/>
      <c r="BA103" s="985"/>
      <c r="BB103" s="985"/>
      <c r="BC103" s="985"/>
      <c r="BD103" s="985"/>
      <c r="BE103" s="985"/>
      <c r="BF103" s="985"/>
      <c r="BG103" s="985"/>
      <c r="BH103" s="985"/>
      <c r="BI103" s="985"/>
    </row>
    <row r="104" spans="1:61" s="984" customFormat="1">
      <c r="A104" s="156"/>
      <c r="B104" s="156"/>
      <c r="C104" s="156"/>
      <c r="D104" s="156"/>
      <c r="E104" s="1196"/>
      <c r="F104" s="156"/>
      <c r="G104" s="156"/>
      <c r="H104" s="156"/>
      <c r="I104" s="109"/>
      <c r="J104" s="156"/>
      <c r="K104" s="156"/>
      <c r="L104" s="156"/>
      <c r="M104" s="991"/>
      <c r="N104" s="156"/>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c r="AU104" s="985"/>
      <c r="AV104" s="985"/>
      <c r="AW104" s="985"/>
      <c r="AX104" s="985"/>
      <c r="AY104" s="985"/>
      <c r="AZ104" s="985"/>
      <c r="BA104" s="985"/>
      <c r="BB104" s="985"/>
      <c r="BC104" s="985"/>
      <c r="BD104" s="985"/>
      <c r="BE104" s="985"/>
      <c r="BF104" s="985"/>
      <c r="BG104" s="985"/>
      <c r="BH104" s="985"/>
      <c r="BI104" s="985"/>
    </row>
    <row r="105" spans="1:61" s="984" customFormat="1">
      <c r="A105" s="156"/>
      <c r="B105" s="156"/>
      <c r="C105" s="156"/>
      <c r="D105" s="156"/>
      <c r="E105" s="1196"/>
      <c r="F105" s="156"/>
      <c r="G105" s="156"/>
      <c r="H105" s="156"/>
      <c r="I105" s="111" t="s">
        <v>15</v>
      </c>
      <c r="J105" s="269"/>
      <c r="K105" s="269"/>
      <c r="L105" s="269" t="s">
        <v>16</v>
      </c>
      <c r="M105" s="991"/>
      <c r="N105" s="156"/>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c r="AU105" s="985"/>
      <c r="AV105" s="985"/>
      <c r="AW105" s="985"/>
      <c r="AX105" s="985"/>
      <c r="AY105" s="985"/>
      <c r="AZ105" s="985"/>
      <c r="BA105" s="985"/>
      <c r="BB105" s="985"/>
      <c r="BC105" s="985"/>
      <c r="BD105" s="985"/>
      <c r="BE105" s="985"/>
      <c r="BF105" s="985"/>
      <c r="BG105" s="985"/>
      <c r="BH105" s="985"/>
      <c r="BI105" s="985"/>
    </row>
    <row r="106" spans="1:61" s="984" customFormat="1">
      <c r="A106" s="156"/>
      <c r="B106" s="156"/>
      <c r="C106" s="156"/>
      <c r="D106" s="156"/>
      <c r="E106" s="1196"/>
      <c r="F106" s="156"/>
      <c r="G106" s="156"/>
      <c r="H106" s="156"/>
      <c r="I106" s="109" t="str">
        <f>B26</f>
        <v xml:space="preserve">  Tax and Fringe</v>
      </c>
      <c r="J106" s="156"/>
      <c r="K106" s="1363">
        <f>D26</f>
        <v>0.224</v>
      </c>
      <c r="L106" s="156"/>
      <c r="M106" s="1017">
        <f>K106*M103</f>
        <v>180577.993549951</v>
      </c>
      <c r="N106" s="156"/>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c r="AL106" s="985"/>
      <c r="AM106" s="985"/>
      <c r="AN106" s="985"/>
      <c r="AO106" s="985"/>
      <c r="AP106" s="985"/>
      <c r="AQ106" s="985"/>
      <c r="AR106" s="985"/>
      <c r="AS106" s="985"/>
      <c r="AT106" s="985"/>
      <c r="AU106" s="985"/>
      <c r="AV106" s="985"/>
      <c r="AW106" s="985"/>
      <c r="AX106" s="985"/>
      <c r="AY106" s="985"/>
      <c r="AZ106" s="985"/>
      <c r="BA106" s="985"/>
      <c r="BB106" s="985"/>
      <c r="BC106" s="985"/>
      <c r="BD106" s="985"/>
      <c r="BE106" s="985"/>
      <c r="BF106" s="985"/>
      <c r="BG106" s="985"/>
      <c r="BH106" s="985"/>
      <c r="BI106" s="985"/>
    </row>
    <row r="107" spans="1:61" s="984" customFormat="1">
      <c r="A107" s="156"/>
      <c r="B107" s="156"/>
      <c r="C107" s="156"/>
      <c r="D107" s="156"/>
      <c r="E107" s="1196"/>
      <c r="F107" s="156"/>
      <c r="G107" s="156"/>
      <c r="H107" s="156"/>
      <c r="I107" s="1018" t="s">
        <v>18</v>
      </c>
      <c r="J107" s="1019"/>
      <c r="K107" s="1019"/>
      <c r="L107" s="1020"/>
      <c r="M107" s="1021">
        <f>M103+M106</f>
        <v>986729.75046937505</v>
      </c>
      <c r="N107" s="156"/>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c r="AL107" s="985"/>
      <c r="AM107" s="985"/>
      <c r="AN107" s="985"/>
      <c r="AO107" s="985"/>
      <c r="AP107" s="985"/>
      <c r="AQ107" s="985"/>
      <c r="AR107" s="985"/>
      <c r="AS107" s="985"/>
      <c r="AT107" s="985"/>
      <c r="AU107" s="985"/>
      <c r="AV107" s="985"/>
      <c r="AW107" s="985"/>
      <c r="AX107" s="985"/>
      <c r="AY107" s="985"/>
      <c r="AZ107" s="985"/>
      <c r="BA107" s="985"/>
      <c r="BB107" s="985"/>
      <c r="BC107" s="985"/>
      <c r="BD107" s="985"/>
      <c r="BE107" s="985"/>
      <c r="BF107" s="985"/>
      <c r="BG107" s="985"/>
      <c r="BH107" s="985"/>
      <c r="BI107" s="985"/>
    </row>
    <row r="108" spans="1:61" s="984" customFormat="1">
      <c r="A108" s="156"/>
      <c r="B108" s="156"/>
      <c r="C108" s="156"/>
      <c r="D108" s="156"/>
      <c r="E108" s="1196"/>
      <c r="F108" s="156"/>
      <c r="G108" s="156"/>
      <c r="H108" s="156"/>
      <c r="I108" s="109"/>
      <c r="J108" s="156"/>
      <c r="K108" s="156"/>
      <c r="L108" s="884"/>
      <c r="M108" s="1005"/>
      <c r="N108" s="156"/>
      <c r="O108" s="985"/>
      <c r="P108" s="985"/>
      <c r="Q108" s="985"/>
      <c r="R108" s="985"/>
      <c r="S108" s="985"/>
      <c r="T108" s="985"/>
      <c r="U108" s="985"/>
      <c r="V108" s="985"/>
      <c r="W108" s="985"/>
      <c r="X108" s="985"/>
      <c r="Y108" s="985"/>
      <c r="Z108" s="985"/>
      <c r="AA108" s="985"/>
      <c r="AB108" s="985"/>
      <c r="AC108" s="985"/>
      <c r="AD108" s="985"/>
      <c r="AE108" s="985"/>
      <c r="AF108" s="985"/>
      <c r="AG108" s="985"/>
      <c r="AH108" s="985"/>
      <c r="AI108" s="985"/>
      <c r="AJ108" s="985"/>
      <c r="AK108" s="985"/>
      <c r="AL108" s="985"/>
      <c r="AM108" s="985"/>
      <c r="AN108" s="985"/>
      <c r="AO108" s="985"/>
      <c r="AP108" s="985"/>
      <c r="AQ108" s="985"/>
      <c r="AR108" s="985"/>
      <c r="AS108" s="985"/>
      <c r="AT108" s="985"/>
      <c r="AU108" s="985"/>
      <c r="AV108" s="985"/>
      <c r="AW108" s="985"/>
      <c r="AX108" s="985"/>
      <c r="AY108" s="985"/>
      <c r="AZ108" s="985"/>
      <c r="BA108" s="985"/>
      <c r="BB108" s="985"/>
      <c r="BC108" s="985"/>
      <c r="BD108" s="985"/>
      <c r="BE108" s="985"/>
      <c r="BF108" s="985"/>
      <c r="BG108" s="985"/>
      <c r="BH108" s="985"/>
      <c r="BI108" s="985"/>
    </row>
    <row r="109" spans="1:61" s="984" customFormat="1">
      <c r="A109" s="156"/>
      <c r="B109" s="156"/>
      <c r="C109" s="156"/>
      <c r="D109" s="156"/>
      <c r="E109" s="1196"/>
      <c r="F109" s="156"/>
      <c r="G109" s="156"/>
      <c r="H109" s="156"/>
      <c r="I109" s="995" t="s">
        <v>328</v>
      </c>
      <c r="J109" s="1012"/>
      <c r="K109" s="997" t="s">
        <v>19</v>
      </c>
      <c r="L109" s="1139" t="s">
        <v>20</v>
      </c>
      <c r="M109" s="1140" t="s">
        <v>7</v>
      </c>
      <c r="N109" s="156"/>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c r="AL109" s="985"/>
      <c r="AM109" s="985"/>
      <c r="AN109" s="985"/>
      <c r="AO109" s="985"/>
      <c r="AP109" s="985"/>
      <c r="AQ109" s="985"/>
      <c r="AR109" s="985"/>
      <c r="AS109" s="985"/>
      <c r="AT109" s="985"/>
      <c r="AU109" s="985"/>
      <c r="AV109" s="985"/>
      <c r="AW109" s="985"/>
      <c r="AX109" s="985"/>
      <c r="AY109" s="985"/>
      <c r="AZ109" s="985"/>
      <c r="BA109" s="985"/>
      <c r="BB109" s="985"/>
      <c r="BC109" s="985"/>
      <c r="BD109" s="985"/>
      <c r="BE109" s="985"/>
      <c r="BF109" s="985"/>
      <c r="BG109" s="985"/>
      <c r="BH109" s="985"/>
      <c r="BI109" s="985"/>
    </row>
    <row r="110" spans="1:61" s="984" customFormat="1">
      <c r="A110" s="156"/>
      <c r="B110" s="156"/>
      <c r="C110" s="156"/>
      <c r="D110" s="156"/>
      <c r="E110" s="1196"/>
      <c r="F110" s="156"/>
      <c r="G110" s="156"/>
      <c r="H110" s="156"/>
      <c r="I110" s="109" t="str">
        <f>B29</f>
        <v xml:space="preserve">  Occupational Therapist</v>
      </c>
      <c r="J110" s="156"/>
      <c r="K110" s="1151">
        <f>D29</f>
        <v>56.166377419662432</v>
      </c>
      <c r="L110" s="1004">
        <f>E56*52</f>
        <v>78</v>
      </c>
      <c r="M110" s="1325">
        <f>K110*L110</f>
        <v>4380.9774387336693</v>
      </c>
      <c r="N110" s="156"/>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c r="AU110" s="985"/>
      <c r="AV110" s="985"/>
      <c r="AW110" s="985"/>
      <c r="AX110" s="985"/>
      <c r="AY110" s="985"/>
      <c r="AZ110" s="985"/>
      <c r="BA110" s="985"/>
      <c r="BB110" s="985"/>
      <c r="BC110" s="985"/>
      <c r="BD110" s="985"/>
      <c r="BE110" s="985"/>
      <c r="BF110" s="985"/>
      <c r="BG110" s="985"/>
      <c r="BH110" s="985"/>
      <c r="BI110" s="985"/>
    </row>
    <row r="111" spans="1:61" s="984" customFormat="1">
      <c r="A111" s="156"/>
      <c r="B111" s="156"/>
      <c r="C111" s="156"/>
      <c r="D111" s="156"/>
      <c r="E111" s="1196"/>
      <c r="F111" s="156"/>
      <c r="G111" s="156"/>
      <c r="H111" s="156"/>
      <c r="I111" s="121" t="str">
        <f>B30</f>
        <v xml:space="preserve">  LPHA</v>
      </c>
      <c r="J111" s="156"/>
      <c r="K111" s="1361">
        <f>D30</f>
        <v>42.595828549102229</v>
      </c>
      <c r="L111" s="1004">
        <f>E57*52</f>
        <v>78</v>
      </c>
      <c r="M111" s="1017">
        <f>K111*L111</f>
        <v>3322.4746268299741</v>
      </c>
      <c r="N111" s="156"/>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c r="AU111" s="985"/>
      <c r="AV111" s="985"/>
      <c r="AW111" s="985"/>
      <c r="AX111" s="985"/>
      <c r="AY111" s="985"/>
      <c r="AZ111" s="985"/>
      <c r="BA111" s="985"/>
      <c r="BB111" s="985"/>
      <c r="BC111" s="985"/>
      <c r="BD111" s="985"/>
      <c r="BE111" s="985"/>
      <c r="BF111" s="985"/>
      <c r="BG111" s="985"/>
      <c r="BH111" s="985"/>
      <c r="BI111" s="985"/>
    </row>
    <row r="112" spans="1:61" s="984" customFormat="1">
      <c r="A112" s="156"/>
      <c r="B112" s="156"/>
      <c r="C112" s="156"/>
      <c r="D112" s="156"/>
      <c r="E112" s="1196"/>
      <c r="F112" s="156"/>
      <c r="G112" s="156"/>
      <c r="H112" s="156"/>
      <c r="I112" s="1018" t="s">
        <v>21</v>
      </c>
      <c r="J112" s="1019"/>
      <c r="K112" s="1019"/>
      <c r="L112" s="1019"/>
      <c r="M112" s="1021">
        <f>SUM(M110:M111)</f>
        <v>7703.4520655636434</v>
      </c>
      <c r="N112" s="156"/>
      <c r="O112" s="985"/>
      <c r="P112" s="985"/>
      <c r="Q112" s="985"/>
      <c r="R112" s="985"/>
      <c r="S112" s="985"/>
      <c r="T112" s="985"/>
      <c r="U112" s="985"/>
      <c r="V112" s="985"/>
      <c r="W112" s="985"/>
      <c r="X112" s="985"/>
      <c r="Y112" s="985"/>
      <c r="Z112" s="985"/>
      <c r="AA112" s="985"/>
      <c r="AB112" s="985"/>
      <c r="AC112" s="985"/>
      <c r="AD112" s="985"/>
      <c r="AE112" s="985"/>
      <c r="AF112" s="985"/>
      <c r="AG112" s="985"/>
      <c r="AH112" s="985"/>
      <c r="AI112" s="985"/>
      <c r="AJ112" s="985"/>
      <c r="AK112" s="985"/>
      <c r="AL112" s="985"/>
      <c r="AM112" s="985"/>
      <c r="AN112" s="985"/>
      <c r="AO112" s="985"/>
      <c r="AP112" s="985"/>
      <c r="AQ112" s="985"/>
      <c r="AR112" s="985"/>
      <c r="AS112" s="985"/>
      <c r="AT112" s="985"/>
      <c r="AU112" s="985"/>
      <c r="AV112" s="985"/>
      <c r="AW112" s="985"/>
      <c r="AX112" s="985"/>
      <c r="AY112" s="985"/>
      <c r="AZ112" s="985"/>
      <c r="BA112" s="985"/>
      <c r="BB112" s="985"/>
      <c r="BC112" s="985"/>
      <c r="BD112" s="985"/>
      <c r="BE112" s="985"/>
      <c r="BF112" s="985"/>
      <c r="BG112" s="985"/>
      <c r="BH112" s="985"/>
      <c r="BI112" s="985"/>
    </row>
    <row r="113" spans="1:61" s="984" customFormat="1">
      <c r="A113" s="156"/>
      <c r="B113" s="156"/>
      <c r="C113" s="156"/>
      <c r="D113" s="156"/>
      <c r="E113" s="1196"/>
      <c r="F113" s="156"/>
      <c r="G113" s="156"/>
      <c r="H113" s="156"/>
      <c r="I113" s="109" t="str">
        <f>B39</f>
        <v>PFLMA Trust Contribution</v>
      </c>
      <c r="J113" s="156"/>
      <c r="K113" s="156"/>
      <c r="L113" s="1220">
        <f>D39</f>
        <v>3.7000000000000002E-3</v>
      </c>
      <c r="M113" s="1017">
        <f>M103*L113</f>
        <v>2982.7615006018691</v>
      </c>
      <c r="N113" s="156"/>
      <c r="O113" s="985"/>
      <c r="P113" s="985"/>
      <c r="Q113" s="985"/>
      <c r="R113" s="985"/>
      <c r="S113" s="985"/>
      <c r="T113" s="985"/>
      <c r="U113" s="985"/>
      <c r="V113" s="985"/>
      <c r="W113" s="985"/>
      <c r="X113" s="985"/>
      <c r="Y113" s="985"/>
      <c r="Z113" s="985"/>
      <c r="AA113" s="985"/>
      <c r="AB113" s="985"/>
      <c r="AC113" s="985"/>
      <c r="AD113" s="985"/>
      <c r="AE113" s="985"/>
      <c r="AF113" s="985"/>
      <c r="AG113" s="985"/>
      <c r="AH113" s="985"/>
      <c r="AI113" s="985"/>
      <c r="AJ113" s="985"/>
      <c r="AK113" s="985"/>
      <c r="AL113" s="985"/>
      <c r="AM113" s="985"/>
      <c r="AN113" s="985"/>
      <c r="AO113" s="985"/>
      <c r="AP113" s="985"/>
      <c r="AQ113" s="985"/>
      <c r="AR113" s="985"/>
      <c r="AS113" s="985"/>
      <c r="AT113" s="985"/>
      <c r="AU113" s="985"/>
      <c r="AV113" s="985"/>
      <c r="AW113" s="985"/>
      <c r="AX113" s="985"/>
      <c r="AY113" s="985"/>
      <c r="AZ113" s="985"/>
      <c r="BA113" s="985"/>
      <c r="BB113" s="985"/>
      <c r="BC113" s="985"/>
      <c r="BD113" s="985"/>
      <c r="BE113" s="985"/>
      <c r="BF113" s="985"/>
      <c r="BG113" s="985"/>
      <c r="BH113" s="985"/>
      <c r="BI113" s="985"/>
    </row>
    <row r="114" spans="1:61" s="984" customFormat="1">
      <c r="A114" s="156"/>
      <c r="B114" s="156"/>
      <c r="C114" s="156"/>
      <c r="D114" s="156"/>
      <c r="E114" s="1196"/>
      <c r="F114" s="156"/>
      <c r="G114" s="156"/>
      <c r="H114" s="156"/>
      <c r="I114" s="1356" t="str">
        <f>B33</f>
        <v xml:space="preserve">  Staff Training</v>
      </c>
      <c r="J114" s="156"/>
      <c r="K114" s="156"/>
      <c r="L114" s="1092">
        <f>D33</f>
        <v>277.77888799999999</v>
      </c>
      <c r="M114" s="1357">
        <f>L114*L103</f>
        <v>5597.0309171323079</v>
      </c>
      <c r="N114" s="156"/>
      <c r="O114" s="985"/>
      <c r="P114" s="985"/>
      <c r="Q114" s="985"/>
      <c r="R114" s="985"/>
      <c r="S114" s="985"/>
      <c r="T114" s="985"/>
      <c r="U114" s="985"/>
      <c r="V114" s="985"/>
      <c r="W114" s="985"/>
      <c r="X114" s="985"/>
      <c r="Y114" s="985"/>
      <c r="Z114" s="985"/>
      <c r="AA114" s="985"/>
      <c r="AB114" s="985"/>
      <c r="AC114" s="985"/>
      <c r="AD114" s="985"/>
      <c r="AE114" s="985"/>
      <c r="AF114" s="985"/>
      <c r="AG114" s="985"/>
      <c r="AH114" s="985"/>
      <c r="AI114" s="985"/>
      <c r="AJ114" s="985"/>
      <c r="AK114" s="985"/>
      <c r="AL114" s="985"/>
      <c r="AM114" s="985"/>
      <c r="AN114" s="985"/>
      <c r="AO114" s="985"/>
      <c r="AP114" s="985"/>
      <c r="AQ114" s="985"/>
      <c r="AR114" s="985"/>
      <c r="AS114" s="985"/>
      <c r="AT114" s="985"/>
      <c r="AU114" s="985"/>
      <c r="AV114" s="985"/>
      <c r="AW114" s="985"/>
      <c r="AX114" s="985"/>
      <c r="AY114" s="985"/>
      <c r="AZ114" s="985"/>
      <c r="BA114" s="985"/>
      <c r="BB114" s="985"/>
      <c r="BC114" s="985"/>
      <c r="BD114" s="985"/>
      <c r="BE114" s="985"/>
      <c r="BF114" s="985"/>
      <c r="BG114" s="985"/>
      <c r="BH114" s="985"/>
      <c r="BI114" s="985"/>
    </row>
    <row r="115" spans="1:61" s="984" customFormat="1">
      <c r="A115" s="156"/>
      <c r="B115" s="156"/>
      <c r="C115" s="156"/>
      <c r="D115" s="156"/>
      <c r="E115" s="1196"/>
      <c r="F115" s="156"/>
      <c r="G115" s="156"/>
      <c r="H115" s="156"/>
      <c r="I115" s="109" t="str">
        <f>B34</f>
        <v xml:space="preserve">  Transportation</v>
      </c>
      <c r="J115" s="156"/>
      <c r="K115" s="156"/>
      <c r="L115" s="1358"/>
      <c r="M115" s="1359">
        <f>D34</f>
        <v>6191.6539525126345</v>
      </c>
      <c r="N115" s="156"/>
      <c r="O115" s="985"/>
      <c r="P115" s="985"/>
      <c r="Q115" s="985"/>
      <c r="R115" s="985"/>
      <c r="S115" s="985"/>
      <c r="T115" s="985"/>
      <c r="U115" s="985"/>
      <c r="V115" s="985"/>
      <c r="W115" s="985"/>
      <c r="X115" s="985"/>
      <c r="Y115" s="985"/>
      <c r="Z115" s="985"/>
      <c r="AA115" s="985"/>
      <c r="AB115" s="985"/>
      <c r="AC115" s="985"/>
      <c r="AD115" s="985"/>
      <c r="AE115" s="985"/>
      <c r="AF115" s="985"/>
      <c r="AG115" s="985"/>
      <c r="AH115" s="985"/>
      <c r="AI115" s="985"/>
      <c r="AJ115" s="985"/>
      <c r="AK115" s="985"/>
      <c r="AL115" s="985"/>
      <c r="AM115" s="985"/>
      <c r="AN115" s="985"/>
      <c r="AO115" s="985"/>
      <c r="AP115" s="985"/>
      <c r="AQ115" s="985"/>
      <c r="AR115" s="985"/>
      <c r="AS115" s="985"/>
      <c r="AT115" s="985"/>
      <c r="AU115" s="985"/>
      <c r="AV115" s="985"/>
      <c r="AW115" s="985"/>
      <c r="AX115" s="985"/>
      <c r="AY115" s="985"/>
      <c r="AZ115" s="985"/>
      <c r="BA115" s="985"/>
      <c r="BB115" s="985"/>
      <c r="BC115" s="985"/>
      <c r="BD115" s="985"/>
      <c r="BE115" s="985"/>
      <c r="BF115" s="985"/>
      <c r="BG115" s="985"/>
      <c r="BH115" s="985"/>
      <c r="BI115" s="985"/>
    </row>
    <row r="116" spans="1:61" s="984" customFormat="1">
      <c r="A116" s="156"/>
      <c r="B116" s="156"/>
      <c r="C116" s="156"/>
      <c r="D116" s="156"/>
      <c r="E116" s="1196"/>
      <c r="F116" s="156"/>
      <c r="G116" s="156"/>
      <c r="H116" s="156"/>
      <c r="I116" s="109" t="s">
        <v>792</v>
      </c>
      <c r="J116" s="156"/>
      <c r="K116" s="156"/>
      <c r="L116" s="1151">
        <f>D36</f>
        <v>8.16</v>
      </c>
      <c r="M116" s="1311">
        <f>L116*M90</f>
        <v>32762.400000000001</v>
      </c>
      <c r="N116" s="156"/>
      <c r="O116" s="985"/>
      <c r="P116" s="985"/>
      <c r="Q116" s="985"/>
      <c r="R116" s="985"/>
      <c r="S116" s="985"/>
      <c r="T116" s="985"/>
      <c r="U116" s="985"/>
      <c r="V116" s="985"/>
      <c r="W116" s="985"/>
      <c r="X116" s="985"/>
      <c r="Y116" s="985"/>
      <c r="Z116" s="985"/>
      <c r="AA116" s="985"/>
      <c r="AB116" s="985"/>
      <c r="AC116" s="985"/>
      <c r="AD116" s="985"/>
      <c r="AE116" s="985"/>
      <c r="AF116" s="985"/>
      <c r="AG116" s="985"/>
      <c r="AH116" s="985"/>
      <c r="AI116" s="985"/>
      <c r="AJ116" s="985"/>
      <c r="AK116" s="985"/>
      <c r="AL116" s="985"/>
      <c r="AM116" s="985"/>
      <c r="AN116" s="985"/>
      <c r="AO116" s="985"/>
      <c r="AP116" s="985"/>
      <c r="AQ116" s="985"/>
      <c r="AR116" s="985"/>
      <c r="AS116" s="985"/>
      <c r="AT116" s="985"/>
      <c r="AU116" s="985"/>
      <c r="AV116" s="985"/>
      <c r="AW116" s="985"/>
      <c r="AX116" s="985"/>
      <c r="AY116" s="985"/>
      <c r="AZ116" s="985"/>
      <c r="BA116" s="985"/>
      <c r="BB116" s="985"/>
      <c r="BC116" s="985"/>
      <c r="BD116" s="985"/>
      <c r="BE116" s="985"/>
      <c r="BF116" s="985"/>
      <c r="BG116" s="985"/>
      <c r="BH116" s="985"/>
      <c r="BI116" s="985"/>
    </row>
    <row r="117" spans="1:61" s="984" customFormat="1" ht="13.5" thickBot="1">
      <c r="A117" s="156"/>
      <c r="B117" s="156"/>
      <c r="C117" s="156"/>
      <c r="D117" s="156"/>
      <c r="E117" s="1196"/>
      <c r="F117" s="156"/>
      <c r="G117" s="156"/>
      <c r="H117" s="156"/>
      <c r="I117" s="291" t="str">
        <f>B35</f>
        <v xml:space="preserve">  Program Supplies &amp; Materials</v>
      </c>
      <c r="J117" s="156"/>
      <c r="K117" s="156"/>
      <c r="L117" s="1151">
        <f>D35</f>
        <v>642.72053101483573</v>
      </c>
      <c r="M117" s="1364">
        <f>L117*L103</f>
        <v>12950.324299540467</v>
      </c>
      <c r="N117" s="156"/>
      <c r="O117" s="985"/>
      <c r="P117" s="985"/>
      <c r="Q117" s="985"/>
      <c r="R117" s="985"/>
      <c r="S117" s="985"/>
      <c r="T117" s="985"/>
      <c r="U117" s="985"/>
      <c r="V117" s="985"/>
      <c r="W117" s="985"/>
      <c r="X117" s="985"/>
      <c r="Y117" s="985"/>
      <c r="Z117" s="985"/>
      <c r="AA117" s="985"/>
      <c r="AB117" s="985"/>
      <c r="AC117" s="985"/>
      <c r="AD117" s="985"/>
      <c r="AE117" s="985"/>
      <c r="AF117" s="985"/>
      <c r="AG117" s="985"/>
      <c r="AH117" s="985"/>
      <c r="AI117" s="985"/>
      <c r="AJ117" s="985"/>
      <c r="AK117" s="985"/>
      <c r="AL117" s="985"/>
      <c r="AM117" s="985"/>
      <c r="AN117" s="985"/>
      <c r="AO117" s="985"/>
      <c r="AP117" s="985"/>
      <c r="AQ117" s="985"/>
      <c r="AR117" s="985"/>
      <c r="AS117" s="985"/>
      <c r="AT117" s="985"/>
      <c r="AU117" s="985"/>
      <c r="AV117" s="985"/>
      <c r="AW117" s="985"/>
      <c r="AX117" s="985"/>
      <c r="AY117" s="985"/>
      <c r="AZ117" s="985"/>
      <c r="BA117" s="985"/>
      <c r="BB117" s="985"/>
      <c r="BC117" s="985"/>
      <c r="BD117" s="985"/>
      <c r="BE117" s="985"/>
      <c r="BF117" s="985"/>
      <c r="BG117" s="985"/>
      <c r="BH117" s="985"/>
      <c r="BI117" s="985"/>
    </row>
    <row r="118" spans="1:61" s="984" customFormat="1" ht="13.5" thickTop="1">
      <c r="A118" s="156"/>
      <c r="B118" s="156"/>
      <c r="C118" s="156"/>
      <c r="D118" s="156"/>
      <c r="E118" s="1196"/>
      <c r="F118" s="156"/>
      <c r="G118" s="156"/>
      <c r="H118" s="156"/>
      <c r="I118" s="109"/>
      <c r="J118" s="156"/>
      <c r="K118" s="156"/>
      <c r="L118" s="1151"/>
      <c r="M118" s="885">
        <f>SUM(M113:M117)</f>
        <v>60484.17066978728</v>
      </c>
      <c r="N118" s="156"/>
      <c r="O118" s="985"/>
      <c r="P118" s="985"/>
      <c r="Q118" s="985"/>
      <c r="R118" s="985"/>
      <c r="S118" s="985"/>
      <c r="T118" s="985"/>
      <c r="U118" s="985"/>
      <c r="V118" s="985"/>
      <c r="W118" s="985"/>
      <c r="X118" s="985"/>
      <c r="Y118" s="985"/>
      <c r="Z118" s="985"/>
      <c r="AA118" s="985"/>
      <c r="AB118" s="985"/>
      <c r="AC118" s="985"/>
      <c r="AD118" s="985"/>
      <c r="AE118" s="985"/>
      <c r="AF118" s="985"/>
      <c r="AG118" s="985"/>
      <c r="AH118" s="985"/>
      <c r="AI118" s="985"/>
      <c r="AJ118" s="985"/>
      <c r="AK118" s="985"/>
      <c r="AL118" s="985"/>
      <c r="AM118" s="985"/>
      <c r="AN118" s="985"/>
      <c r="AO118" s="985"/>
      <c r="AP118" s="985"/>
      <c r="AQ118" s="985"/>
      <c r="AR118" s="985"/>
      <c r="AS118" s="985"/>
      <c r="AT118" s="985"/>
      <c r="AU118" s="985"/>
      <c r="AV118" s="985"/>
      <c r="AW118" s="985"/>
      <c r="AX118" s="985"/>
      <c r="AY118" s="985"/>
      <c r="AZ118" s="985"/>
      <c r="BA118" s="985"/>
      <c r="BB118" s="985"/>
      <c r="BC118" s="985"/>
      <c r="BD118" s="985"/>
      <c r="BE118" s="985"/>
      <c r="BF118" s="985"/>
      <c r="BG118" s="985"/>
      <c r="BH118" s="985"/>
      <c r="BI118" s="985"/>
    </row>
    <row r="119" spans="1:61" s="984" customFormat="1">
      <c r="A119" s="156"/>
      <c r="B119" s="156"/>
      <c r="C119" s="156"/>
      <c r="D119" s="156"/>
      <c r="E119" s="1196"/>
      <c r="F119" s="156"/>
      <c r="G119" s="156"/>
      <c r="H119" s="156"/>
      <c r="I119" s="1018" t="s">
        <v>23</v>
      </c>
      <c r="J119" s="1019"/>
      <c r="K119" s="1019"/>
      <c r="L119" s="1019"/>
      <c r="M119" s="1030">
        <f>SUM(M107,M112,M118)</f>
        <v>1054917.373204726</v>
      </c>
      <c r="N119" s="156"/>
      <c r="O119" s="985"/>
      <c r="P119" s="985"/>
      <c r="Q119" s="985"/>
      <c r="R119" s="985"/>
      <c r="S119" s="985"/>
      <c r="T119" s="985"/>
      <c r="U119" s="985"/>
      <c r="V119" s="985"/>
      <c r="W119" s="985"/>
      <c r="X119" s="985"/>
      <c r="Y119" s="985"/>
      <c r="Z119" s="985"/>
      <c r="AA119" s="985"/>
      <c r="AB119" s="985"/>
      <c r="AC119" s="985"/>
      <c r="AD119" s="985"/>
      <c r="AE119" s="985"/>
      <c r="AF119" s="985"/>
      <c r="AG119" s="985"/>
      <c r="AH119" s="985"/>
      <c r="AI119" s="985"/>
      <c r="AJ119" s="985"/>
      <c r="AK119" s="985"/>
      <c r="AL119" s="985"/>
      <c r="AM119" s="985"/>
      <c r="AN119" s="985"/>
      <c r="AO119" s="985"/>
      <c r="AP119" s="985"/>
      <c r="AQ119" s="985"/>
      <c r="AR119" s="985"/>
      <c r="AS119" s="985"/>
      <c r="AT119" s="985"/>
      <c r="AU119" s="985"/>
      <c r="AV119" s="985"/>
      <c r="AW119" s="985"/>
      <c r="AX119" s="985"/>
      <c r="AY119" s="985"/>
      <c r="AZ119" s="985"/>
      <c r="BA119" s="985"/>
      <c r="BB119" s="985"/>
      <c r="BC119" s="985"/>
      <c r="BD119" s="985"/>
      <c r="BE119" s="985"/>
      <c r="BF119" s="985"/>
      <c r="BG119" s="985"/>
      <c r="BH119" s="985"/>
      <c r="BI119" s="985"/>
    </row>
    <row r="120" spans="1:61" s="984" customFormat="1">
      <c r="A120" s="156"/>
      <c r="B120" s="156"/>
      <c r="C120" s="156"/>
      <c r="D120" s="156"/>
      <c r="E120" s="1196"/>
      <c r="F120" s="156"/>
      <c r="G120" s="156"/>
      <c r="H120" s="156"/>
      <c r="I120" s="109" t="s">
        <v>24</v>
      </c>
      <c r="J120" s="156"/>
      <c r="K120" s="1033">
        <f>D38</f>
        <v>0.12</v>
      </c>
      <c r="L120" s="156"/>
      <c r="M120" s="1017">
        <f>K120*M119</f>
        <v>126590.08478456712</v>
      </c>
      <c r="N120" s="156"/>
      <c r="O120" s="985"/>
      <c r="P120" s="985"/>
      <c r="Q120" s="985"/>
      <c r="R120" s="985"/>
      <c r="S120" s="985"/>
      <c r="T120" s="985"/>
      <c r="U120" s="985"/>
      <c r="V120" s="985"/>
      <c r="W120" s="985"/>
      <c r="X120" s="985"/>
      <c r="Y120" s="985"/>
      <c r="Z120" s="985"/>
      <c r="AA120" s="985"/>
      <c r="AB120" s="985"/>
      <c r="AC120" s="985"/>
      <c r="AD120" s="985"/>
      <c r="AE120" s="985"/>
      <c r="AF120" s="985"/>
      <c r="AG120" s="985"/>
      <c r="AH120" s="985"/>
      <c r="AI120" s="985"/>
      <c r="AJ120" s="985"/>
      <c r="AK120" s="985"/>
      <c r="AL120" s="985"/>
      <c r="AM120" s="985"/>
      <c r="AN120" s="985"/>
      <c r="AO120" s="985"/>
      <c r="AP120" s="985"/>
      <c r="AQ120" s="985"/>
      <c r="AR120" s="985"/>
      <c r="AS120" s="985"/>
      <c r="AT120" s="985"/>
      <c r="AU120" s="985"/>
      <c r="AV120" s="985"/>
      <c r="AW120" s="985"/>
      <c r="AX120" s="985"/>
      <c r="AY120" s="985"/>
      <c r="AZ120" s="985"/>
      <c r="BA120" s="985"/>
      <c r="BB120" s="985"/>
      <c r="BC120" s="985"/>
      <c r="BD120" s="985"/>
      <c r="BE120" s="985"/>
      <c r="BF120" s="985"/>
      <c r="BG120" s="985"/>
      <c r="BH120" s="985"/>
      <c r="BI120" s="985"/>
    </row>
    <row r="121" spans="1:61" s="984" customFormat="1" ht="13.5" thickBot="1">
      <c r="A121" s="156"/>
      <c r="B121" s="156"/>
      <c r="C121" s="156"/>
      <c r="D121" s="156"/>
      <c r="E121" s="1196"/>
      <c r="F121" s="156"/>
      <c r="G121" s="156"/>
      <c r="H121" s="156"/>
      <c r="I121" s="1042" t="s">
        <v>25</v>
      </c>
      <c r="J121" s="1328"/>
      <c r="K121" s="1328"/>
      <c r="L121" s="1328"/>
      <c r="M121" s="1044">
        <f>SUM(M119:M120)</f>
        <v>1181507.4579892932</v>
      </c>
      <c r="N121" s="156"/>
      <c r="O121" s="985"/>
      <c r="P121" s="985"/>
      <c r="Q121" s="985"/>
      <c r="R121" s="985"/>
      <c r="S121" s="985"/>
      <c r="T121" s="985"/>
      <c r="U121" s="985"/>
      <c r="V121" s="985"/>
      <c r="W121" s="985"/>
      <c r="X121" s="985"/>
      <c r="Y121" s="985"/>
      <c r="Z121" s="985"/>
      <c r="AA121" s="985"/>
      <c r="AB121" s="985"/>
      <c r="AC121" s="985"/>
      <c r="AD121" s="985"/>
      <c r="AE121" s="985"/>
      <c r="AF121" s="985"/>
      <c r="AG121" s="985"/>
      <c r="AH121" s="985"/>
      <c r="AI121" s="985"/>
      <c r="AJ121" s="985"/>
      <c r="AK121" s="985"/>
      <c r="AL121" s="985"/>
      <c r="AM121" s="985"/>
      <c r="AN121" s="985"/>
      <c r="AO121" s="985"/>
      <c r="AP121" s="985"/>
      <c r="AQ121" s="985"/>
      <c r="AR121" s="985"/>
      <c r="AS121" s="985"/>
      <c r="AT121" s="985"/>
      <c r="AU121" s="985"/>
      <c r="AV121" s="985"/>
      <c r="AW121" s="985"/>
      <c r="AX121" s="985"/>
      <c r="AY121" s="985"/>
      <c r="AZ121" s="985"/>
      <c r="BA121" s="985"/>
      <c r="BB121" s="985"/>
      <c r="BC121" s="985"/>
      <c r="BD121" s="985"/>
      <c r="BE121" s="985"/>
      <c r="BF121" s="985"/>
      <c r="BG121" s="985"/>
      <c r="BH121" s="985"/>
      <c r="BI121" s="985"/>
    </row>
    <row r="122" spans="1:61" s="984" customFormat="1" ht="14.25" thickTop="1" thickBot="1">
      <c r="A122" s="156"/>
      <c r="B122" s="156"/>
      <c r="C122" s="156"/>
      <c r="D122" s="156"/>
      <c r="E122" s="1196"/>
      <c r="F122" s="156"/>
      <c r="G122" s="156"/>
      <c r="H122" s="156"/>
      <c r="I122" s="109" t="s">
        <v>26</v>
      </c>
      <c r="J122" s="156"/>
      <c r="K122" s="1365">
        <f>D41</f>
        <v>1.78E-2</v>
      </c>
      <c r="L122" s="156"/>
      <c r="M122" s="1046">
        <f>M121+(M121*K122)-(M103*K122)</f>
        <v>1188188.7894683369</v>
      </c>
      <c r="N122" s="156"/>
      <c r="O122" s="985"/>
      <c r="P122" s="985"/>
      <c r="Q122" s="985"/>
      <c r="R122" s="985"/>
      <c r="S122" s="985"/>
      <c r="T122" s="985"/>
      <c r="U122" s="985"/>
      <c r="V122" s="985"/>
      <c r="W122" s="985"/>
      <c r="X122" s="985"/>
      <c r="Y122" s="985"/>
      <c r="Z122" s="985"/>
      <c r="AA122" s="985"/>
      <c r="AB122" s="985"/>
      <c r="AC122" s="985"/>
      <c r="AD122" s="985"/>
      <c r="AE122" s="985"/>
      <c r="AF122" s="985"/>
      <c r="AG122" s="985"/>
      <c r="AH122" s="985"/>
      <c r="AI122" s="985"/>
      <c r="AJ122" s="985"/>
      <c r="AK122" s="985"/>
      <c r="AL122" s="985"/>
      <c r="AM122" s="985"/>
      <c r="AN122" s="985"/>
      <c r="AO122" s="985"/>
      <c r="AP122" s="985"/>
      <c r="AQ122" s="985"/>
      <c r="AR122" s="985"/>
      <c r="AS122" s="985"/>
      <c r="AT122" s="985"/>
      <c r="AU122" s="985"/>
      <c r="AV122" s="985"/>
      <c r="AW122" s="985"/>
      <c r="AX122" s="985"/>
      <c r="AY122" s="985"/>
      <c r="AZ122" s="985"/>
      <c r="BA122" s="985"/>
      <c r="BB122" s="985"/>
      <c r="BC122" s="985"/>
      <c r="BD122" s="985"/>
      <c r="BE122" s="985"/>
      <c r="BF122" s="985"/>
      <c r="BG122" s="985"/>
      <c r="BH122" s="985"/>
      <c r="BI122" s="985"/>
    </row>
    <row r="123" spans="1:61" s="984" customFormat="1" ht="13.5" thickBot="1">
      <c r="A123" s="156"/>
      <c r="B123" s="156"/>
      <c r="C123" s="156"/>
      <c r="D123" s="156"/>
      <c r="E123" s="1196"/>
      <c r="F123" s="156"/>
      <c r="G123" s="156"/>
      <c r="H123" s="156"/>
      <c r="I123" s="1329" t="s">
        <v>794</v>
      </c>
      <c r="J123" s="1330"/>
      <c r="K123" s="1330"/>
      <c r="L123" s="1330"/>
      <c r="M123" s="1366">
        <f>M122/M90</f>
        <v>295.93743199709513</v>
      </c>
      <c r="N123" s="156"/>
      <c r="O123" s="985"/>
      <c r="P123" s="985"/>
      <c r="Q123" s="985"/>
      <c r="R123" s="985"/>
      <c r="S123" s="985"/>
      <c r="T123" s="985"/>
      <c r="U123" s="985"/>
      <c r="V123" s="985"/>
      <c r="W123" s="985"/>
      <c r="X123" s="985"/>
      <c r="Y123" s="985"/>
      <c r="Z123" s="985"/>
      <c r="AA123" s="985"/>
      <c r="AB123" s="985"/>
      <c r="AC123" s="985"/>
      <c r="AD123" s="985"/>
      <c r="AE123" s="985"/>
      <c r="AF123" s="985"/>
      <c r="AG123" s="985"/>
      <c r="AH123" s="985"/>
      <c r="AI123" s="985"/>
      <c r="AJ123" s="985"/>
      <c r="AK123" s="985"/>
      <c r="AL123" s="985"/>
      <c r="AM123" s="985"/>
      <c r="AN123" s="985"/>
      <c r="AO123" s="985"/>
      <c r="AP123" s="985"/>
      <c r="AQ123" s="985"/>
      <c r="AR123" s="985"/>
      <c r="AS123" s="985"/>
      <c r="AT123" s="985"/>
      <c r="AU123" s="985"/>
      <c r="AV123" s="985"/>
      <c r="AW123" s="985"/>
      <c r="AX123" s="985"/>
      <c r="AY123" s="985"/>
      <c r="AZ123" s="985"/>
      <c r="BA123" s="985"/>
      <c r="BB123" s="985"/>
      <c r="BC123" s="985"/>
      <c r="BD123" s="985"/>
      <c r="BE123" s="985"/>
      <c r="BF123" s="985"/>
      <c r="BG123" s="985"/>
      <c r="BH123" s="985"/>
      <c r="BI123" s="985"/>
    </row>
    <row r="124" spans="1:61" s="984" customFormat="1">
      <c r="A124" s="156"/>
      <c r="B124" s="156"/>
      <c r="C124" s="156"/>
      <c r="D124" s="156"/>
      <c r="E124" s="1196"/>
      <c r="F124" s="156"/>
      <c r="G124" s="156"/>
      <c r="H124" s="156"/>
      <c r="I124" s="156"/>
      <c r="J124" s="156"/>
      <c r="K124" s="156"/>
      <c r="L124" s="156" t="s">
        <v>783</v>
      </c>
      <c r="M124" s="1320">
        <v>290.61</v>
      </c>
      <c r="N124" s="156"/>
      <c r="O124" s="985"/>
      <c r="P124" s="985"/>
      <c r="Q124" s="985"/>
      <c r="R124" s="985"/>
      <c r="S124" s="985"/>
      <c r="T124" s="985"/>
      <c r="U124" s="985"/>
      <c r="V124" s="985"/>
      <c r="W124" s="985"/>
      <c r="X124" s="985"/>
      <c r="Y124" s="985"/>
      <c r="Z124" s="985"/>
      <c r="AA124" s="985"/>
      <c r="AB124" s="985"/>
      <c r="AC124" s="985"/>
      <c r="AD124" s="985"/>
      <c r="AE124" s="985"/>
      <c r="AF124" s="985"/>
      <c r="AG124" s="985"/>
      <c r="AH124" s="985"/>
      <c r="AI124" s="985"/>
      <c r="AJ124" s="985"/>
      <c r="AK124" s="985"/>
      <c r="AL124" s="985"/>
      <c r="AM124" s="985"/>
      <c r="AN124" s="985"/>
      <c r="AO124" s="985"/>
      <c r="AP124" s="985"/>
      <c r="AQ124" s="985"/>
      <c r="AR124" s="985"/>
      <c r="AS124" s="985"/>
      <c r="AT124" s="985"/>
      <c r="AU124" s="985"/>
      <c r="AV124" s="985"/>
      <c r="AW124" s="985"/>
      <c r="AX124" s="985"/>
      <c r="AY124" s="985"/>
      <c r="AZ124" s="985"/>
      <c r="BA124" s="985"/>
      <c r="BB124" s="985"/>
      <c r="BC124" s="985"/>
      <c r="BD124" s="985"/>
      <c r="BE124" s="985"/>
      <c r="BF124" s="985"/>
      <c r="BG124" s="985"/>
      <c r="BH124" s="985"/>
      <c r="BI124" s="985"/>
    </row>
    <row r="125" spans="1:61" s="985" customFormat="1">
      <c r="A125" s="156"/>
      <c r="B125" s="156"/>
      <c r="C125" s="156"/>
      <c r="D125" s="156"/>
      <c r="E125" s="1196"/>
      <c r="F125" s="156"/>
      <c r="G125" s="156"/>
      <c r="H125" s="156"/>
      <c r="I125" s="156"/>
      <c r="J125" s="156"/>
      <c r="K125" s="156"/>
      <c r="L125" s="156"/>
      <c r="M125" s="884">
        <f>M123-M124</f>
        <v>5.3274319970951183</v>
      </c>
      <c r="N125" s="156"/>
    </row>
    <row r="126" spans="1:61" s="985" customFormat="1">
      <c r="A126" s="156"/>
      <c r="B126" s="156"/>
      <c r="C126" s="156"/>
      <c r="D126" s="156"/>
      <c r="E126" s="1196"/>
      <c r="F126" s="156"/>
      <c r="G126" s="156"/>
      <c r="H126" s="156"/>
      <c r="I126" s="156"/>
      <c r="J126" s="156"/>
      <c r="K126" s="156"/>
      <c r="L126" s="156"/>
      <c r="M126" s="1321">
        <f>(M123-M124)/M124</f>
        <v>1.8331894969530017E-2</v>
      </c>
      <c r="N126" s="156"/>
    </row>
    <row r="127" spans="1:61" s="985" customFormat="1">
      <c r="A127" s="156"/>
      <c r="B127" s="156"/>
      <c r="C127" s="156"/>
      <c r="D127" s="156"/>
      <c r="E127" s="1196"/>
      <c r="F127" s="156"/>
      <c r="G127" s="156"/>
      <c r="H127" s="156"/>
      <c r="I127" s="156"/>
      <c r="J127" s="156"/>
      <c r="K127" s="156"/>
      <c r="L127" s="156"/>
      <c r="M127" s="156"/>
      <c r="N127" s="156"/>
    </row>
    <row r="128" spans="1:61" s="985" customFormat="1">
      <c r="A128" s="156"/>
      <c r="B128" s="156"/>
      <c r="C128" s="156"/>
      <c r="D128" s="156"/>
      <c r="E128" s="1196"/>
      <c r="F128" s="156"/>
      <c r="G128" s="156"/>
      <c r="H128" s="156"/>
      <c r="I128" s="156"/>
      <c r="J128" s="156"/>
      <c r="K128" s="156"/>
      <c r="L128" s="156"/>
      <c r="M128" s="156"/>
      <c r="N128" s="156"/>
    </row>
    <row r="129" spans="1:14" s="985" customFormat="1">
      <c r="A129" s="156"/>
      <c r="B129" s="156"/>
      <c r="C129" s="156"/>
      <c r="D129" s="156"/>
      <c r="E129" s="1196"/>
      <c r="F129" s="156"/>
      <c r="G129" s="156"/>
      <c r="H129" s="156"/>
      <c r="I129" s="156"/>
      <c r="J129" s="156"/>
      <c r="K129" s="156"/>
      <c r="L129" s="156"/>
      <c r="M129" s="156"/>
      <c r="N129" s="156"/>
    </row>
    <row r="130" spans="1:14" s="985" customFormat="1">
      <c r="A130" s="156"/>
      <c r="B130" s="156"/>
      <c r="C130" s="156"/>
      <c r="D130" s="156"/>
      <c r="E130" s="1196"/>
      <c r="F130" s="156"/>
      <c r="G130" s="156"/>
      <c r="H130" s="156"/>
      <c r="I130" s="156"/>
      <c r="J130" s="156"/>
      <c r="K130" s="156"/>
      <c r="L130" s="156"/>
      <c r="M130" s="156"/>
      <c r="N130" s="156"/>
    </row>
    <row r="131" spans="1:14" s="985" customFormat="1">
      <c r="A131" s="156"/>
      <c r="B131" s="156"/>
      <c r="C131" s="156"/>
      <c r="D131" s="156"/>
      <c r="E131" s="1196"/>
      <c r="F131" s="156"/>
      <c r="G131" s="156"/>
      <c r="H131" s="156"/>
      <c r="I131" s="156"/>
      <c r="J131" s="156"/>
      <c r="K131" s="156"/>
      <c r="L131" s="156"/>
      <c r="M131" s="156"/>
      <c r="N131" s="156"/>
    </row>
    <row r="132" spans="1:14" s="985" customFormat="1">
      <c r="A132" s="156"/>
      <c r="B132" s="156"/>
      <c r="C132" s="156"/>
      <c r="D132" s="156"/>
      <c r="E132" s="1196"/>
      <c r="F132" s="156"/>
      <c r="G132" s="156"/>
      <c r="H132" s="156"/>
      <c r="I132" s="156"/>
      <c r="J132" s="156"/>
      <c r="K132" s="156"/>
      <c r="L132" s="156"/>
      <c r="M132" s="156"/>
      <c r="N132" s="156"/>
    </row>
    <row r="133" spans="1:14" s="985" customFormat="1">
      <c r="A133" s="156"/>
      <c r="B133" s="156"/>
      <c r="C133" s="156"/>
      <c r="D133" s="156"/>
      <c r="E133" s="1196"/>
      <c r="F133" s="156"/>
      <c r="G133" s="156"/>
      <c r="H133" s="156"/>
      <c r="I133" s="156"/>
      <c r="J133" s="156"/>
      <c r="K133" s="156"/>
      <c r="L133" s="156"/>
      <c r="M133" s="156"/>
      <c r="N133" s="156"/>
    </row>
    <row r="134" spans="1:14" s="985" customFormat="1">
      <c r="A134" s="156"/>
      <c r="B134" s="156"/>
      <c r="C134" s="156"/>
      <c r="D134" s="156"/>
      <c r="E134" s="1196"/>
      <c r="F134" s="156"/>
      <c r="G134" s="156"/>
      <c r="H134" s="156"/>
      <c r="I134" s="156"/>
      <c r="J134" s="156"/>
      <c r="K134" s="156"/>
      <c r="L134" s="156"/>
      <c r="M134" s="156"/>
      <c r="N134" s="156"/>
    </row>
    <row r="135" spans="1:14" s="985" customFormat="1">
      <c r="A135" s="156"/>
      <c r="B135" s="156"/>
      <c r="C135" s="156"/>
      <c r="D135" s="156"/>
      <c r="E135" s="1196"/>
      <c r="F135" s="156"/>
      <c r="G135" s="156"/>
      <c r="H135" s="156"/>
      <c r="I135" s="156"/>
      <c r="J135" s="156"/>
      <c r="K135" s="156"/>
      <c r="L135" s="156"/>
      <c r="M135" s="156"/>
      <c r="N135" s="156"/>
    </row>
    <row r="136" spans="1:14" s="985" customFormat="1">
      <c r="A136" s="156"/>
      <c r="B136" s="156"/>
      <c r="C136" s="156"/>
      <c r="D136" s="156"/>
      <c r="E136" s="1196"/>
      <c r="F136" s="156"/>
      <c r="G136" s="156"/>
      <c r="H136" s="156"/>
      <c r="I136" s="156"/>
      <c r="J136" s="156"/>
      <c r="K136" s="156"/>
      <c r="L136" s="156"/>
      <c r="M136" s="156"/>
      <c r="N136" s="156"/>
    </row>
    <row r="137" spans="1:14" s="985" customFormat="1">
      <c r="A137" s="156"/>
      <c r="B137" s="156"/>
      <c r="C137" s="156"/>
      <c r="D137" s="156"/>
      <c r="E137" s="1196"/>
      <c r="F137" s="156"/>
      <c r="G137" s="156"/>
      <c r="H137" s="156"/>
      <c r="I137" s="156"/>
      <c r="J137" s="156"/>
      <c r="K137" s="156"/>
      <c r="L137" s="156"/>
      <c r="M137" s="156"/>
      <c r="N137" s="156"/>
    </row>
    <row r="138" spans="1:14" s="985" customFormat="1">
      <c r="A138" s="156"/>
      <c r="B138" s="156"/>
      <c r="C138" s="156"/>
      <c r="D138" s="156"/>
      <c r="E138" s="1196"/>
      <c r="F138" s="156"/>
      <c r="G138" s="156"/>
      <c r="H138" s="156"/>
      <c r="I138" s="156"/>
      <c r="J138" s="156"/>
      <c r="K138" s="156"/>
      <c r="L138" s="156"/>
      <c r="M138" s="156"/>
      <c r="N138" s="156"/>
    </row>
    <row r="139" spans="1:14" s="985" customFormat="1">
      <c r="A139" s="156"/>
      <c r="B139" s="156"/>
      <c r="C139" s="156"/>
      <c r="D139" s="156"/>
      <c r="E139" s="1196"/>
      <c r="F139" s="156"/>
      <c r="G139" s="156"/>
      <c r="H139" s="156"/>
      <c r="I139" s="156"/>
      <c r="J139" s="156"/>
      <c r="K139" s="156"/>
      <c r="L139" s="156"/>
      <c r="M139" s="156"/>
      <c r="N139" s="156"/>
    </row>
    <row r="140" spans="1:14" s="985" customFormat="1">
      <c r="A140" s="156"/>
      <c r="B140" s="156"/>
      <c r="C140" s="156"/>
      <c r="D140" s="156"/>
      <c r="E140" s="1196"/>
      <c r="F140" s="156"/>
      <c r="G140" s="156"/>
      <c r="H140" s="156"/>
      <c r="I140" s="156"/>
      <c r="J140" s="156"/>
      <c r="K140" s="156"/>
      <c r="L140" s="156"/>
      <c r="M140" s="156"/>
      <c r="N140" s="156"/>
    </row>
    <row r="141" spans="1:14" s="985" customFormat="1">
      <c r="A141" s="156"/>
      <c r="B141" s="156"/>
      <c r="C141" s="156"/>
      <c r="D141" s="156"/>
      <c r="E141" s="1196"/>
      <c r="F141" s="156"/>
      <c r="G141" s="156"/>
      <c r="H141" s="156"/>
      <c r="I141" s="156"/>
      <c r="J141" s="156"/>
      <c r="K141" s="156"/>
      <c r="L141" s="156"/>
      <c r="M141" s="156"/>
    </row>
    <row r="142" spans="1:14" s="985" customFormat="1">
      <c r="A142" s="156"/>
      <c r="B142" s="156"/>
      <c r="C142" s="156"/>
      <c r="D142" s="156"/>
      <c r="E142" s="1196"/>
      <c r="F142" s="156"/>
      <c r="G142" s="156"/>
      <c r="H142" s="156"/>
      <c r="I142" s="156"/>
      <c r="J142" s="156"/>
      <c r="K142" s="156"/>
      <c r="L142" s="156"/>
      <c r="M142" s="156"/>
    </row>
    <row r="143" spans="1:14" s="985" customFormat="1">
      <c r="A143" s="156"/>
      <c r="B143" s="156"/>
      <c r="C143" s="156"/>
      <c r="D143" s="156"/>
      <c r="E143" s="1196"/>
      <c r="F143" s="156"/>
      <c r="G143" s="156"/>
      <c r="H143" s="156"/>
      <c r="I143" s="156"/>
      <c r="J143" s="156"/>
      <c r="K143" s="156"/>
      <c r="L143" s="156"/>
      <c r="M143" s="156"/>
    </row>
    <row r="144" spans="1:14" s="985" customFormat="1">
      <c r="A144" s="156"/>
      <c r="B144" s="156"/>
      <c r="C144" s="156"/>
      <c r="D144" s="156"/>
      <c r="E144" s="1196"/>
      <c r="F144" s="156"/>
      <c r="G144" s="156"/>
      <c r="H144" s="156"/>
      <c r="I144" s="156"/>
      <c r="J144" s="156"/>
      <c r="K144" s="156"/>
      <c r="L144" s="156"/>
      <c r="M144" s="156"/>
    </row>
    <row r="145" spans="1:13" s="985" customFormat="1">
      <c r="A145" s="156"/>
      <c r="B145" s="156"/>
      <c r="C145" s="156"/>
      <c r="D145" s="156"/>
      <c r="E145" s="1196"/>
      <c r="F145" s="156"/>
      <c r="G145" s="156"/>
      <c r="H145" s="156"/>
      <c r="I145" s="156"/>
      <c r="J145" s="156"/>
      <c r="K145" s="156"/>
      <c r="L145" s="156"/>
      <c r="M145" s="156"/>
    </row>
    <row r="146" spans="1:13" s="985" customFormat="1">
      <c r="A146" s="156"/>
      <c r="B146" s="156"/>
      <c r="C146" s="156"/>
      <c r="D146" s="156"/>
      <c r="E146" s="1196"/>
      <c r="F146" s="156"/>
      <c r="G146" s="156"/>
      <c r="H146" s="156"/>
      <c r="I146" s="156"/>
      <c r="J146" s="156"/>
      <c r="K146" s="156"/>
      <c r="L146" s="156"/>
      <c r="M146" s="156"/>
    </row>
    <row r="147" spans="1:13" s="985" customFormat="1">
      <c r="A147" s="156"/>
      <c r="B147" s="156"/>
      <c r="C147" s="156"/>
      <c r="D147" s="156"/>
      <c r="E147" s="1196"/>
      <c r="F147" s="156"/>
      <c r="G147" s="156"/>
      <c r="H147" s="156"/>
      <c r="I147" s="156"/>
      <c r="J147" s="156"/>
      <c r="K147" s="156"/>
      <c r="L147" s="156"/>
      <c r="M147" s="156"/>
    </row>
    <row r="148" spans="1:13" s="985" customFormat="1">
      <c r="A148" s="156"/>
      <c r="B148" s="156"/>
      <c r="C148" s="156"/>
      <c r="D148" s="156"/>
      <c r="E148" s="1196"/>
      <c r="F148" s="156"/>
      <c r="G148" s="156"/>
      <c r="H148" s="156"/>
      <c r="I148" s="156"/>
      <c r="J148" s="156"/>
      <c r="K148" s="156"/>
      <c r="L148" s="156"/>
      <c r="M148" s="156"/>
    </row>
    <row r="149" spans="1:13" s="985" customFormat="1">
      <c r="A149" s="156"/>
      <c r="B149" s="156"/>
      <c r="C149" s="156"/>
      <c r="D149" s="156"/>
      <c r="E149" s="1196"/>
      <c r="F149" s="156"/>
      <c r="G149" s="156"/>
      <c r="H149" s="156"/>
      <c r="I149" s="156"/>
      <c r="J149" s="156"/>
      <c r="K149" s="156"/>
      <c r="L149" s="156"/>
      <c r="M149" s="156"/>
    </row>
    <row r="150" spans="1:13" s="985" customFormat="1">
      <c r="A150" s="156"/>
      <c r="B150" s="156"/>
      <c r="C150" s="156"/>
      <c r="D150" s="156"/>
      <c r="E150" s="1196"/>
      <c r="F150" s="156"/>
      <c r="G150" s="156"/>
      <c r="H150" s="156"/>
      <c r="I150" s="156"/>
      <c r="J150" s="156"/>
      <c r="K150" s="156"/>
      <c r="L150" s="156"/>
      <c r="M150" s="156"/>
    </row>
    <row r="151" spans="1:13" s="985" customFormat="1">
      <c r="A151" s="156"/>
      <c r="B151" s="156"/>
      <c r="C151" s="156"/>
      <c r="D151" s="156"/>
      <c r="E151" s="1196"/>
      <c r="F151" s="156"/>
      <c r="G151" s="156"/>
      <c r="H151" s="156"/>
      <c r="I151" s="156"/>
      <c r="J151" s="156"/>
      <c r="K151" s="156"/>
      <c r="L151" s="156"/>
      <c r="M151" s="156"/>
    </row>
    <row r="152" spans="1:13" s="985" customFormat="1">
      <c r="A152" s="156"/>
      <c r="B152" s="156"/>
      <c r="C152" s="156"/>
      <c r="D152" s="156"/>
      <c r="E152" s="1196"/>
      <c r="F152" s="156"/>
      <c r="G152" s="156"/>
      <c r="H152" s="156"/>
      <c r="I152" s="156"/>
      <c r="J152" s="156"/>
      <c r="K152" s="156"/>
      <c r="L152" s="156"/>
      <c r="M152" s="156"/>
    </row>
    <row r="153" spans="1:13" s="985" customFormat="1">
      <c r="A153" s="156"/>
      <c r="B153" s="156"/>
      <c r="C153" s="156"/>
      <c r="D153" s="156"/>
      <c r="E153" s="1196"/>
      <c r="F153" s="156"/>
      <c r="G153" s="156"/>
      <c r="H153" s="156"/>
      <c r="I153" s="156"/>
      <c r="J153" s="156"/>
      <c r="K153" s="156"/>
      <c r="L153" s="156"/>
      <c r="M153" s="156"/>
    </row>
    <row r="154" spans="1:13" s="985" customFormat="1">
      <c r="A154" s="156"/>
      <c r="B154" s="156"/>
      <c r="C154" s="156"/>
      <c r="D154" s="156"/>
      <c r="E154" s="1196"/>
      <c r="F154" s="156"/>
      <c r="G154" s="156"/>
      <c r="H154" s="156"/>
    </row>
    <row r="155" spans="1:13" s="985" customFormat="1">
      <c r="A155" s="156"/>
      <c r="B155" s="156"/>
      <c r="C155" s="156"/>
      <c r="D155" s="156"/>
      <c r="E155" s="1196"/>
      <c r="F155" s="156"/>
      <c r="G155" s="156"/>
      <c r="H155" s="156"/>
    </row>
    <row r="156" spans="1:13" s="985" customFormat="1">
      <c r="A156" s="156"/>
      <c r="B156" s="156"/>
      <c r="C156" s="156"/>
      <c r="D156" s="156"/>
      <c r="E156" s="1196"/>
      <c r="F156" s="156"/>
      <c r="G156" s="156"/>
      <c r="H156" s="156"/>
    </row>
    <row r="157" spans="1:13" s="985" customFormat="1">
      <c r="A157" s="156"/>
      <c r="B157" s="156"/>
      <c r="C157" s="156"/>
      <c r="D157" s="156"/>
      <c r="E157" s="1196"/>
      <c r="F157" s="156"/>
      <c r="G157" s="156"/>
      <c r="H157" s="156"/>
    </row>
    <row r="158" spans="1:13" s="985" customFormat="1">
      <c r="A158" s="156"/>
      <c r="B158" s="156"/>
      <c r="C158" s="156"/>
      <c r="D158" s="156"/>
      <c r="E158" s="1196"/>
      <c r="F158" s="156"/>
      <c r="G158" s="156"/>
      <c r="H158" s="156"/>
    </row>
    <row r="159" spans="1:13" s="985" customFormat="1">
      <c r="A159" s="156"/>
      <c r="B159" s="156"/>
      <c r="C159" s="156"/>
      <c r="D159" s="156"/>
      <c r="E159" s="1196"/>
      <c r="F159" s="156"/>
      <c r="G159" s="156"/>
      <c r="H159" s="156"/>
    </row>
    <row r="160" spans="1:13" s="985" customFormat="1">
      <c r="A160" s="156"/>
      <c r="B160" s="156"/>
      <c r="C160" s="156"/>
      <c r="D160" s="156"/>
      <c r="E160" s="1196"/>
      <c r="F160" s="156"/>
      <c r="G160" s="156"/>
      <c r="H160" s="156"/>
    </row>
    <row r="161" spans="1:8" s="985" customFormat="1">
      <c r="A161" s="156"/>
      <c r="B161" s="156"/>
      <c r="C161" s="156"/>
      <c r="D161" s="156"/>
      <c r="E161" s="1196"/>
      <c r="F161" s="156"/>
      <c r="G161" s="156"/>
      <c r="H161" s="156"/>
    </row>
    <row r="162" spans="1:8" s="985" customFormat="1">
      <c r="A162" s="156"/>
      <c r="B162" s="156"/>
      <c r="C162" s="156"/>
      <c r="D162" s="156"/>
      <c r="E162" s="1196"/>
      <c r="F162" s="156"/>
      <c r="G162" s="156"/>
      <c r="H162" s="156"/>
    </row>
    <row r="163" spans="1:8" s="985" customFormat="1">
      <c r="A163" s="156"/>
      <c r="B163" s="156"/>
      <c r="C163" s="156"/>
      <c r="D163" s="156"/>
      <c r="E163" s="1196"/>
      <c r="F163" s="156"/>
      <c r="G163" s="156"/>
      <c r="H163" s="156"/>
    </row>
    <row r="164" spans="1:8" s="985" customFormat="1">
      <c r="A164" s="156"/>
      <c r="B164" s="156"/>
      <c r="C164" s="156"/>
      <c r="D164" s="156"/>
      <c r="E164" s="1196"/>
      <c r="F164" s="156"/>
      <c r="G164" s="156"/>
      <c r="H164" s="156"/>
    </row>
    <row r="165" spans="1:8" s="985" customFormat="1">
      <c r="A165" s="156"/>
      <c r="B165" s="156"/>
      <c r="C165" s="156"/>
      <c r="D165" s="156"/>
      <c r="E165" s="1196"/>
      <c r="F165" s="156"/>
      <c r="G165" s="156"/>
      <c r="H165" s="156"/>
    </row>
    <row r="166" spans="1:8" s="985" customFormat="1">
      <c r="A166" s="156"/>
      <c r="B166" s="156"/>
      <c r="C166" s="156"/>
      <c r="D166" s="156"/>
      <c r="E166" s="1196"/>
      <c r="F166" s="156"/>
      <c r="G166" s="156"/>
      <c r="H166" s="156"/>
    </row>
    <row r="167" spans="1:8" s="985" customFormat="1">
      <c r="A167" s="156"/>
      <c r="B167" s="156"/>
      <c r="C167" s="156"/>
      <c r="D167" s="156"/>
      <c r="E167" s="1196"/>
      <c r="F167" s="156"/>
      <c r="G167" s="156"/>
      <c r="H167" s="156"/>
    </row>
    <row r="168" spans="1:8" s="985" customFormat="1">
      <c r="A168" s="156"/>
      <c r="B168" s="156"/>
      <c r="C168" s="156"/>
      <c r="D168" s="156"/>
      <c r="E168" s="1196"/>
      <c r="F168" s="156"/>
      <c r="G168" s="156"/>
      <c r="H168" s="156"/>
    </row>
    <row r="169" spans="1:8" s="985" customFormat="1">
      <c r="A169" s="156"/>
      <c r="B169" s="156"/>
      <c r="C169" s="156"/>
      <c r="D169" s="156"/>
      <c r="E169" s="1196"/>
      <c r="F169" s="156"/>
      <c r="G169" s="156"/>
      <c r="H169" s="156"/>
    </row>
    <row r="170" spans="1:8" s="985" customFormat="1">
      <c r="A170" s="156"/>
      <c r="B170" s="156"/>
      <c r="C170" s="156"/>
      <c r="D170" s="156"/>
      <c r="E170" s="1196"/>
      <c r="F170" s="156"/>
      <c r="G170" s="156"/>
      <c r="H170" s="156"/>
    </row>
    <row r="171" spans="1:8" s="985" customFormat="1">
      <c r="A171" s="156"/>
      <c r="B171" s="156"/>
      <c r="C171" s="156"/>
      <c r="D171" s="156"/>
      <c r="E171" s="1196"/>
      <c r="F171" s="156"/>
      <c r="G171" s="156"/>
      <c r="H171" s="156"/>
    </row>
    <row r="172" spans="1:8" s="985" customFormat="1">
      <c r="A172" s="156"/>
      <c r="B172" s="156"/>
      <c r="C172" s="156"/>
      <c r="D172" s="156"/>
      <c r="E172" s="1196"/>
      <c r="F172" s="156"/>
      <c r="G172" s="156"/>
      <c r="H172" s="156"/>
    </row>
    <row r="173" spans="1:8" s="985" customFormat="1">
      <c r="A173" s="156"/>
      <c r="B173" s="156"/>
      <c r="C173" s="156"/>
      <c r="D173" s="156"/>
      <c r="E173" s="1196"/>
      <c r="F173" s="156"/>
      <c r="G173" s="156"/>
      <c r="H173" s="156"/>
    </row>
    <row r="174" spans="1:8" s="985" customFormat="1">
      <c r="A174" s="156"/>
      <c r="B174" s="156"/>
      <c r="C174" s="156"/>
      <c r="D174" s="156"/>
      <c r="E174" s="1196"/>
      <c r="F174" s="156"/>
      <c r="G174" s="156"/>
      <c r="H174" s="156"/>
    </row>
    <row r="175" spans="1:8" s="985" customFormat="1">
      <c r="B175" s="156"/>
      <c r="C175" s="156"/>
      <c r="D175" s="156"/>
      <c r="E175" s="1196"/>
      <c r="F175" s="156"/>
      <c r="G175" s="156"/>
    </row>
    <row r="176" spans="1:8" s="985" customFormat="1">
      <c r="B176" s="156"/>
      <c r="C176" s="156"/>
      <c r="D176" s="156"/>
      <c r="E176" s="1196"/>
      <c r="F176" s="156"/>
      <c r="G176" s="156"/>
    </row>
    <row r="177" spans="2:7" s="985" customFormat="1">
      <c r="B177" s="156"/>
      <c r="C177" s="156"/>
      <c r="D177" s="156"/>
      <c r="E177" s="1196"/>
      <c r="F177" s="156"/>
      <c r="G177" s="156"/>
    </row>
    <row r="178" spans="2:7" s="985" customFormat="1">
      <c r="E178" s="933"/>
    </row>
    <row r="179" spans="2:7" s="985" customFormat="1">
      <c r="E179" s="933"/>
    </row>
    <row r="180" spans="2:7" s="985" customFormat="1">
      <c r="E180" s="933"/>
    </row>
    <row r="181" spans="2:7" s="985" customFormat="1">
      <c r="E181" s="933"/>
    </row>
    <row r="182" spans="2:7" s="985" customFormat="1">
      <c r="E182" s="933"/>
    </row>
    <row r="183" spans="2:7" s="985" customFormat="1">
      <c r="E183" s="933"/>
    </row>
    <row r="184" spans="2:7" s="985" customFormat="1">
      <c r="E184" s="933"/>
    </row>
    <row r="185" spans="2:7" s="985" customFormat="1">
      <c r="E185" s="933"/>
    </row>
    <row r="186" spans="2:7" s="985" customFormat="1">
      <c r="E186" s="933"/>
    </row>
    <row r="187" spans="2:7" s="985" customFormat="1">
      <c r="E187" s="933"/>
    </row>
    <row r="188" spans="2:7" s="985" customFormat="1">
      <c r="E188" s="933"/>
    </row>
    <row r="189" spans="2:7" s="985" customFormat="1">
      <c r="E189" s="933"/>
    </row>
    <row r="190" spans="2:7" s="985" customFormat="1">
      <c r="E190" s="933"/>
    </row>
    <row r="191" spans="2:7" s="985" customFormat="1">
      <c r="E191" s="933"/>
    </row>
    <row r="192" spans="2:7" s="985" customFormat="1">
      <c r="E192" s="933"/>
    </row>
    <row r="193" spans="5:5" s="985" customFormat="1">
      <c r="E193" s="933"/>
    </row>
    <row r="194" spans="5:5" s="985" customFormat="1">
      <c r="E194" s="933"/>
    </row>
    <row r="195" spans="5:5" s="985" customFormat="1">
      <c r="E195" s="933"/>
    </row>
    <row r="196" spans="5:5" s="985" customFormat="1">
      <c r="E196" s="933"/>
    </row>
    <row r="197" spans="5:5" s="985" customFormat="1">
      <c r="E197" s="933"/>
    </row>
    <row r="198" spans="5:5" s="985" customFormat="1">
      <c r="E198" s="933"/>
    </row>
    <row r="199" spans="5:5" s="985" customFormat="1">
      <c r="E199" s="933"/>
    </row>
    <row r="200" spans="5:5" s="985" customFormat="1">
      <c r="E200" s="933"/>
    </row>
    <row r="201" spans="5:5" s="985" customFormat="1">
      <c r="E201" s="933"/>
    </row>
    <row r="202" spans="5:5" s="985" customFormat="1">
      <c r="E202" s="933"/>
    </row>
    <row r="203" spans="5:5" s="985" customFormat="1">
      <c r="E203" s="933"/>
    </row>
    <row r="204" spans="5:5" s="985" customFormat="1">
      <c r="E204" s="933"/>
    </row>
    <row r="205" spans="5:5" s="985" customFormat="1">
      <c r="E205" s="933"/>
    </row>
    <row r="206" spans="5:5" s="985" customFormat="1">
      <c r="E206" s="933"/>
    </row>
    <row r="207" spans="5:5" s="985" customFormat="1">
      <c r="E207" s="933"/>
    </row>
    <row r="208" spans="5:5" s="985" customFormat="1">
      <c r="E208" s="933"/>
    </row>
    <row r="209" spans="5:5" s="985" customFormat="1">
      <c r="E209" s="933"/>
    </row>
    <row r="210" spans="5:5" s="985" customFormat="1">
      <c r="E210" s="933"/>
    </row>
    <row r="211" spans="5:5" s="985" customFormat="1">
      <c r="E211" s="933"/>
    </row>
    <row r="212" spans="5:5" s="985" customFormat="1">
      <c r="E212" s="933"/>
    </row>
    <row r="213" spans="5:5" s="985" customFormat="1">
      <c r="E213" s="933"/>
    </row>
    <row r="214" spans="5:5" s="985" customFormat="1">
      <c r="E214" s="933"/>
    </row>
    <row r="215" spans="5:5" s="985" customFormat="1">
      <c r="E215" s="933"/>
    </row>
    <row r="216" spans="5:5" s="985" customFormat="1">
      <c r="E216" s="933"/>
    </row>
    <row r="217" spans="5:5" s="985" customFormat="1">
      <c r="E217" s="933"/>
    </row>
    <row r="218" spans="5:5" s="985" customFormat="1">
      <c r="E218" s="933"/>
    </row>
    <row r="219" spans="5:5" s="985" customFormat="1">
      <c r="E219" s="933"/>
    </row>
    <row r="220" spans="5:5" s="985" customFormat="1">
      <c r="E220" s="933"/>
    </row>
    <row r="221" spans="5:5" s="985" customFormat="1">
      <c r="E221" s="933"/>
    </row>
    <row r="222" spans="5:5" s="985" customFormat="1">
      <c r="E222" s="933"/>
    </row>
    <row r="223" spans="5:5" s="985" customFormat="1">
      <c r="E223" s="933"/>
    </row>
    <row r="224" spans="5:5" s="985" customFormat="1">
      <c r="E224" s="933"/>
    </row>
    <row r="225" spans="5:5" s="985" customFormat="1">
      <c r="E225" s="933"/>
    </row>
    <row r="226" spans="5:5" s="985" customFormat="1">
      <c r="E226" s="933"/>
    </row>
    <row r="227" spans="5:5" s="985" customFormat="1">
      <c r="E227" s="933"/>
    </row>
    <row r="228" spans="5:5" s="985" customFormat="1">
      <c r="E228" s="933"/>
    </row>
    <row r="229" spans="5:5" s="985" customFormat="1">
      <c r="E229" s="933"/>
    </row>
    <row r="230" spans="5:5" s="985" customFormat="1">
      <c r="E230" s="933"/>
    </row>
    <row r="231" spans="5:5" s="985" customFormat="1">
      <c r="E231" s="933"/>
    </row>
    <row r="232" spans="5:5" s="985" customFormat="1">
      <c r="E232" s="933"/>
    </row>
    <row r="233" spans="5:5" s="985" customFormat="1">
      <c r="E233" s="933"/>
    </row>
    <row r="234" spans="5:5" s="985" customFormat="1">
      <c r="E234" s="933"/>
    </row>
    <row r="235" spans="5:5" s="985" customFormat="1">
      <c r="E235" s="933"/>
    </row>
    <row r="236" spans="5:5" s="985" customFormat="1">
      <c r="E236" s="933"/>
    </row>
    <row r="237" spans="5:5" s="985" customFormat="1">
      <c r="E237" s="933"/>
    </row>
    <row r="238" spans="5:5" s="985" customFormat="1">
      <c r="E238" s="933"/>
    </row>
    <row r="239" spans="5:5" s="985" customFormat="1">
      <c r="E239" s="933"/>
    </row>
    <row r="240" spans="5:5" s="985" customFormat="1">
      <c r="E240" s="933"/>
    </row>
    <row r="241" spans="5:5" s="985" customFormat="1">
      <c r="E241" s="933"/>
    </row>
    <row r="242" spans="5:5" s="985" customFormat="1">
      <c r="E242" s="933"/>
    </row>
    <row r="243" spans="5:5" s="985" customFormat="1">
      <c r="E243" s="933"/>
    </row>
    <row r="244" spans="5:5" s="985" customFormat="1">
      <c r="E244" s="933"/>
    </row>
    <row r="245" spans="5:5" s="985" customFormat="1">
      <c r="E245" s="933"/>
    </row>
    <row r="246" spans="5:5" s="985" customFormat="1">
      <c r="E246" s="933"/>
    </row>
    <row r="247" spans="5:5" s="985" customFormat="1">
      <c r="E247" s="933"/>
    </row>
    <row r="248" spans="5:5" s="985" customFormat="1">
      <c r="E248" s="933"/>
    </row>
    <row r="249" spans="5:5" s="985" customFormat="1">
      <c r="E249" s="933"/>
    </row>
    <row r="250" spans="5:5" s="985" customFormat="1">
      <c r="E250" s="933"/>
    </row>
    <row r="251" spans="5:5" s="985" customFormat="1">
      <c r="E251" s="933"/>
    </row>
    <row r="252" spans="5:5" s="985" customFormat="1">
      <c r="E252" s="933"/>
    </row>
    <row r="253" spans="5:5" s="985" customFormat="1">
      <c r="E253" s="933"/>
    </row>
    <row r="254" spans="5:5" s="985" customFormat="1">
      <c r="E254" s="933"/>
    </row>
    <row r="255" spans="5:5" s="985" customFormat="1">
      <c r="E255" s="933"/>
    </row>
    <row r="256" spans="5:5" s="985" customFormat="1">
      <c r="E256" s="933"/>
    </row>
    <row r="257" spans="5:5" s="985" customFormat="1">
      <c r="E257" s="933"/>
    </row>
    <row r="258" spans="5:5" s="985" customFormat="1">
      <c r="E258" s="933"/>
    </row>
    <row r="259" spans="5:5" s="985" customFormat="1">
      <c r="E259" s="933"/>
    </row>
    <row r="260" spans="5:5" s="985" customFormat="1">
      <c r="E260" s="933"/>
    </row>
    <row r="261" spans="5:5" s="985" customFormat="1">
      <c r="E261" s="933"/>
    </row>
    <row r="262" spans="5:5" s="985" customFormat="1">
      <c r="E262" s="933"/>
    </row>
    <row r="263" spans="5:5" s="985" customFormat="1">
      <c r="E263" s="933"/>
    </row>
    <row r="264" spans="5:5" s="985" customFormat="1">
      <c r="E264" s="933"/>
    </row>
    <row r="265" spans="5:5" s="985" customFormat="1">
      <c r="E265" s="933"/>
    </row>
    <row r="266" spans="5:5" s="985" customFormat="1">
      <c r="E266" s="933"/>
    </row>
    <row r="267" spans="5:5" s="985" customFormat="1">
      <c r="E267" s="933"/>
    </row>
    <row r="268" spans="5:5" s="985" customFormat="1">
      <c r="E268" s="933"/>
    </row>
    <row r="269" spans="5:5" s="985" customFormat="1">
      <c r="E269" s="933"/>
    </row>
    <row r="270" spans="5:5" s="985" customFormat="1">
      <c r="E270" s="933"/>
    </row>
    <row r="271" spans="5:5" s="985" customFormat="1">
      <c r="E271" s="933"/>
    </row>
    <row r="272" spans="5:5" s="985" customFormat="1">
      <c r="E272" s="933"/>
    </row>
    <row r="273" spans="5:5" s="985" customFormat="1">
      <c r="E273" s="933"/>
    </row>
    <row r="274" spans="5:5" s="985" customFormat="1">
      <c r="E274" s="933"/>
    </row>
    <row r="275" spans="5:5" s="985" customFormat="1">
      <c r="E275" s="933"/>
    </row>
    <row r="276" spans="5:5" s="985" customFormat="1">
      <c r="E276" s="933"/>
    </row>
    <row r="277" spans="5:5" s="985" customFormat="1">
      <c r="E277" s="933"/>
    </row>
    <row r="278" spans="5:5" s="985" customFormat="1">
      <c r="E278" s="933"/>
    </row>
    <row r="279" spans="5:5" s="985" customFormat="1">
      <c r="E279" s="933"/>
    </row>
    <row r="280" spans="5:5" s="985" customFormat="1">
      <c r="E280" s="933"/>
    </row>
    <row r="281" spans="5:5" s="985" customFormat="1">
      <c r="E281" s="933"/>
    </row>
    <row r="282" spans="5:5" s="985" customFormat="1">
      <c r="E282" s="933"/>
    </row>
    <row r="283" spans="5:5" s="985" customFormat="1">
      <c r="E283" s="933"/>
    </row>
    <row r="284" spans="5:5" s="985" customFormat="1">
      <c r="E284" s="933"/>
    </row>
    <row r="285" spans="5:5" s="985" customFormat="1">
      <c r="E285" s="933"/>
    </row>
    <row r="286" spans="5:5" s="985" customFormat="1">
      <c r="E286" s="933"/>
    </row>
    <row r="287" spans="5:5" s="985" customFormat="1">
      <c r="E287" s="933"/>
    </row>
    <row r="288" spans="5:5" s="985" customFormat="1">
      <c r="E288" s="933"/>
    </row>
    <row r="289" spans="5:5" s="985" customFormat="1">
      <c r="E289" s="933"/>
    </row>
    <row r="290" spans="5:5" s="985" customFormat="1">
      <c r="E290" s="933"/>
    </row>
    <row r="291" spans="5:5" s="985" customFormat="1">
      <c r="E291" s="933"/>
    </row>
    <row r="292" spans="5:5" s="985" customFormat="1">
      <c r="E292" s="933"/>
    </row>
    <row r="293" spans="5:5" s="985" customFormat="1">
      <c r="E293" s="933"/>
    </row>
    <row r="294" spans="5:5" s="985" customFormat="1">
      <c r="E294" s="933"/>
    </row>
    <row r="295" spans="5:5" s="985" customFormat="1">
      <c r="E295" s="933"/>
    </row>
    <row r="296" spans="5:5" s="985" customFormat="1">
      <c r="E296" s="933"/>
    </row>
    <row r="297" spans="5:5" s="985" customFormat="1">
      <c r="E297" s="933"/>
    </row>
    <row r="298" spans="5:5" s="985" customFormat="1">
      <c r="E298" s="933"/>
    </row>
    <row r="299" spans="5:5" s="985" customFormat="1">
      <c r="E299" s="933"/>
    </row>
    <row r="300" spans="5:5" s="985" customFormat="1">
      <c r="E300" s="933"/>
    </row>
    <row r="301" spans="5:5" s="985" customFormat="1">
      <c r="E301" s="933"/>
    </row>
    <row r="302" spans="5:5" s="985" customFormat="1">
      <c r="E302" s="933"/>
    </row>
    <row r="303" spans="5:5" s="985" customFormat="1">
      <c r="E303" s="933"/>
    </row>
    <row r="304" spans="5:5" s="985" customFormat="1">
      <c r="E304" s="933"/>
    </row>
    <row r="305" spans="5:5" s="985" customFormat="1">
      <c r="E305" s="933"/>
    </row>
    <row r="306" spans="5:5" s="985" customFormat="1">
      <c r="E306" s="933"/>
    </row>
    <row r="307" spans="5:5" s="985" customFormat="1">
      <c r="E307" s="933"/>
    </row>
    <row r="308" spans="5:5" s="985" customFormat="1">
      <c r="E308" s="933"/>
    </row>
    <row r="309" spans="5:5" s="985" customFormat="1">
      <c r="E309" s="933"/>
    </row>
    <row r="310" spans="5:5" s="985" customFormat="1">
      <c r="E310" s="933"/>
    </row>
    <row r="311" spans="5:5" s="985" customFormat="1">
      <c r="E311" s="933"/>
    </row>
    <row r="312" spans="5:5" s="985" customFormat="1">
      <c r="E312" s="933"/>
    </row>
    <row r="313" spans="5:5" s="985" customFormat="1">
      <c r="E313" s="933"/>
    </row>
    <row r="314" spans="5:5" s="985" customFormat="1">
      <c r="E314" s="933"/>
    </row>
    <row r="315" spans="5:5" s="985" customFormat="1">
      <c r="E315" s="933"/>
    </row>
    <row r="316" spans="5:5" s="985" customFormat="1">
      <c r="E316" s="933"/>
    </row>
    <row r="317" spans="5:5" s="985" customFormat="1">
      <c r="E317" s="933"/>
    </row>
    <row r="318" spans="5:5" s="985" customFormat="1">
      <c r="E318" s="933"/>
    </row>
    <row r="319" spans="5:5" s="985" customFormat="1">
      <c r="E319" s="933"/>
    </row>
    <row r="320" spans="5:5" s="985" customFormat="1">
      <c r="E320" s="933"/>
    </row>
    <row r="321" spans="5:5" s="985" customFormat="1">
      <c r="E321" s="933"/>
    </row>
    <row r="322" spans="5:5" s="985" customFormat="1">
      <c r="E322" s="933"/>
    </row>
    <row r="323" spans="5:5" s="985" customFormat="1">
      <c r="E323" s="933"/>
    </row>
    <row r="324" spans="5:5" s="985" customFormat="1">
      <c r="E324" s="933"/>
    </row>
    <row r="325" spans="5:5" s="985" customFormat="1">
      <c r="E325" s="933"/>
    </row>
    <row r="326" spans="5:5" s="985" customFormat="1">
      <c r="E326" s="933"/>
    </row>
    <row r="327" spans="5:5" s="985" customFormat="1">
      <c r="E327" s="933"/>
    </row>
    <row r="328" spans="5:5" s="985" customFormat="1">
      <c r="E328" s="933"/>
    </row>
    <row r="329" spans="5:5" s="985" customFormat="1">
      <c r="E329" s="933"/>
    </row>
    <row r="330" spans="5:5" s="985" customFormat="1">
      <c r="E330" s="933"/>
    </row>
    <row r="331" spans="5:5" s="985" customFormat="1">
      <c r="E331" s="933"/>
    </row>
    <row r="332" spans="5:5" s="985" customFormat="1">
      <c r="E332" s="933"/>
    </row>
    <row r="333" spans="5:5" s="985" customFormat="1">
      <c r="E333" s="933"/>
    </row>
    <row r="334" spans="5:5" s="985" customFormat="1">
      <c r="E334" s="933"/>
    </row>
    <row r="335" spans="5:5" s="985" customFormat="1">
      <c r="E335" s="933"/>
    </row>
    <row r="336" spans="5:5" s="985" customFormat="1">
      <c r="E336" s="933"/>
    </row>
    <row r="337" spans="5:5" s="985" customFormat="1">
      <c r="E337" s="933"/>
    </row>
    <row r="338" spans="5:5" s="985" customFormat="1">
      <c r="E338" s="933"/>
    </row>
    <row r="339" spans="5:5" s="985" customFormat="1">
      <c r="E339" s="933"/>
    </row>
    <row r="340" spans="5:5" s="985" customFormat="1">
      <c r="E340" s="933"/>
    </row>
    <row r="341" spans="5:5" s="985" customFormat="1">
      <c r="E341" s="933"/>
    </row>
    <row r="342" spans="5:5" s="985" customFormat="1">
      <c r="E342" s="933"/>
    </row>
    <row r="343" spans="5:5" s="985" customFormat="1">
      <c r="E343" s="933"/>
    </row>
    <row r="344" spans="5:5" s="985" customFormat="1">
      <c r="E344" s="933"/>
    </row>
    <row r="345" spans="5:5" s="985" customFormat="1">
      <c r="E345" s="933"/>
    </row>
    <row r="346" spans="5:5" s="985" customFormat="1">
      <c r="E346" s="933"/>
    </row>
    <row r="347" spans="5:5" s="985" customFormat="1">
      <c r="E347" s="933"/>
    </row>
    <row r="348" spans="5:5" s="985" customFormat="1">
      <c r="E348" s="933"/>
    </row>
    <row r="349" spans="5:5" s="985" customFormat="1">
      <c r="E349" s="933"/>
    </row>
    <row r="350" spans="5:5" s="985" customFormat="1">
      <c r="E350" s="933"/>
    </row>
    <row r="351" spans="5:5" s="985" customFormat="1">
      <c r="E351" s="933"/>
    </row>
    <row r="352" spans="5:5" s="985" customFormat="1">
      <c r="E352" s="933"/>
    </row>
    <row r="353" spans="5:5" s="985" customFormat="1">
      <c r="E353" s="933"/>
    </row>
    <row r="354" spans="5:5" s="985" customFormat="1">
      <c r="E354" s="933"/>
    </row>
    <row r="355" spans="5:5" s="985" customFormat="1">
      <c r="E355" s="933"/>
    </row>
    <row r="356" spans="5:5" s="985" customFormat="1">
      <c r="E356" s="933"/>
    </row>
    <row r="357" spans="5:5" s="985" customFormat="1">
      <c r="E357" s="933"/>
    </row>
    <row r="358" spans="5:5" s="985" customFormat="1">
      <c r="E358" s="933"/>
    </row>
    <row r="359" spans="5:5" s="985" customFormat="1">
      <c r="E359" s="933"/>
    </row>
    <row r="360" spans="5:5" s="985" customFormat="1">
      <c r="E360" s="933"/>
    </row>
    <row r="361" spans="5:5" s="985" customFormat="1">
      <c r="E361" s="933"/>
    </row>
    <row r="362" spans="5:5" s="985" customFormat="1">
      <c r="E362" s="933"/>
    </row>
    <row r="363" spans="5:5" s="985" customFormat="1">
      <c r="E363" s="933"/>
    </row>
    <row r="364" spans="5:5" s="985" customFormat="1">
      <c r="E364" s="933"/>
    </row>
    <row r="365" spans="5:5" s="985" customFormat="1">
      <c r="E365" s="933"/>
    </row>
    <row r="366" spans="5:5" s="985" customFormat="1">
      <c r="E366" s="933"/>
    </row>
    <row r="367" spans="5:5" s="985" customFormat="1">
      <c r="E367" s="933"/>
    </row>
    <row r="368" spans="5:5" s="985" customFormat="1">
      <c r="E368" s="933"/>
    </row>
    <row r="369" spans="5:5" s="985" customFormat="1">
      <c r="E369" s="933"/>
    </row>
    <row r="370" spans="5:5" s="985" customFormat="1">
      <c r="E370" s="933"/>
    </row>
    <row r="371" spans="5:5" s="985" customFormat="1">
      <c r="E371" s="933"/>
    </row>
    <row r="372" spans="5:5" s="985" customFormat="1">
      <c r="E372" s="933"/>
    </row>
    <row r="373" spans="5:5" s="985" customFormat="1">
      <c r="E373" s="933"/>
    </row>
    <row r="374" spans="5:5" s="985" customFormat="1">
      <c r="E374" s="933"/>
    </row>
    <row r="375" spans="5:5" s="985" customFormat="1">
      <c r="E375" s="933"/>
    </row>
    <row r="376" spans="5:5" s="985" customFormat="1">
      <c r="E376" s="933"/>
    </row>
    <row r="377" spans="5:5" s="985" customFormat="1">
      <c r="E377" s="933"/>
    </row>
    <row r="378" spans="5:5" s="985" customFormat="1">
      <c r="E378" s="933"/>
    </row>
    <row r="379" spans="5:5" s="985" customFormat="1">
      <c r="E379" s="933"/>
    </row>
    <row r="380" spans="5:5" s="985" customFormat="1">
      <c r="E380" s="933"/>
    </row>
    <row r="381" spans="5:5" s="985" customFormat="1">
      <c r="E381" s="933"/>
    </row>
    <row r="382" spans="5:5" s="985" customFormat="1">
      <c r="E382" s="933"/>
    </row>
    <row r="383" spans="5:5" s="985" customFormat="1">
      <c r="E383" s="933"/>
    </row>
    <row r="384" spans="5:5" s="985" customFormat="1">
      <c r="E384" s="933"/>
    </row>
    <row r="385" spans="5:5" s="985" customFormat="1">
      <c r="E385" s="933"/>
    </row>
    <row r="386" spans="5:5" s="985" customFormat="1">
      <c r="E386" s="933"/>
    </row>
    <row r="387" spans="5:5" s="985" customFormat="1">
      <c r="E387" s="933"/>
    </row>
    <row r="388" spans="5:5" s="985" customFormat="1">
      <c r="E388" s="933"/>
    </row>
    <row r="389" spans="5:5" s="985" customFormat="1">
      <c r="E389" s="933"/>
    </row>
    <row r="390" spans="5:5" s="985" customFormat="1">
      <c r="E390" s="933"/>
    </row>
    <row r="391" spans="5:5" s="985" customFormat="1">
      <c r="E391" s="933"/>
    </row>
    <row r="392" spans="5:5" s="985" customFormat="1">
      <c r="E392" s="933"/>
    </row>
    <row r="393" spans="5:5" s="985" customFormat="1">
      <c r="E393" s="933"/>
    </row>
    <row r="394" spans="5:5" s="985" customFormat="1">
      <c r="E394" s="933"/>
    </row>
    <row r="395" spans="5:5" s="985" customFormat="1">
      <c r="E395" s="933"/>
    </row>
    <row r="396" spans="5:5" s="985" customFormat="1">
      <c r="E396" s="933"/>
    </row>
    <row r="397" spans="5:5" s="985" customFormat="1">
      <c r="E397" s="933"/>
    </row>
    <row r="398" spans="5:5" s="985" customFormat="1">
      <c r="E398" s="933"/>
    </row>
    <row r="399" spans="5:5" s="985" customFormat="1">
      <c r="E399" s="933"/>
    </row>
    <row r="400" spans="5:5" s="985" customFormat="1">
      <c r="E400" s="933"/>
    </row>
    <row r="401" spans="5:5" s="985" customFormat="1">
      <c r="E401" s="933"/>
    </row>
    <row r="402" spans="5:5" s="985" customFormat="1">
      <c r="E402" s="933"/>
    </row>
    <row r="403" spans="5:5" s="985" customFormat="1">
      <c r="E403" s="933"/>
    </row>
    <row r="404" spans="5:5" s="985" customFormat="1">
      <c r="E404" s="933"/>
    </row>
    <row r="405" spans="5:5" s="985" customFormat="1">
      <c r="E405" s="933"/>
    </row>
    <row r="406" spans="5:5" s="985" customFormat="1">
      <c r="E406" s="933"/>
    </row>
    <row r="407" spans="5:5" s="985" customFormat="1">
      <c r="E407" s="933"/>
    </row>
    <row r="408" spans="5:5" s="985" customFormat="1">
      <c r="E408" s="933"/>
    </row>
    <row r="409" spans="5:5" s="985" customFormat="1">
      <c r="E409" s="933"/>
    </row>
    <row r="410" spans="5:5" s="985" customFormat="1">
      <c r="E410" s="933"/>
    </row>
    <row r="411" spans="5:5" s="985" customFormat="1">
      <c r="E411" s="933"/>
    </row>
    <row r="412" spans="5:5" s="985" customFormat="1">
      <c r="E412" s="933"/>
    </row>
    <row r="413" spans="5:5" s="985" customFormat="1">
      <c r="E413" s="933"/>
    </row>
    <row r="414" spans="5:5" s="985" customFormat="1">
      <c r="E414" s="933"/>
    </row>
    <row r="415" spans="5:5" s="985" customFormat="1">
      <c r="E415" s="933"/>
    </row>
    <row r="416" spans="5:5" s="985" customFormat="1">
      <c r="E416" s="933"/>
    </row>
    <row r="417" spans="5:5" s="985" customFormat="1">
      <c r="E417" s="933"/>
    </row>
    <row r="418" spans="5:5" s="985" customFormat="1">
      <c r="E418" s="933"/>
    </row>
    <row r="419" spans="5:5" s="985" customFormat="1">
      <c r="E419" s="933"/>
    </row>
    <row r="420" spans="5:5" s="985" customFormat="1">
      <c r="E420" s="933"/>
    </row>
    <row r="421" spans="5:5" s="985" customFormat="1">
      <c r="E421" s="933"/>
    </row>
    <row r="422" spans="5:5" s="985" customFormat="1">
      <c r="E422" s="933"/>
    </row>
    <row r="423" spans="5:5" s="985" customFormat="1">
      <c r="E423" s="933"/>
    </row>
    <row r="424" spans="5:5" s="985" customFormat="1">
      <c r="E424" s="933"/>
    </row>
    <row r="425" spans="5:5" s="985" customFormat="1">
      <c r="E425" s="933"/>
    </row>
    <row r="426" spans="5:5" s="985" customFormat="1">
      <c r="E426" s="933"/>
    </row>
    <row r="427" spans="5:5" s="985" customFormat="1">
      <c r="E427" s="933"/>
    </row>
    <row r="428" spans="5:5" s="985" customFormat="1">
      <c r="E428" s="933"/>
    </row>
    <row r="429" spans="5:5" s="985" customFormat="1">
      <c r="E429" s="933"/>
    </row>
    <row r="430" spans="5:5" s="985" customFormat="1">
      <c r="E430" s="933"/>
    </row>
    <row r="431" spans="5:5" s="985" customFormat="1">
      <c r="E431" s="933"/>
    </row>
    <row r="432" spans="5:5" s="985" customFormat="1">
      <c r="E432" s="933"/>
    </row>
    <row r="433" spans="5:5" s="985" customFormat="1">
      <c r="E433" s="933"/>
    </row>
    <row r="434" spans="5:5" s="985" customFormat="1">
      <c r="E434" s="933"/>
    </row>
    <row r="435" spans="5:5" s="985" customFormat="1">
      <c r="E435" s="933"/>
    </row>
    <row r="436" spans="5:5" s="985" customFormat="1">
      <c r="E436" s="933"/>
    </row>
    <row r="437" spans="5:5" s="985" customFormat="1">
      <c r="E437" s="933"/>
    </row>
    <row r="438" spans="5:5" s="985" customFormat="1">
      <c r="E438" s="933"/>
    </row>
    <row r="439" spans="5:5" s="985" customFormat="1">
      <c r="E439" s="933"/>
    </row>
    <row r="440" spans="5:5" s="985" customFormat="1">
      <c r="E440" s="933"/>
    </row>
    <row r="441" spans="5:5" s="985" customFormat="1">
      <c r="E441" s="933"/>
    </row>
    <row r="442" spans="5:5" s="985" customFormat="1">
      <c r="E442" s="933"/>
    </row>
    <row r="443" spans="5:5" s="985" customFormat="1">
      <c r="E443" s="933"/>
    </row>
    <row r="444" spans="5:5" s="985" customFormat="1">
      <c r="E444" s="933"/>
    </row>
    <row r="445" spans="5:5" s="985" customFormat="1">
      <c r="E445" s="933"/>
    </row>
    <row r="446" spans="5:5" s="985" customFormat="1">
      <c r="E446" s="933"/>
    </row>
    <row r="447" spans="5:5" s="985" customFormat="1">
      <c r="E447" s="933"/>
    </row>
    <row r="448" spans="5:5" s="985" customFormat="1">
      <c r="E448" s="933"/>
    </row>
    <row r="449" spans="5:5" s="985" customFormat="1">
      <c r="E449" s="933"/>
    </row>
    <row r="450" spans="5:5" s="985" customFormat="1">
      <c r="E450" s="933"/>
    </row>
    <row r="451" spans="5:5" s="985" customFormat="1">
      <c r="E451" s="933"/>
    </row>
    <row r="452" spans="5:5" s="985" customFormat="1">
      <c r="E452" s="933"/>
    </row>
    <row r="453" spans="5:5" s="985" customFormat="1">
      <c r="E453" s="933"/>
    </row>
    <row r="454" spans="5:5" s="985" customFormat="1">
      <c r="E454" s="933"/>
    </row>
    <row r="455" spans="5:5" s="985" customFormat="1">
      <c r="E455" s="933"/>
    </row>
    <row r="456" spans="5:5" s="985" customFormat="1">
      <c r="E456" s="933"/>
    </row>
    <row r="457" spans="5:5" s="985" customFormat="1">
      <c r="E457" s="933"/>
    </row>
    <row r="458" spans="5:5" s="985" customFormat="1">
      <c r="E458" s="933"/>
    </row>
    <row r="459" spans="5:5" s="985" customFormat="1">
      <c r="E459" s="933"/>
    </row>
    <row r="460" spans="5:5" s="985" customFormat="1">
      <c r="E460" s="933"/>
    </row>
    <row r="461" spans="5:5" s="985" customFormat="1">
      <c r="E461" s="933"/>
    </row>
    <row r="462" spans="5:5" s="985" customFormat="1">
      <c r="E462" s="933"/>
    </row>
    <row r="463" spans="5:5" s="985" customFormat="1">
      <c r="E463" s="933"/>
    </row>
    <row r="464" spans="5:5" s="985" customFormat="1">
      <c r="E464" s="933"/>
    </row>
    <row r="465" spans="5:5" s="985" customFormat="1">
      <c r="E465" s="933"/>
    </row>
    <row r="466" spans="5:5" s="985" customFormat="1">
      <c r="E466" s="933"/>
    </row>
    <row r="467" spans="5:5" s="985" customFormat="1">
      <c r="E467" s="933"/>
    </row>
    <row r="468" spans="5:5" s="985" customFormat="1">
      <c r="E468" s="933"/>
    </row>
    <row r="469" spans="5:5" s="985" customFormat="1">
      <c r="E469" s="933"/>
    </row>
    <row r="470" spans="5:5" s="985" customFormat="1">
      <c r="E470" s="933"/>
    </row>
    <row r="471" spans="5:5" s="985" customFormat="1">
      <c r="E471" s="933"/>
    </row>
    <row r="472" spans="5:5" s="985" customFormat="1">
      <c r="E472" s="933"/>
    </row>
    <row r="473" spans="5:5" s="985" customFormat="1">
      <c r="E473" s="933"/>
    </row>
    <row r="474" spans="5:5" s="985" customFormat="1">
      <c r="E474" s="933"/>
    </row>
    <row r="475" spans="5:5" s="985" customFormat="1">
      <c r="E475" s="933"/>
    </row>
    <row r="476" spans="5:5" s="985" customFormat="1">
      <c r="E476" s="933"/>
    </row>
    <row r="477" spans="5:5" s="985" customFormat="1">
      <c r="E477" s="933"/>
    </row>
    <row r="478" spans="5:5" s="985" customFormat="1">
      <c r="E478" s="933"/>
    </row>
    <row r="479" spans="5:5" s="985" customFormat="1">
      <c r="E479" s="933"/>
    </row>
    <row r="480" spans="5:5" s="985" customFormat="1">
      <c r="E480" s="933"/>
    </row>
    <row r="481" spans="5:13" s="985" customFormat="1">
      <c r="E481" s="933"/>
    </row>
    <row r="482" spans="5:13" s="985" customFormat="1">
      <c r="E482" s="933"/>
    </row>
    <row r="483" spans="5:13" s="985" customFormat="1">
      <c r="E483" s="933"/>
    </row>
    <row r="484" spans="5:13" s="985" customFormat="1">
      <c r="E484" s="933"/>
    </row>
    <row r="485" spans="5:13" s="985" customFormat="1">
      <c r="E485" s="933"/>
    </row>
    <row r="486" spans="5:13" s="985" customFormat="1">
      <c r="E486" s="933"/>
    </row>
    <row r="487" spans="5:13" s="985" customFormat="1">
      <c r="E487" s="933"/>
    </row>
    <row r="488" spans="5:13" s="985" customFormat="1">
      <c r="E488" s="933"/>
    </row>
    <row r="489" spans="5:13" s="985" customFormat="1">
      <c r="E489" s="933"/>
    </row>
    <row r="490" spans="5:13" s="985" customFormat="1">
      <c r="E490" s="933"/>
    </row>
    <row r="491" spans="5:13" s="985" customFormat="1">
      <c r="E491" s="933"/>
    </row>
    <row r="492" spans="5:13" s="985" customFormat="1">
      <c r="E492" s="933"/>
    </row>
    <row r="493" spans="5:13" s="985" customFormat="1">
      <c r="E493" s="933"/>
    </row>
    <row r="494" spans="5:13" s="985" customFormat="1">
      <c r="E494" s="933"/>
    </row>
    <row r="496" spans="5:13">
      <c r="I496" s="984"/>
      <c r="J496" s="984"/>
      <c r="K496" s="984"/>
      <c r="L496" s="984"/>
      <c r="M496" s="984"/>
    </row>
    <row r="497" spans="9:13">
      <c r="I497" s="984"/>
      <c r="J497" s="984"/>
      <c r="K497" s="984"/>
      <c r="L497" s="984"/>
      <c r="M497" s="984"/>
    </row>
    <row r="498" spans="9:13">
      <c r="I498" s="984"/>
      <c r="J498" s="984"/>
      <c r="K498" s="984"/>
      <c r="L498" s="984"/>
      <c r="M498" s="984"/>
    </row>
    <row r="499" spans="9:13">
      <c r="I499" s="984"/>
      <c r="J499" s="984"/>
      <c r="K499" s="984"/>
      <c r="L499" s="984"/>
      <c r="M499" s="984"/>
    </row>
    <row r="500" spans="9:13">
      <c r="I500" s="984"/>
      <c r="J500" s="984"/>
      <c r="K500" s="984"/>
      <c r="L500" s="984"/>
      <c r="M500" s="984"/>
    </row>
    <row r="501" spans="9:13">
      <c r="I501" s="984"/>
      <c r="J501" s="984"/>
      <c r="K501" s="984"/>
      <c r="L501" s="984"/>
      <c r="M501" s="984"/>
    </row>
    <row r="502" spans="9:13">
      <c r="I502" s="984"/>
      <c r="J502" s="984"/>
      <c r="K502" s="984"/>
      <c r="L502" s="984"/>
      <c r="M502" s="984"/>
    </row>
    <row r="503" spans="9:13">
      <c r="I503" s="984"/>
      <c r="J503" s="984"/>
      <c r="K503" s="984"/>
      <c r="L503" s="984"/>
      <c r="M503" s="984"/>
    </row>
  </sheetData>
  <mergeCells count="7">
    <mergeCell ref="I89:M89"/>
    <mergeCell ref="B1:G1"/>
    <mergeCell ref="I1:M1"/>
    <mergeCell ref="I8:M8"/>
    <mergeCell ref="G15:G16"/>
    <mergeCell ref="I51:M51"/>
    <mergeCell ref="B58:G58"/>
  </mergeCells>
  <printOptions horizontalCentered="1" verticalCentered="1"/>
  <pageMargins left="0.25" right="0.25" top="0" bottom="0" header="0.3" footer="0"/>
  <pageSetup scale="75" fitToHeight="2" orientation="portrait" r:id="rId1"/>
  <headerFooter>
    <oddFooter>&amp;R&amp;P of &amp;N</oddFooter>
  </headerFooter>
  <rowBreaks count="1" manualBreakCount="1">
    <brk id="50" min="8"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tint="0.79998168889431442"/>
  </sheetPr>
  <dimension ref="A1:NY516"/>
  <sheetViews>
    <sheetView topLeftCell="A10" zoomScale="80" zoomScaleNormal="80" workbookViewId="0">
      <selection activeCell="B18" sqref="B18"/>
    </sheetView>
  </sheetViews>
  <sheetFormatPr defaultColWidth="9.42578125" defaultRowHeight="12.75"/>
  <cols>
    <col min="1" max="1" width="3.42578125" style="8" customWidth="1"/>
    <col min="2" max="2" width="32.42578125" style="8" customWidth="1"/>
    <col min="3" max="4" width="12.42578125" style="8" customWidth="1"/>
    <col min="5" max="6" width="6.5703125" style="8" customWidth="1"/>
    <col min="7" max="7" width="41.5703125" style="8" customWidth="1"/>
    <col min="8" max="8" width="3.42578125" style="8" customWidth="1"/>
    <col min="9" max="9" width="28.42578125" style="8" customWidth="1"/>
    <col min="10" max="10" width="6.42578125" style="8" customWidth="1"/>
    <col min="11" max="11" width="11" style="8" customWidth="1"/>
    <col min="12" max="12" width="13.5703125" style="8" customWidth="1"/>
    <col min="13" max="13" width="17.5703125" style="8" customWidth="1"/>
    <col min="14" max="14" width="21.5703125" style="8" customWidth="1"/>
    <col min="15" max="16" width="9.42578125" style="255"/>
    <col min="17" max="17" width="6.5703125" style="255" customWidth="1"/>
    <col min="18" max="18" width="10.5703125" style="255" customWidth="1"/>
    <col min="19" max="19" width="9.42578125" style="255"/>
    <col min="20" max="20" width="13.5703125" style="255" customWidth="1"/>
    <col min="21" max="21" width="10.5703125" style="255" customWidth="1"/>
    <col min="22" max="22" width="15.42578125" style="255" bestFit="1" customWidth="1"/>
    <col min="23" max="23" width="10.5703125" style="255" customWidth="1"/>
    <col min="24" max="24" width="15.5703125" style="255" customWidth="1"/>
    <col min="25" max="389" width="9.42578125" style="255"/>
    <col min="390" max="16384" width="9.42578125" style="8"/>
  </cols>
  <sheetData>
    <row r="1" spans="1:14" ht="15.75" customHeight="1" thickBot="1">
      <c r="A1" s="253"/>
      <c r="B1" s="2554" t="s">
        <v>546</v>
      </c>
      <c r="C1" s="2554"/>
      <c r="D1" s="2554"/>
      <c r="E1" s="2554"/>
      <c r="F1" s="2554"/>
      <c r="G1" s="2554"/>
      <c r="H1" s="253"/>
      <c r="I1" s="2587" t="s">
        <v>379</v>
      </c>
      <c r="J1" s="2587"/>
      <c r="K1" s="2587"/>
      <c r="L1" s="2587"/>
      <c r="M1" s="2587"/>
      <c r="N1" s="253"/>
    </row>
    <row r="2" spans="1:14" ht="13.5" thickBot="1">
      <c r="A2" s="253"/>
      <c r="B2" s="253"/>
      <c r="C2" s="253"/>
      <c r="D2" s="253"/>
      <c r="E2" s="253"/>
      <c r="F2" s="253"/>
      <c r="G2" s="253"/>
      <c r="H2" s="253"/>
      <c r="I2" s="254"/>
      <c r="J2" s="253"/>
      <c r="K2" s="253"/>
      <c r="L2" s="253"/>
      <c r="M2" s="253"/>
      <c r="N2" s="253"/>
    </row>
    <row r="3" spans="1:14">
      <c r="A3" s="253"/>
      <c r="B3" s="138" t="s">
        <v>0</v>
      </c>
      <c r="C3" s="139" t="s">
        <v>1</v>
      </c>
      <c r="D3" s="163" t="s">
        <v>2</v>
      </c>
      <c r="E3" s="38"/>
      <c r="F3" s="38"/>
      <c r="G3" s="253"/>
      <c r="H3" s="253"/>
      <c r="I3" s="269"/>
      <c r="J3" s="101"/>
      <c r="K3" s="38"/>
      <c r="L3" s="38"/>
      <c r="M3" s="253"/>
      <c r="N3" s="253"/>
    </row>
    <row r="4" spans="1:14">
      <c r="A4" s="253"/>
      <c r="B4" s="140" t="s">
        <v>370</v>
      </c>
      <c r="C4" s="141">
        <v>10</v>
      </c>
      <c r="D4" s="164">
        <f>C4*8</f>
        <v>80</v>
      </c>
      <c r="E4" s="39"/>
      <c r="F4" s="39"/>
      <c r="G4" s="253"/>
      <c r="H4" s="253"/>
      <c r="I4" s="156"/>
      <c r="J4" s="270"/>
      <c r="K4" s="39"/>
      <c r="L4" s="39"/>
      <c r="M4" s="253"/>
      <c r="N4" s="253"/>
    </row>
    <row r="5" spans="1:14" ht="13.5" thickBot="1">
      <c r="A5" s="253"/>
      <c r="B5" s="140" t="s">
        <v>378</v>
      </c>
      <c r="C5" s="141">
        <v>10</v>
      </c>
      <c r="D5" s="164">
        <f>C5*8</f>
        <v>80</v>
      </c>
      <c r="E5" s="39"/>
      <c r="F5" s="39"/>
      <c r="G5" s="253"/>
      <c r="H5" s="253"/>
      <c r="I5" s="156"/>
      <c r="J5" s="270"/>
      <c r="K5" s="39"/>
      <c r="L5" s="39"/>
      <c r="M5" s="253"/>
      <c r="N5" s="253"/>
    </row>
    <row r="6" spans="1:14">
      <c r="A6" s="253"/>
      <c r="B6" s="140" t="s">
        <v>372</v>
      </c>
      <c r="C6" s="141">
        <v>10</v>
      </c>
      <c r="D6" s="164">
        <f>C6*8</f>
        <v>80</v>
      </c>
      <c r="E6" s="39"/>
      <c r="F6" s="39"/>
      <c r="G6" s="253"/>
      <c r="H6" s="253"/>
      <c r="I6" s="901"/>
      <c r="J6" s="902"/>
      <c r="K6" s="903"/>
      <c r="L6" s="903"/>
      <c r="M6" s="337"/>
      <c r="N6" s="253"/>
    </row>
    <row r="7" spans="1:14" ht="13.5" thickBot="1">
      <c r="A7" s="253"/>
      <c r="B7" s="142" t="s">
        <v>14</v>
      </c>
      <c r="C7" s="141">
        <v>10</v>
      </c>
      <c r="D7" s="165">
        <f>C7*8</f>
        <v>80</v>
      </c>
      <c r="E7" s="39"/>
      <c r="F7" s="39"/>
      <c r="G7" s="253"/>
      <c r="H7" s="253"/>
      <c r="I7" s="112"/>
      <c r="J7" s="270"/>
      <c r="K7" s="39"/>
      <c r="L7" s="39"/>
      <c r="M7" s="260"/>
      <c r="N7" s="253"/>
    </row>
    <row r="8" spans="1:14" ht="13.5" thickBot="1">
      <c r="A8" s="253"/>
      <c r="B8" s="140"/>
      <c r="C8" s="143" t="s">
        <v>3</v>
      </c>
      <c r="D8" s="164">
        <f>SUM(D4:D7)</f>
        <v>320</v>
      </c>
      <c r="E8" s="39"/>
      <c r="F8" s="39"/>
      <c r="G8" s="253"/>
      <c r="H8" s="253"/>
      <c r="I8" s="2588" t="s">
        <v>569</v>
      </c>
      <c r="J8" s="2589"/>
      <c r="K8" s="2589"/>
      <c r="L8" s="2589"/>
      <c r="M8" s="2590"/>
      <c r="N8" s="253"/>
    </row>
    <row r="9" spans="1:14" ht="13.5" thickBot="1">
      <c r="A9" s="253"/>
      <c r="B9" s="144"/>
      <c r="C9" s="145" t="s">
        <v>4</v>
      </c>
      <c r="D9" s="166">
        <f>D8/(52*40)</f>
        <v>0.15384615384615385</v>
      </c>
      <c r="E9" s="40"/>
      <c r="F9" s="40"/>
      <c r="G9" s="253"/>
      <c r="H9" s="253"/>
      <c r="I9" s="362" t="s">
        <v>277</v>
      </c>
      <c r="J9" s="147">
        <v>5</v>
      </c>
      <c r="K9" s="148"/>
      <c r="L9" s="149" t="s">
        <v>133</v>
      </c>
      <c r="M9" s="150">
        <f>J9*365</f>
        <v>1825</v>
      </c>
      <c r="N9" s="253"/>
    </row>
    <row r="10" spans="1:14" ht="13.5" thickBot="1">
      <c r="A10" s="253"/>
      <c r="B10" s="253"/>
      <c r="C10" s="258"/>
      <c r="D10" s="253"/>
      <c r="E10" s="253"/>
      <c r="F10" s="253"/>
      <c r="G10" s="253"/>
      <c r="H10" s="253"/>
      <c r="I10" s="104"/>
      <c r="J10" s="72"/>
      <c r="K10" s="72"/>
      <c r="L10" s="72"/>
      <c r="M10" s="105"/>
      <c r="N10" s="253"/>
    </row>
    <row r="11" spans="1:14" ht="25.5">
      <c r="A11" s="253"/>
      <c r="B11" s="42"/>
      <c r="C11" s="153"/>
      <c r="D11" s="153" t="s">
        <v>41</v>
      </c>
      <c r="E11" s="271"/>
      <c r="F11" s="895"/>
      <c r="G11" s="259" t="s">
        <v>278</v>
      </c>
      <c r="H11" s="253"/>
      <c r="I11" s="106"/>
      <c r="J11" s="53"/>
      <c r="K11" s="54" t="s">
        <v>5</v>
      </c>
      <c r="L11" s="54" t="s">
        <v>6</v>
      </c>
      <c r="M11" s="107" t="s">
        <v>7</v>
      </c>
      <c r="N11" s="253"/>
    </row>
    <row r="12" spans="1:14">
      <c r="A12" s="253"/>
      <c r="B12" s="81"/>
      <c r="C12" s="82"/>
      <c r="D12" s="82"/>
      <c r="E12" s="45"/>
      <c r="F12" s="50"/>
      <c r="G12" s="293"/>
      <c r="H12" s="253"/>
      <c r="I12" s="100"/>
      <c r="J12" s="55"/>
      <c r="K12" s="56"/>
      <c r="L12" s="56"/>
      <c r="M12" s="108"/>
      <c r="N12" s="253"/>
    </row>
    <row r="13" spans="1:14">
      <c r="A13" s="253"/>
      <c r="B13" s="171" t="s">
        <v>29</v>
      </c>
      <c r="C13" s="45"/>
      <c r="D13" s="82"/>
      <c r="E13" s="45"/>
      <c r="F13" s="50"/>
      <c r="G13" s="260"/>
      <c r="H13" s="253"/>
      <c r="I13" s="100" t="s">
        <v>29</v>
      </c>
      <c r="J13" s="55"/>
      <c r="K13" s="58"/>
      <c r="L13" s="56"/>
      <c r="M13" s="108"/>
      <c r="N13" s="253"/>
    </row>
    <row r="14" spans="1:14" ht="25.5">
      <c r="A14" s="253"/>
      <c r="B14" s="48" t="s">
        <v>421</v>
      </c>
      <c r="C14" s="85"/>
      <c r="D14" s="46">
        <f>85899*(1+D39)</f>
        <v>92496.84919424048</v>
      </c>
      <c r="E14" s="50"/>
      <c r="F14" s="50"/>
      <c r="G14" s="49" t="str">
        <f>GLE!G14</f>
        <v>FY16 UFR, Weighted Average, Program Function Manager</v>
      </c>
      <c r="H14" s="253"/>
      <c r="I14" s="109" t="str">
        <f>B14</f>
        <v xml:space="preserve">  Management Supervision</v>
      </c>
      <c r="J14" s="57"/>
      <c r="K14" s="58">
        <f>D14</f>
        <v>92496.84919424048</v>
      </c>
      <c r="L14" s="59">
        <f>C45</f>
        <v>0.1</v>
      </c>
      <c r="M14" s="110">
        <f>K14*L14</f>
        <v>9249.6849194240476</v>
      </c>
      <c r="N14" s="253"/>
    </row>
    <row r="15" spans="1:14" ht="13.35" customHeight="1">
      <c r="A15" s="253"/>
      <c r="B15" s="48" t="s">
        <v>402</v>
      </c>
      <c r="C15" s="85"/>
      <c r="D15" s="46" t="e">
        <f>'Integrated Team (FY21)'!#REF!</f>
        <v>#REF!</v>
      </c>
      <c r="E15" s="50"/>
      <c r="F15" s="50"/>
      <c r="G15" s="2559" t="s">
        <v>604</v>
      </c>
      <c r="H15" s="253"/>
      <c r="I15" s="109" t="str">
        <f>B15</f>
        <v xml:space="preserve">  Specialty Site Manager</v>
      </c>
      <c r="J15" s="57"/>
      <c r="K15" s="58" t="e">
        <f>D15</f>
        <v>#REF!</v>
      </c>
      <c r="L15" s="59">
        <f>C46</f>
        <v>1</v>
      </c>
      <c r="M15" s="110" t="e">
        <f>K15*L15</f>
        <v>#REF!</v>
      </c>
      <c r="N15" s="253"/>
    </row>
    <row r="16" spans="1:14">
      <c r="A16" s="253"/>
      <c r="B16" s="44" t="s">
        <v>30</v>
      </c>
      <c r="C16" s="85"/>
      <c r="D16" s="46"/>
      <c r="E16" s="50"/>
      <c r="F16" s="50"/>
      <c r="G16" s="2559"/>
      <c r="H16" s="253"/>
      <c r="I16" s="111" t="s">
        <v>30</v>
      </c>
      <c r="J16" s="57"/>
      <c r="K16" s="58"/>
      <c r="L16" s="59"/>
      <c r="M16" s="110"/>
      <c r="N16" s="253"/>
    </row>
    <row r="17" spans="1:14">
      <c r="A17" s="253"/>
      <c r="B17" s="48" t="s">
        <v>48</v>
      </c>
      <c r="C17" s="85"/>
      <c r="D17" s="46" t="e">
        <f>'Integrated Team (FY21)'!#REF!</f>
        <v>#REF!</v>
      </c>
      <c r="E17" s="50"/>
      <c r="F17" s="50"/>
      <c r="G17" s="49" t="str">
        <f>'Integrated Team (FY21)'!H19</f>
        <v>BLS /OES Massachusetts Median 2018</v>
      </c>
      <c r="H17" s="253"/>
      <c r="I17" s="109" t="str">
        <f>B17</f>
        <v xml:space="preserve">  RN</v>
      </c>
      <c r="J17" s="57"/>
      <c r="K17" s="58" t="e">
        <f>D17</f>
        <v>#REF!</v>
      </c>
      <c r="L17" s="59">
        <f>C48</f>
        <v>1</v>
      </c>
      <c r="M17" s="110" t="e">
        <f>K17*L17</f>
        <v>#REF!</v>
      </c>
      <c r="N17" s="253"/>
    </row>
    <row r="18" spans="1:14">
      <c r="A18" s="253"/>
      <c r="B18" s="48" t="s">
        <v>122</v>
      </c>
      <c r="C18" s="85"/>
      <c r="D18" s="46">
        <f>(17.62*2080)*(1+D39)</f>
        <v>39464.633164870786</v>
      </c>
      <c r="E18" s="50"/>
      <c r="F18" s="50"/>
      <c r="G18" s="266" t="s">
        <v>474</v>
      </c>
      <c r="H18" s="253"/>
      <c r="I18" s="109" t="str">
        <f>B18</f>
        <v xml:space="preserve">  Certified Nursing Assistant (CNA)</v>
      </c>
      <c r="J18" s="57"/>
      <c r="K18" s="58">
        <f>D18</f>
        <v>39464.633164870786</v>
      </c>
      <c r="L18" s="59">
        <f>C49</f>
        <v>3</v>
      </c>
      <c r="M18" s="110">
        <f>K18*L18</f>
        <v>118393.89949461236</v>
      </c>
      <c r="N18" s="253"/>
    </row>
    <row r="19" spans="1:14">
      <c r="A19" s="253"/>
      <c r="B19" s="44" t="s">
        <v>31</v>
      </c>
      <c r="C19" s="85"/>
      <c r="D19" s="46"/>
      <c r="E19" s="50"/>
      <c r="F19" s="50"/>
      <c r="G19" s="260"/>
      <c r="H19" s="253"/>
      <c r="I19" s="111" t="s">
        <v>31</v>
      </c>
      <c r="J19" s="57"/>
      <c r="K19" s="58"/>
      <c r="L19" s="59"/>
      <c r="M19" s="110"/>
      <c r="N19" s="253"/>
    </row>
    <row r="20" spans="1:14" ht="13.35" customHeight="1">
      <c r="A20" s="253"/>
      <c r="B20" s="79" t="s">
        <v>129</v>
      </c>
      <c r="C20" s="85"/>
      <c r="D20" s="46">
        <f>AVERAGE('FY15 Salary Benchmark'!C24:C26)*(1+D39)</f>
        <v>35063.449294968901</v>
      </c>
      <c r="E20" s="46"/>
      <c r="F20" s="46"/>
      <c r="G20" s="49" t="s">
        <v>452</v>
      </c>
      <c r="H20" s="253"/>
      <c r="I20" s="109" t="str">
        <f>B20</f>
        <v xml:space="preserve">  DC Blended (DC I + II + III)</v>
      </c>
      <c r="J20" s="57"/>
      <c r="K20" s="58">
        <f>D20</f>
        <v>35063.449294968901</v>
      </c>
      <c r="L20" s="59">
        <f>C51</f>
        <v>6</v>
      </c>
      <c r="M20" s="110">
        <f>K20*L20</f>
        <v>210380.69576981341</v>
      </c>
      <c r="N20" s="253"/>
    </row>
    <row r="21" spans="1:14">
      <c r="A21" s="253"/>
      <c r="B21" s="48" t="s">
        <v>49</v>
      </c>
      <c r="C21" s="85"/>
      <c r="D21" s="46">
        <f>D20</f>
        <v>35063.449294968901</v>
      </c>
      <c r="E21" s="50"/>
      <c r="F21" s="50"/>
      <c r="G21" s="260"/>
      <c r="H21" s="253"/>
      <c r="I21" s="288" t="str">
        <f>B21</f>
        <v xml:space="preserve">  Relief</v>
      </c>
      <c r="J21" s="57"/>
      <c r="K21" s="58">
        <f>D21</f>
        <v>35063.449294968901</v>
      </c>
      <c r="L21" s="59">
        <f>C52</f>
        <v>0.92307692307692313</v>
      </c>
      <c r="M21" s="110">
        <f>K21*L21</f>
        <v>32366.260887663604</v>
      </c>
      <c r="N21" s="253"/>
    </row>
    <row r="22" spans="1:14">
      <c r="A22" s="253"/>
      <c r="B22" s="48"/>
      <c r="C22" s="45"/>
      <c r="D22" s="46"/>
      <c r="E22" s="50"/>
      <c r="F22" s="50"/>
      <c r="G22" s="260"/>
      <c r="H22" s="253"/>
      <c r="I22" s="114" t="s">
        <v>13</v>
      </c>
      <c r="J22" s="3"/>
      <c r="K22" s="3"/>
      <c r="L22" s="64">
        <f>SUM(L14:L21)</f>
        <v>12.023076923076923</v>
      </c>
      <c r="M22" s="115" t="e">
        <f>SUM(M14:M21)</f>
        <v>#REF!</v>
      </c>
      <c r="N22" s="253"/>
    </row>
    <row r="23" spans="1:14">
      <c r="A23" s="253"/>
      <c r="B23" s="48"/>
      <c r="C23" s="45"/>
      <c r="D23" s="46"/>
      <c r="E23" s="45"/>
      <c r="F23" s="45"/>
      <c r="G23" s="260"/>
      <c r="H23" s="253"/>
      <c r="I23" s="104"/>
      <c r="J23" s="72"/>
      <c r="K23" s="72"/>
      <c r="L23" s="72"/>
      <c r="M23" s="116"/>
      <c r="N23" s="253"/>
    </row>
    <row r="24" spans="1:14">
      <c r="A24" s="253"/>
      <c r="B24" s="81"/>
      <c r="C24" s="45"/>
      <c r="D24" s="82" t="s">
        <v>42</v>
      </c>
      <c r="E24" s="45"/>
      <c r="F24" s="45"/>
      <c r="G24" s="260"/>
      <c r="H24" s="253"/>
      <c r="I24" s="100" t="s">
        <v>15</v>
      </c>
      <c r="J24" s="72"/>
      <c r="K24" s="72"/>
      <c r="L24" s="4" t="s">
        <v>16</v>
      </c>
      <c r="M24" s="105"/>
      <c r="N24" s="253"/>
    </row>
    <row r="25" spans="1:14">
      <c r="A25" s="253"/>
      <c r="B25" s="81" t="s">
        <v>434</v>
      </c>
      <c r="C25" s="45"/>
      <c r="D25" s="88" t="e">
        <f>'Integrated Team (FY21)'!#REF!</f>
        <v>#REF!</v>
      </c>
      <c r="E25" s="51"/>
      <c r="F25" s="51"/>
      <c r="G25" s="300" t="str">
        <f>GLE!G30</f>
        <v>Avg of the FY15 data.</v>
      </c>
      <c r="H25" s="253"/>
      <c r="I25" s="104" t="str">
        <f>B25</f>
        <v xml:space="preserve">  Tax and Fringe</v>
      </c>
      <c r="J25" s="72"/>
      <c r="K25" s="65" t="e">
        <f>D25</f>
        <v>#REF!</v>
      </c>
      <c r="L25" s="72"/>
      <c r="M25" s="117" t="e">
        <f>K25*M22</f>
        <v>#REF!</v>
      </c>
      <c r="N25" s="253"/>
    </row>
    <row r="26" spans="1:14">
      <c r="A26" s="253"/>
      <c r="B26" s="171"/>
      <c r="C26" s="51"/>
      <c r="D26" s="51"/>
      <c r="E26" s="51"/>
      <c r="F26" s="51"/>
      <c r="G26" s="260"/>
      <c r="H26" s="253"/>
      <c r="I26" s="114" t="s">
        <v>18</v>
      </c>
      <c r="J26" s="3"/>
      <c r="K26" s="3"/>
      <c r="L26" s="63"/>
      <c r="M26" s="118" t="e">
        <f>SUM(M22:M25)</f>
        <v>#REF!</v>
      </c>
      <c r="N26" s="253"/>
    </row>
    <row r="27" spans="1:14">
      <c r="A27" s="253"/>
      <c r="B27" s="48"/>
      <c r="C27" s="296"/>
      <c r="D27" s="294" t="s">
        <v>328</v>
      </c>
      <c r="E27" s="296"/>
      <c r="F27" s="296"/>
      <c r="G27" s="260"/>
      <c r="H27" s="253"/>
      <c r="I27" s="100"/>
      <c r="J27" s="4"/>
      <c r="K27" s="4"/>
      <c r="L27" s="66"/>
      <c r="M27" s="119"/>
      <c r="N27" s="253"/>
    </row>
    <row r="28" spans="1:14">
      <c r="A28" s="253"/>
      <c r="B28" s="48" t="s">
        <v>123</v>
      </c>
      <c r="C28" s="85"/>
      <c r="D28" s="263">
        <f>'Integrated Team (FY21)'!E36</f>
        <v>56.166377419662432</v>
      </c>
      <c r="E28" s="52"/>
      <c r="F28" s="325"/>
      <c r="G28" s="86" t="s">
        <v>475</v>
      </c>
      <c r="H28" s="253"/>
      <c r="I28" s="106" t="s">
        <v>328</v>
      </c>
      <c r="J28" s="5"/>
      <c r="K28" s="54" t="s">
        <v>19</v>
      </c>
      <c r="L28" s="67" t="s">
        <v>20</v>
      </c>
      <c r="M28" s="120" t="s">
        <v>7</v>
      </c>
      <c r="N28" s="253"/>
    </row>
    <row r="29" spans="1:14">
      <c r="A29" s="253"/>
      <c r="B29" s="48" t="s">
        <v>47</v>
      </c>
      <c r="C29" s="85"/>
      <c r="D29" s="263" t="e">
        <f>('Integrated Team (FY21)'!#REF!/2080*(1+D25))</f>
        <v>#REF!</v>
      </c>
      <c r="E29" s="52"/>
      <c r="F29" s="325"/>
      <c r="G29" s="260" t="s">
        <v>433</v>
      </c>
      <c r="H29" s="253"/>
      <c r="I29" s="104" t="str">
        <f>B28</f>
        <v xml:space="preserve">  Occupational Therapist</v>
      </c>
      <c r="J29" s="4"/>
      <c r="K29" s="68">
        <f>D28</f>
        <v>56.166377419662432</v>
      </c>
      <c r="L29" s="59">
        <f>C54*52</f>
        <v>26</v>
      </c>
      <c r="M29" s="289">
        <f>K29*L29</f>
        <v>1460.3258129112232</v>
      </c>
      <c r="N29" s="253"/>
    </row>
    <row r="30" spans="1:14">
      <c r="A30" s="253"/>
      <c r="B30" s="48"/>
      <c r="C30" s="52"/>
      <c r="D30" s="253"/>
      <c r="E30" s="52"/>
      <c r="F30" s="52"/>
      <c r="G30" s="260"/>
      <c r="H30" s="253"/>
      <c r="I30" s="121" t="str">
        <f>B29</f>
        <v xml:space="preserve">  LPHA</v>
      </c>
      <c r="J30" s="4"/>
      <c r="K30" s="68" t="e">
        <f>D29</f>
        <v>#REF!</v>
      </c>
      <c r="L30" s="59">
        <f>C55*52</f>
        <v>26</v>
      </c>
      <c r="M30" s="117" t="e">
        <f>K30*L30</f>
        <v>#REF!</v>
      </c>
      <c r="N30" s="253"/>
    </row>
    <row r="31" spans="1:14">
      <c r="A31" s="253"/>
      <c r="B31" s="81"/>
      <c r="C31" s="45"/>
      <c r="D31" s="297" t="s">
        <v>367</v>
      </c>
      <c r="E31" s="45"/>
      <c r="F31" s="45"/>
      <c r="G31" s="260"/>
      <c r="H31" s="253"/>
      <c r="I31" s="114" t="s">
        <v>21</v>
      </c>
      <c r="J31" s="70"/>
      <c r="K31" s="70"/>
      <c r="L31" s="70"/>
      <c r="M31" s="118" t="e">
        <f>SUM(M29:M30)</f>
        <v>#REF!</v>
      </c>
      <c r="N31" s="253"/>
    </row>
    <row r="32" spans="1:14">
      <c r="A32" s="253"/>
      <c r="B32" s="893" t="s">
        <v>441</v>
      </c>
      <c r="C32" s="45"/>
      <c r="D32" s="892">
        <f>'Integrated Team (FY21)'!E41</f>
        <v>360</v>
      </c>
      <c r="E32" s="277"/>
      <c r="F32" s="277"/>
      <c r="G32" s="896" t="str">
        <f>'Integrated Team (FY21)'!H41</f>
        <v>Avg of the FY15 CBFS data per FTE.</v>
      </c>
      <c r="H32" s="253"/>
      <c r="I32" s="100"/>
      <c r="J32" s="72"/>
      <c r="K32" s="72"/>
      <c r="L32" s="72"/>
      <c r="M32" s="151"/>
      <c r="N32" s="253"/>
    </row>
    <row r="33" spans="1:16">
      <c r="A33" s="253"/>
      <c r="B33" s="81" t="s">
        <v>435</v>
      </c>
      <c r="C33" s="45"/>
      <c r="D33" s="366">
        <f>GLE!C34</f>
        <v>6191.6539525126345</v>
      </c>
      <c r="F33" s="325"/>
      <c r="G33" s="264" t="str">
        <f>GLE!G34</f>
        <v>Benchmark: 101 CMR 420: allocation for van, 1 van / 2 GLEs</v>
      </c>
      <c r="H33" s="253"/>
      <c r="I33" s="104" t="str">
        <f>B32</f>
        <v xml:space="preserve">  Staff Training</v>
      </c>
      <c r="J33" s="72"/>
      <c r="K33" s="72"/>
      <c r="L33" s="899">
        <f>D32</f>
        <v>360</v>
      </c>
      <c r="M33" s="900">
        <f>L33*L22</f>
        <v>4328.3076923076924</v>
      </c>
      <c r="N33" s="253"/>
      <c r="P33" s="407"/>
    </row>
    <row r="34" spans="1:16">
      <c r="A34" s="253"/>
      <c r="B34" s="81" t="s">
        <v>454</v>
      </c>
      <c r="C34" s="45"/>
      <c r="D34" s="89">
        <f>'Integrated Team (FY21)'!E44</f>
        <v>642.72053101483573</v>
      </c>
      <c r="E34" s="45"/>
      <c r="F34" s="325"/>
      <c r="G34" s="260" t="str">
        <f>'Integrated Team (FY21)'!H44</f>
        <v>Program Supplies &amp; Materials (33E) per FTE.</v>
      </c>
      <c r="H34" s="253"/>
      <c r="I34" s="109" t="str">
        <f>B33</f>
        <v xml:space="preserve">  Transportation</v>
      </c>
      <c r="J34" s="72"/>
      <c r="K34" s="72"/>
      <c r="L34" s="122"/>
      <c r="M34" s="290">
        <f>D33</f>
        <v>6191.6539525126345</v>
      </c>
      <c r="N34" s="253"/>
    </row>
    <row r="35" spans="1:16">
      <c r="A35" s="253"/>
      <c r="B35" s="582" t="s">
        <v>792</v>
      </c>
      <c r="C35" s="583"/>
      <c r="D35" s="892">
        <v>8.16</v>
      </c>
      <c r="E35" s="906" t="s">
        <v>793</v>
      </c>
      <c r="G35" s="897" t="s">
        <v>599</v>
      </c>
      <c r="H35" s="274"/>
      <c r="I35" s="291" t="str">
        <f>B34</f>
        <v xml:space="preserve">  Program Supplies &amp; Materials</v>
      </c>
      <c r="J35" s="72"/>
      <c r="K35" s="72"/>
      <c r="L35" s="170">
        <f>D34</f>
        <v>642.72053101483573</v>
      </c>
      <c r="M35" s="290">
        <f>L35*L22</f>
        <v>7727.4783844322174</v>
      </c>
      <c r="N35" s="253"/>
    </row>
    <row r="36" spans="1:16">
      <c r="A36" s="253"/>
      <c r="B36" s="81"/>
      <c r="C36" s="45"/>
      <c r="D36" s="45"/>
      <c r="E36" s="45"/>
      <c r="F36" s="45"/>
      <c r="G36" s="260"/>
      <c r="H36" s="253"/>
      <c r="I36" s="104"/>
      <c r="J36" s="72"/>
      <c r="K36" s="72"/>
      <c r="L36" s="185"/>
      <c r="M36" s="124">
        <f>SUM(M33:M35)</f>
        <v>18247.440029252546</v>
      </c>
      <c r="N36" s="253"/>
    </row>
    <row r="37" spans="1:16">
      <c r="A37" s="253"/>
      <c r="B37" s="81" t="s">
        <v>24</v>
      </c>
      <c r="C37" s="45"/>
      <c r="D37" s="88">
        <f>'Integrated Team (FY21)'!E46</f>
        <v>0.12</v>
      </c>
      <c r="E37" s="45"/>
      <c r="F37" s="45"/>
      <c r="G37" s="83" t="s">
        <v>472</v>
      </c>
      <c r="H37" s="253"/>
      <c r="I37" s="898"/>
      <c r="J37" s="579"/>
      <c r="K37" s="580"/>
      <c r="L37" s="181"/>
      <c r="M37" s="581"/>
      <c r="N37" s="253"/>
    </row>
    <row r="38" spans="1:16">
      <c r="A38" s="253"/>
      <c r="B38" s="859" t="s">
        <v>788</v>
      </c>
      <c r="D38" s="88">
        <v>0</v>
      </c>
      <c r="E38" s="45"/>
      <c r="F38" s="45"/>
      <c r="G38" s="388" t="s">
        <v>782</v>
      </c>
      <c r="H38" s="274"/>
      <c r="I38" s="106" t="s">
        <v>23</v>
      </c>
      <c r="J38" s="5"/>
      <c r="K38" s="5"/>
      <c r="L38" s="5"/>
      <c r="M38" s="578" t="e">
        <f>SUM(M26,M31,M36)</f>
        <v>#REF!</v>
      </c>
      <c r="N38" s="253"/>
    </row>
    <row r="39" spans="1:16">
      <c r="A39" s="253"/>
      <c r="B39" s="81" t="s">
        <v>37</v>
      </c>
      <c r="C39" s="45"/>
      <c r="D39" s="389">
        <f>'Integrated Team (FY21)'!E47</f>
        <v>7.6809383045675458E-2</v>
      </c>
      <c r="E39" s="45"/>
      <c r="F39" s="45"/>
      <c r="G39" s="302" t="s">
        <v>781</v>
      </c>
      <c r="H39" s="274"/>
      <c r="I39" s="104"/>
      <c r="J39" s="72"/>
      <c r="K39" s="72"/>
      <c r="L39" s="73"/>
      <c r="M39" s="127"/>
      <c r="N39" s="253"/>
    </row>
    <row r="40" spans="1:16">
      <c r="A40" s="253"/>
      <c r="B40" s="894" t="s">
        <v>37</v>
      </c>
      <c r="D40" s="880">
        <v>0</v>
      </c>
      <c r="E40" s="253"/>
      <c r="F40" s="253"/>
      <c r="G40" s="260" t="s">
        <v>780</v>
      </c>
      <c r="H40" s="253"/>
      <c r="I40" s="79"/>
      <c r="J40" s="274"/>
      <c r="K40" s="72"/>
      <c r="L40" s="72"/>
      <c r="M40" s="105"/>
      <c r="N40" s="253"/>
    </row>
    <row r="41" spans="1:16">
      <c r="A41" s="253"/>
      <c r="B41" s="265"/>
      <c r="C41" s="253"/>
      <c r="D41" s="253"/>
      <c r="E41" s="253"/>
      <c r="F41" s="253"/>
      <c r="G41" s="260"/>
      <c r="H41" s="253"/>
      <c r="I41" s="104" t="str">
        <f>B37</f>
        <v>Admin. Allocation</v>
      </c>
      <c r="J41" s="72"/>
      <c r="K41" s="187">
        <f>D37</f>
        <v>0.12</v>
      </c>
      <c r="L41" s="72"/>
      <c r="M41" s="117" t="e">
        <f>K41*M38</f>
        <v>#REF!</v>
      </c>
      <c r="N41" s="482"/>
    </row>
    <row r="42" spans="1:16">
      <c r="A42" s="253"/>
      <c r="B42" s="265"/>
      <c r="C42" s="253"/>
      <c r="D42" s="253"/>
      <c r="E42" s="253"/>
      <c r="F42" s="253"/>
      <c r="G42" s="260"/>
      <c r="H42" s="253"/>
      <c r="I42" s="865" t="str">
        <f>B38</f>
        <v>PFLMA Trust Contribution</v>
      </c>
      <c r="J42" s="72"/>
      <c r="K42" s="904">
        <f>D38</f>
        <v>0</v>
      </c>
      <c r="L42" s="72"/>
      <c r="M42" s="905" t="e">
        <f>K42*M22</f>
        <v>#REF!</v>
      </c>
      <c r="N42" s="253"/>
    </row>
    <row r="43" spans="1:16" ht="13.5" thickBot="1">
      <c r="A43" s="253"/>
      <c r="B43" s="392" t="s">
        <v>35</v>
      </c>
      <c r="C43" s="390" t="s">
        <v>424</v>
      </c>
      <c r="D43" s="391" t="s">
        <v>425</v>
      </c>
      <c r="E43" s="409" t="s">
        <v>426</v>
      </c>
      <c r="F43" s="253"/>
      <c r="G43" s="260"/>
      <c r="H43" s="253"/>
      <c r="I43" s="129" t="s">
        <v>25</v>
      </c>
      <c r="J43" s="74"/>
      <c r="K43" s="74"/>
      <c r="L43" s="74"/>
      <c r="M43" s="130" t="e">
        <f>SUM(M38:M42)</f>
        <v>#REF!</v>
      </c>
      <c r="N43" s="253"/>
      <c r="P43" s="407"/>
    </row>
    <row r="44" spans="1:16" ht="13.5" thickTop="1">
      <c r="A44" s="253"/>
      <c r="B44" s="344" t="str">
        <f t="shared" ref="B44:B52" si="0">B13</f>
        <v>Management</v>
      </c>
      <c r="C44" s="253"/>
      <c r="D44" s="253"/>
      <c r="E44" s="330"/>
      <c r="F44" s="253"/>
      <c r="G44" s="260"/>
      <c r="H44" s="253"/>
      <c r="I44" s="104"/>
      <c r="J44" s="72"/>
      <c r="K44" s="72"/>
      <c r="L44" s="72"/>
      <c r="M44" s="105"/>
      <c r="N44" s="253"/>
    </row>
    <row r="45" spans="1:16">
      <c r="A45" s="253"/>
      <c r="B45" s="265" t="str">
        <f t="shared" si="0"/>
        <v xml:space="preserve">  Management Supervision</v>
      </c>
      <c r="C45" s="85">
        <v>0.1</v>
      </c>
      <c r="D45" s="85">
        <v>0.1</v>
      </c>
      <c r="E45" s="85">
        <v>0.1</v>
      </c>
      <c r="F45" s="253"/>
      <c r="G45" s="260"/>
      <c r="H45" s="253"/>
      <c r="I45" s="104" t="s">
        <v>26</v>
      </c>
      <c r="J45" s="72"/>
      <c r="K45" s="131">
        <f>D40</f>
        <v>0</v>
      </c>
      <c r="L45" s="72"/>
      <c r="M45" s="132" t="e">
        <f>M43*(1+K45)</f>
        <v>#REF!</v>
      </c>
      <c r="N45" s="253"/>
    </row>
    <row r="46" spans="1:16" ht="13.5" thickBot="1">
      <c r="A46" s="253"/>
      <c r="B46" s="265" t="str">
        <f t="shared" si="0"/>
        <v xml:space="preserve">  Specialty Site Manager</v>
      </c>
      <c r="C46" s="85">
        <v>1</v>
      </c>
      <c r="D46" s="85">
        <v>1</v>
      </c>
      <c r="E46" s="85">
        <v>1</v>
      </c>
      <c r="F46" s="253"/>
      <c r="G46" s="260"/>
      <c r="H46" s="253"/>
      <c r="I46" s="570" t="str">
        <f>B35</f>
        <v xml:space="preserve">  Meals / Food***</v>
      </c>
      <c r="J46" s="72"/>
      <c r="K46" s="597">
        <f>D35</f>
        <v>8.16</v>
      </c>
      <c r="L46" s="571"/>
      <c r="M46" s="575">
        <f>K46*M9</f>
        <v>14892</v>
      </c>
      <c r="N46" s="253"/>
    </row>
    <row r="47" spans="1:16" ht="13.5" thickTop="1">
      <c r="A47" s="253"/>
      <c r="B47" s="344" t="str">
        <f t="shared" si="0"/>
        <v>Medical and Clinical</v>
      </c>
      <c r="C47" s="85"/>
      <c r="D47" s="85"/>
      <c r="E47" s="85"/>
      <c r="F47" s="253"/>
      <c r="G47" s="260"/>
      <c r="H47" s="253"/>
      <c r="I47" s="104"/>
      <c r="J47" s="72"/>
      <c r="K47" s="131"/>
      <c r="L47" s="72"/>
      <c r="M47" s="132" t="e">
        <f>SUM(M45:M46)</f>
        <v>#REF!</v>
      </c>
      <c r="N47" s="253"/>
    </row>
    <row r="48" spans="1:16">
      <c r="A48" s="253"/>
      <c r="B48" s="265" t="str">
        <f t="shared" si="0"/>
        <v xml:space="preserve">  RN</v>
      </c>
      <c r="C48" s="85">
        <v>1</v>
      </c>
      <c r="D48" s="85">
        <v>1.25</v>
      </c>
      <c r="E48" s="85">
        <v>1.5</v>
      </c>
      <c r="F48" s="253"/>
      <c r="G48" s="260"/>
      <c r="H48" s="253"/>
      <c r="I48" s="104"/>
      <c r="J48" s="72"/>
      <c r="K48" s="72"/>
      <c r="L48" s="72"/>
      <c r="M48" s="136"/>
      <c r="N48" s="253"/>
    </row>
    <row r="49" spans="1:14" ht="13.5" thickBot="1">
      <c r="A49" s="253"/>
      <c r="B49" s="265" t="str">
        <f t="shared" si="0"/>
        <v xml:space="preserve">  Certified Nursing Assistant (CNA)</v>
      </c>
      <c r="C49" s="85">
        <v>3</v>
      </c>
      <c r="D49" s="85">
        <v>4.2</v>
      </c>
      <c r="E49" s="85">
        <v>5.4</v>
      </c>
      <c r="F49" s="253"/>
      <c r="G49" s="260"/>
      <c r="H49" s="253"/>
      <c r="I49" s="550"/>
      <c r="J49" s="548"/>
      <c r="K49" s="548"/>
      <c r="L49" s="549"/>
      <c r="M49" s="590"/>
      <c r="N49" s="253"/>
    </row>
    <row r="50" spans="1:14" ht="13.5" thickBot="1">
      <c r="A50" s="253"/>
      <c r="B50" s="344" t="str">
        <f t="shared" si="0"/>
        <v>Direct Care</v>
      </c>
      <c r="C50" s="85"/>
      <c r="D50" s="85"/>
      <c r="E50" s="85"/>
      <c r="F50" s="253"/>
      <c r="G50" s="260"/>
      <c r="H50" s="253"/>
      <c r="I50" s="584" t="s">
        <v>600</v>
      </c>
      <c r="J50" s="585"/>
      <c r="K50" s="585"/>
      <c r="L50" s="585"/>
      <c r="M50" s="589" t="e">
        <f>M47/M9</f>
        <v>#REF!</v>
      </c>
      <c r="N50" s="253"/>
    </row>
    <row r="51" spans="1:14">
      <c r="A51" s="253"/>
      <c r="B51" s="265" t="str">
        <f t="shared" si="0"/>
        <v xml:space="preserve">  DC Blended (DC I + II + III)</v>
      </c>
      <c r="C51" s="85">
        <v>6</v>
      </c>
      <c r="D51" s="85">
        <v>8.4</v>
      </c>
      <c r="E51" s="85">
        <v>10.6</v>
      </c>
      <c r="F51" s="253"/>
      <c r="G51" s="260"/>
      <c r="H51" s="253"/>
      <c r="I51" s="253"/>
      <c r="J51" s="253"/>
      <c r="K51" s="253"/>
      <c r="L51" s="253" t="s">
        <v>783</v>
      </c>
      <c r="M51" s="907">
        <v>386.73</v>
      </c>
      <c r="N51" s="253"/>
    </row>
    <row r="52" spans="1:14">
      <c r="A52" s="253"/>
      <c r="B52" s="265" t="str">
        <f t="shared" si="0"/>
        <v xml:space="preserve">  Relief</v>
      </c>
      <c r="C52" s="85">
        <f>D9*C51</f>
        <v>0.92307692307692313</v>
      </c>
      <c r="D52" s="85">
        <f>D51*D9</f>
        <v>1.2923076923076924</v>
      </c>
      <c r="E52" s="85">
        <v>1.66</v>
      </c>
      <c r="F52" s="253"/>
      <c r="G52" s="320"/>
      <c r="H52" s="253"/>
      <c r="I52" s="253"/>
      <c r="J52" s="253"/>
      <c r="K52" s="253"/>
      <c r="L52" s="253"/>
      <c r="M52" s="482"/>
      <c r="N52" s="253"/>
    </row>
    <row r="53" spans="1:14">
      <c r="A53" s="253"/>
      <c r="B53" s="265"/>
      <c r="C53" s="85"/>
      <c r="D53" s="85"/>
      <c r="E53" s="85"/>
      <c r="F53" s="253"/>
      <c r="G53" s="260"/>
      <c r="H53" s="253"/>
      <c r="I53" s="253"/>
      <c r="J53" s="253"/>
      <c r="K53" s="253"/>
      <c r="L53" s="253"/>
      <c r="M53" s="482" t="e">
        <f>M50-M51</f>
        <v>#REF!</v>
      </c>
      <c r="N53" s="253"/>
    </row>
    <row r="54" spans="1:14" ht="40.35" customHeight="1" thickBot="1">
      <c r="A54" s="253"/>
      <c r="B54" s="265" t="str">
        <f>B28</f>
        <v xml:space="preserve">  Occupational Therapist</v>
      </c>
      <c r="C54" s="85">
        <v>0.5</v>
      </c>
      <c r="D54" s="85">
        <v>1</v>
      </c>
      <c r="E54" s="85">
        <v>1.5</v>
      </c>
      <c r="F54" s="253"/>
      <c r="G54" s="260"/>
      <c r="H54" s="253"/>
      <c r="I54" s="253"/>
      <c r="J54" s="253"/>
      <c r="K54" s="253"/>
      <c r="L54" s="253"/>
      <c r="M54" s="482"/>
      <c r="N54" s="253"/>
    </row>
    <row r="55" spans="1:14" ht="13.5" thickBot="1">
      <c r="A55" s="253"/>
      <c r="B55" s="342" t="str">
        <f>B29</f>
        <v xml:space="preserve">  LPHA</v>
      </c>
      <c r="C55" s="393">
        <v>0.5</v>
      </c>
      <c r="D55" s="393">
        <v>1</v>
      </c>
      <c r="E55" s="393">
        <v>1.5</v>
      </c>
      <c r="F55" s="261"/>
      <c r="G55" s="262"/>
      <c r="H55" s="253"/>
      <c r="I55" s="2588" t="s">
        <v>570</v>
      </c>
      <c r="J55" s="2589"/>
      <c r="K55" s="2589"/>
      <c r="L55" s="2589"/>
      <c r="M55" s="2590"/>
      <c r="N55" s="253"/>
    </row>
    <row r="56" spans="1:14">
      <c r="A56" s="253"/>
      <c r="B56" s="2563" t="s">
        <v>598</v>
      </c>
      <c r="C56" s="2563"/>
      <c r="D56" s="2563"/>
      <c r="E56" s="2563"/>
      <c r="F56" s="2563"/>
      <c r="G56" s="2563"/>
      <c r="H56" s="253"/>
      <c r="I56" s="146" t="s">
        <v>277</v>
      </c>
      <c r="J56" s="147">
        <v>8</v>
      </c>
      <c r="K56" s="148"/>
      <c r="L56" s="149" t="s">
        <v>133</v>
      </c>
      <c r="M56" s="150">
        <f>J56*365</f>
        <v>2920</v>
      </c>
      <c r="N56" s="253"/>
    </row>
    <row r="57" spans="1:14">
      <c r="A57" s="253"/>
      <c r="B57" s="564"/>
      <c r="C57" s="98"/>
      <c r="D57" s="98"/>
      <c r="E57" s="98"/>
      <c r="F57" s="98"/>
      <c r="G57" s="98"/>
      <c r="H57" s="253"/>
      <c r="I57" s="100"/>
      <c r="J57" s="101"/>
      <c r="K57" s="4"/>
      <c r="L57" s="102"/>
      <c r="M57" s="103"/>
      <c r="N57" s="253"/>
    </row>
    <row r="58" spans="1:14">
      <c r="A58" s="253"/>
      <c r="B58" s="253"/>
      <c r="C58" s="253"/>
      <c r="D58" s="253"/>
      <c r="E58" s="253"/>
      <c r="F58" s="253"/>
      <c r="G58" s="253"/>
      <c r="H58" s="253"/>
      <c r="I58" s="106"/>
      <c r="J58" s="53"/>
      <c r="K58" s="54" t="s">
        <v>5</v>
      </c>
      <c r="L58" s="54" t="s">
        <v>6</v>
      </c>
      <c r="M58" s="107" t="s">
        <v>7</v>
      </c>
      <c r="N58" s="253"/>
    </row>
    <row r="59" spans="1:14">
      <c r="A59" s="253"/>
      <c r="B59" s="253"/>
      <c r="C59" s="253"/>
      <c r="D59" s="253"/>
      <c r="E59" s="253"/>
      <c r="F59" s="253"/>
      <c r="G59" s="253"/>
      <c r="H59" s="253"/>
      <c r="I59" s="100" t="s">
        <v>29</v>
      </c>
      <c r="J59" s="55"/>
      <c r="K59" s="56"/>
      <c r="L59" s="56"/>
      <c r="M59" s="108"/>
      <c r="N59" s="253"/>
    </row>
    <row r="60" spans="1:14">
      <c r="A60" s="253"/>
      <c r="B60" s="253"/>
      <c r="C60" s="253"/>
      <c r="D60" s="253"/>
      <c r="E60" s="253"/>
      <c r="F60" s="253"/>
      <c r="G60" s="253"/>
      <c r="H60" s="253"/>
      <c r="I60" s="109" t="str">
        <f>B14</f>
        <v xml:space="preserve">  Management Supervision</v>
      </c>
      <c r="J60" s="57"/>
      <c r="K60" s="58">
        <f>D14</f>
        <v>92496.84919424048</v>
      </c>
      <c r="L60" s="59">
        <f>D45</f>
        <v>0.1</v>
      </c>
      <c r="M60" s="110">
        <f>K60*L60</f>
        <v>9249.6849194240476</v>
      </c>
      <c r="N60" s="253"/>
    </row>
    <row r="61" spans="1:14">
      <c r="A61" s="253"/>
      <c r="B61" s="253"/>
      <c r="C61" s="253"/>
      <c r="D61" s="253"/>
      <c r="E61" s="253"/>
      <c r="F61" s="253"/>
      <c r="G61" s="253"/>
      <c r="H61" s="253"/>
      <c r="I61" s="109" t="str">
        <f>B15</f>
        <v xml:space="preserve">  Specialty Site Manager</v>
      </c>
      <c r="J61" s="57"/>
      <c r="K61" s="58" t="e">
        <f>D15</f>
        <v>#REF!</v>
      </c>
      <c r="L61" s="59">
        <f>D46</f>
        <v>1</v>
      </c>
      <c r="M61" s="110" t="e">
        <f>K61*L61</f>
        <v>#REF!</v>
      </c>
      <c r="N61" s="253"/>
    </row>
    <row r="62" spans="1:14">
      <c r="A62" s="253"/>
      <c r="B62" s="253"/>
      <c r="C62" s="253"/>
      <c r="D62" s="253"/>
      <c r="E62" s="253"/>
      <c r="F62" s="253"/>
      <c r="G62" s="253"/>
      <c r="H62" s="253"/>
      <c r="I62" s="111" t="s">
        <v>30</v>
      </c>
      <c r="J62" s="57"/>
      <c r="K62" s="58"/>
      <c r="L62" s="59"/>
      <c r="M62" s="110"/>
      <c r="N62" s="253"/>
    </row>
    <row r="63" spans="1:14">
      <c r="A63" s="253"/>
      <c r="B63" s="253"/>
      <c r="C63" s="253"/>
      <c r="D63" s="253"/>
      <c r="E63" s="253"/>
      <c r="F63" s="253"/>
      <c r="G63" s="253"/>
      <c r="H63" s="253"/>
      <c r="I63" s="109" t="str">
        <f>B17</f>
        <v xml:space="preserve">  RN</v>
      </c>
      <c r="J63" s="57"/>
      <c r="K63" s="58" t="e">
        <f>D17</f>
        <v>#REF!</v>
      </c>
      <c r="L63" s="59">
        <f>D48</f>
        <v>1.25</v>
      </c>
      <c r="M63" s="110" t="e">
        <f>K63*L63</f>
        <v>#REF!</v>
      </c>
      <c r="N63" s="253"/>
    </row>
    <row r="64" spans="1:14">
      <c r="A64" s="253"/>
      <c r="B64" s="253"/>
      <c r="C64" s="253"/>
      <c r="D64" s="253"/>
      <c r="E64" s="253"/>
      <c r="F64" s="253"/>
      <c r="G64" s="253"/>
      <c r="H64" s="253"/>
      <c r="I64" s="109" t="str">
        <f>B18</f>
        <v xml:space="preserve">  Certified Nursing Assistant (CNA)</v>
      </c>
      <c r="J64" s="57"/>
      <c r="K64" s="58">
        <f>D18</f>
        <v>39464.633164870786</v>
      </c>
      <c r="L64" s="59">
        <f>D49</f>
        <v>4.2</v>
      </c>
      <c r="M64" s="110">
        <f>K64*L64</f>
        <v>165751.45929245729</v>
      </c>
      <c r="N64" s="253"/>
    </row>
    <row r="65" spans="1:14">
      <c r="A65" s="253"/>
      <c r="B65" s="253"/>
      <c r="C65" s="253"/>
      <c r="D65" s="253"/>
      <c r="E65" s="253"/>
      <c r="F65" s="253"/>
      <c r="G65" s="253"/>
      <c r="H65" s="253"/>
      <c r="I65" s="111" t="s">
        <v>31</v>
      </c>
      <c r="J65" s="57"/>
      <c r="K65" s="58"/>
      <c r="L65" s="59"/>
      <c r="M65" s="110"/>
      <c r="N65" s="253"/>
    </row>
    <row r="66" spans="1:14">
      <c r="A66" s="253"/>
      <c r="B66" s="253"/>
      <c r="C66" s="253"/>
      <c r="D66" s="253"/>
      <c r="E66" s="253"/>
      <c r="F66" s="253"/>
      <c r="G66" s="253"/>
      <c r="H66" s="253"/>
      <c r="I66" s="109" t="str">
        <f>B20</f>
        <v xml:space="preserve">  DC Blended (DC I + II + III)</v>
      </c>
      <c r="J66" s="57"/>
      <c r="K66" s="58">
        <f>D20</f>
        <v>35063.449294968901</v>
      </c>
      <c r="L66" s="59">
        <f>D51</f>
        <v>8.4</v>
      </c>
      <c r="M66" s="110">
        <f>K66*L66</f>
        <v>294532.97407773876</v>
      </c>
      <c r="N66" s="253"/>
    </row>
    <row r="67" spans="1:14">
      <c r="A67" s="253"/>
      <c r="B67" s="253"/>
      <c r="C67" s="253"/>
      <c r="D67" s="253"/>
      <c r="E67" s="253"/>
      <c r="F67" s="253"/>
      <c r="G67" s="253"/>
      <c r="H67" s="253"/>
      <c r="I67" s="109" t="str">
        <f>B21</f>
        <v xml:space="preserve">  Relief</v>
      </c>
      <c r="J67" s="57"/>
      <c r="K67" s="58">
        <f>D21</f>
        <v>35063.449294968901</v>
      </c>
      <c r="L67" s="59">
        <f>D52</f>
        <v>1.2923076923076924</v>
      </c>
      <c r="M67" s="110">
        <f>K67*L67</f>
        <v>45312.765242729045</v>
      </c>
      <c r="N67" s="253"/>
    </row>
    <row r="68" spans="1:14">
      <c r="A68" s="253"/>
      <c r="B68" s="253"/>
      <c r="C68" s="253"/>
      <c r="D68" s="253"/>
      <c r="E68" s="253"/>
      <c r="F68" s="253"/>
      <c r="G68" s="253"/>
      <c r="H68" s="253"/>
      <c r="I68" s="114" t="s">
        <v>13</v>
      </c>
      <c r="J68" s="3"/>
      <c r="K68" s="3"/>
      <c r="L68" s="64">
        <f>SUM(L60:L67)</f>
        <v>16.242307692307694</v>
      </c>
      <c r="M68" s="115" t="e">
        <f>SUM(M60:M67)</f>
        <v>#REF!</v>
      </c>
      <c r="N68" s="253"/>
    </row>
    <row r="69" spans="1:14">
      <c r="A69" s="253"/>
      <c r="B69" s="253"/>
      <c r="C69" s="253"/>
      <c r="D69" s="253"/>
      <c r="E69" s="253"/>
      <c r="F69" s="253"/>
      <c r="G69" s="253"/>
      <c r="H69" s="253"/>
      <c r="I69" s="104"/>
      <c r="J69" s="72"/>
      <c r="K69" s="72"/>
      <c r="L69" s="72"/>
      <c r="M69" s="116"/>
      <c r="N69" s="253"/>
    </row>
    <row r="70" spans="1:14">
      <c r="A70" s="253"/>
      <c r="B70" s="253"/>
      <c r="C70" s="253"/>
      <c r="D70" s="253"/>
      <c r="E70" s="253"/>
      <c r="F70" s="253"/>
      <c r="G70" s="253"/>
      <c r="H70" s="253"/>
      <c r="I70" s="100" t="s">
        <v>15</v>
      </c>
      <c r="J70" s="72"/>
      <c r="K70" s="72"/>
      <c r="L70" s="4" t="s">
        <v>16</v>
      </c>
      <c r="M70" s="105"/>
      <c r="N70" s="253"/>
    </row>
    <row r="71" spans="1:14">
      <c r="A71" s="253"/>
      <c r="B71" s="253"/>
      <c r="C71" s="253"/>
      <c r="D71" s="253"/>
      <c r="E71" s="253"/>
      <c r="F71" s="253"/>
      <c r="G71" s="253"/>
      <c r="H71" s="253"/>
      <c r="I71" s="104" t="str">
        <f>B25</f>
        <v xml:space="preserve">  Tax and Fringe</v>
      </c>
      <c r="J71" s="72"/>
      <c r="K71" s="65" t="e">
        <f>D25</f>
        <v>#REF!</v>
      </c>
      <c r="L71" s="72"/>
      <c r="M71" s="117" t="e">
        <f>K71*M68</f>
        <v>#REF!</v>
      </c>
      <c r="N71" s="253"/>
    </row>
    <row r="72" spans="1:14">
      <c r="A72" s="253"/>
      <c r="B72" s="253"/>
      <c r="C72" s="253"/>
      <c r="D72" s="253"/>
      <c r="E72" s="253"/>
      <c r="F72" s="253"/>
      <c r="G72" s="253"/>
      <c r="H72" s="253"/>
      <c r="I72" s="114" t="s">
        <v>18</v>
      </c>
      <c r="J72" s="3"/>
      <c r="K72" s="3"/>
      <c r="L72" s="63"/>
      <c r="M72" s="118" t="e">
        <f>M68+M71</f>
        <v>#REF!</v>
      </c>
      <c r="N72" s="253"/>
    </row>
    <row r="73" spans="1:14">
      <c r="A73" s="253"/>
      <c r="B73" s="253"/>
      <c r="C73" s="253"/>
      <c r="D73" s="253"/>
      <c r="E73" s="253"/>
      <c r="F73" s="253"/>
      <c r="G73" s="253"/>
      <c r="H73" s="253"/>
      <c r="I73" s="100"/>
      <c r="J73" s="4"/>
      <c r="K73" s="4"/>
      <c r="L73" s="66"/>
      <c r="M73" s="119"/>
      <c r="N73" s="253"/>
    </row>
    <row r="74" spans="1:14">
      <c r="A74" s="253"/>
      <c r="B74" s="253"/>
      <c r="C74" s="253"/>
      <c r="D74" s="253"/>
      <c r="E74" s="253"/>
      <c r="F74" s="253"/>
      <c r="G74" s="253"/>
      <c r="H74" s="253"/>
      <c r="I74" s="106" t="s">
        <v>328</v>
      </c>
      <c r="J74" s="5"/>
      <c r="K74" s="54" t="s">
        <v>19</v>
      </c>
      <c r="L74" s="67" t="s">
        <v>20</v>
      </c>
      <c r="M74" s="120" t="s">
        <v>7</v>
      </c>
      <c r="N74" s="253"/>
    </row>
    <row r="75" spans="1:14">
      <c r="A75" s="253"/>
      <c r="B75" s="253"/>
      <c r="C75" s="253"/>
      <c r="D75" s="253"/>
      <c r="E75" s="253"/>
      <c r="F75" s="253"/>
      <c r="G75" s="253"/>
      <c r="H75" s="253"/>
      <c r="I75" s="104" t="str">
        <f>B54</f>
        <v xml:space="preserve">  Occupational Therapist</v>
      </c>
      <c r="J75" s="4"/>
      <c r="K75" s="68">
        <f>D28</f>
        <v>56.166377419662432</v>
      </c>
      <c r="L75" s="59">
        <f>D54*52</f>
        <v>52</v>
      </c>
      <c r="M75" s="292">
        <f>K75*L75</f>
        <v>2920.6516258224465</v>
      </c>
      <c r="N75" s="253"/>
    </row>
    <row r="76" spans="1:14">
      <c r="A76" s="253"/>
      <c r="B76" s="253"/>
      <c r="C76" s="253"/>
      <c r="D76" s="253"/>
      <c r="E76" s="253"/>
      <c r="F76" s="253"/>
      <c r="G76" s="253"/>
      <c r="H76" s="253"/>
      <c r="I76" s="121" t="str">
        <f>B55</f>
        <v xml:space="preserve">  LPHA</v>
      </c>
      <c r="J76" s="4"/>
      <c r="K76" s="68" t="e">
        <f>D29</f>
        <v>#REF!</v>
      </c>
      <c r="L76" s="59">
        <f>D55*52</f>
        <v>52</v>
      </c>
      <c r="M76" s="117" t="e">
        <f>K76*L76</f>
        <v>#REF!</v>
      </c>
      <c r="N76" s="253"/>
    </row>
    <row r="77" spans="1:14">
      <c r="A77" s="253"/>
      <c r="B77" s="253"/>
      <c r="C77" s="253"/>
      <c r="D77" s="253"/>
      <c r="E77" s="253"/>
      <c r="F77" s="253"/>
      <c r="G77" s="253"/>
      <c r="H77" s="253"/>
      <c r="I77" s="114" t="s">
        <v>21</v>
      </c>
      <c r="J77" s="70"/>
      <c r="K77" s="70"/>
      <c r="L77" s="70"/>
      <c r="M77" s="118" t="e">
        <f>SUM(M75:M76)</f>
        <v>#REF!</v>
      </c>
      <c r="N77" s="253"/>
    </row>
    <row r="78" spans="1:14">
      <c r="A78" s="253"/>
      <c r="B78" s="253"/>
      <c r="C78" s="253"/>
      <c r="D78" s="253"/>
      <c r="E78" s="253"/>
      <c r="F78" s="253"/>
      <c r="G78" s="253"/>
      <c r="H78" s="253"/>
      <c r="I78" s="804" t="str">
        <f>B32</f>
        <v xml:space="preserve">  Staff Training</v>
      </c>
      <c r="J78" s="801"/>
      <c r="K78" s="801"/>
      <c r="L78" s="802">
        <f>D32</f>
        <v>360</v>
      </c>
      <c r="M78" s="803">
        <f>L78*L68</f>
        <v>5847.2307692307695</v>
      </c>
      <c r="N78" s="253"/>
    </row>
    <row r="79" spans="1:14">
      <c r="A79" s="253"/>
      <c r="B79" s="253"/>
      <c r="C79" s="253"/>
      <c r="D79" s="253"/>
      <c r="E79" s="253"/>
      <c r="F79" s="253"/>
      <c r="G79" s="253"/>
      <c r="H79" s="253"/>
      <c r="I79" s="109" t="str">
        <f>B33</f>
        <v xml:space="preserve">  Transportation</v>
      </c>
      <c r="J79" s="72"/>
      <c r="K79" s="72"/>
      <c r="L79" s="122"/>
      <c r="M79" s="290">
        <f>D33</f>
        <v>6191.6539525126345</v>
      </c>
      <c r="N79" s="253"/>
    </row>
    <row r="80" spans="1:14">
      <c r="A80" s="253"/>
      <c r="B80" s="253"/>
      <c r="C80" s="253"/>
      <c r="D80" s="253"/>
      <c r="E80" s="253"/>
      <c r="F80" s="253"/>
      <c r="G80" s="253"/>
      <c r="H80" s="253"/>
      <c r="I80" s="291" t="str">
        <f>B34</f>
        <v xml:space="preserve">  Program Supplies &amp; Materials</v>
      </c>
      <c r="J80" s="72"/>
      <c r="K80" s="72"/>
      <c r="L80" s="170">
        <f>D34</f>
        <v>642.72053101483573</v>
      </c>
      <c r="M80" s="290">
        <f>L80*L68</f>
        <v>10439.264624906353</v>
      </c>
      <c r="N80" s="253"/>
    </row>
    <row r="81" spans="1:14">
      <c r="A81" s="253"/>
      <c r="B81" s="253"/>
      <c r="C81" s="253"/>
      <c r="D81" s="253"/>
      <c r="E81" s="253"/>
      <c r="F81" s="253"/>
      <c r="G81" s="253"/>
      <c r="H81" s="253"/>
      <c r="I81" s="104"/>
      <c r="J81" s="72"/>
      <c r="K81" s="72"/>
      <c r="L81" s="185">
        <f>SUM(L79:L80)</f>
        <v>642.72053101483573</v>
      </c>
      <c r="M81" s="124">
        <f>SUM(M78:M80)</f>
        <v>22478.149346649756</v>
      </c>
      <c r="N81" s="253"/>
    </row>
    <row r="82" spans="1:14">
      <c r="A82" s="253"/>
      <c r="B82" s="253"/>
      <c r="C82" s="253"/>
      <c r="D82" s="253"/>
      <c r="E82" s="253"/>
      <c r="F82" s="253"/>
      <c r="G82" s="253"/>
      <c r="H82" s="253"/>
      <c r="I82" s="104"/>
      <c r="J82" s="72"/>
      <c r="K82" s="72"/>
      <c r="L82" s="66"/>
      <c r="M82" s="125"/>
      <c r="N82" s="253"/>
    </row>
    <row r="83" spans="1:14">
      <c r="A83" s="253"/>
      <c r="B83" s="253"/>
      <c r="C83" s="253"/>
      <c r="D83" s="253"/>
      <c r="E83" s="253"/>
      <c r="F83" s="253"/>
      <c r="G83" s="253"/>
      <c r="H83" s="253"/>
      <c r="I83" s="114" t="s">
        <v>23</v>
      </c>
      <c r="J83" s="3"/>
      <c r="K83" s="3"/>
      <c r="L83" s="3"/>
      <c r="M83" s="126" t="e">
        <f>SUM(M72,M77,M81)</f>
        <v>#REF!</v>
      </c>
      <c r="N83" s="253"/>
    </row>
    <row r="84" spans="1:14">
      <c r="A84" s="253"/>
      <c r="B84" s="253"/>
      <c r="C84" s="253"/>
      <c r="D84" s="253"/>
      <c r="E84" s="253"/>
      <c r="F84" s="253"/>
      <c r="G84" s="253"/>
      <c r="H84" s="253"/>
      <c r="I84" s="104"/>
      <c r="J84" s="72"/>
      <c r="K84" s="72"/>
      <c r="L84" s="72"/>
      <c r="M84" s="105"/>
      <c r="N84" s="253"/>
    </row>
    <row r="85" spans="1:14">
      <c r="A85" s="253"/>
      <c r="B85" s="253"/>
      <c r="C85" s="253"/>
      <c r="D85" s="253"/>
      <c r="E85" s="253"/>
      <c r="F85" s="253"/>
      <c r="G85" s="253"/>
      <c r="H85" s="253"/>
      <c r="I85" s="104" t="s">
        <v>24</v>
      </c>
      <c r="J85" s="72"/>
      <c r="K85" s="187">
        <f>D37</f>
        <v>0.12</v>
      </c>
      <c r="L85" s="72"/>
      <c r="M85" s="117" t="e">
        <f>K85*M83</f>
        <v>#REF!</v>
      </c>
      <c r="N85" s="253"/>
    </row>
    <row r="86" spans="1:14">
      <c r="A86" s="253"/>
      <c r="B86" s="253"/>
      <c r="C86" s="253"/>
      <c r="D86" s="253"/>
      <c r="E86" s="253"/>
      <c r="F86" s="253"/>
      <c r="G86" s="253"/>
      <c r="H86" s="253"/>
      <c r="I86" s="104"/>
      <c r="J86" s="72"/>
      <c r="K86" s="72"/>
      <c r="L86" s="72"/>
      <c r="M86" s="128"/>
      <c r="N86" s="253"/>
    </row>
    <row r="87" spans="1:14" ht="13.5" thickBot="1">
      <c r="A87" s="253"/>
      <c r="B87" s="253"/>
      <c r="C87" s="253"/>
      <c r="D87" s="253"/>
      <c r="E87" s="253"/>
      <c r="F87" s="253"/>
      <c r="G87" s="253"/>
      <c r="H87" s="253"/>
      <c r="I87" s="129" t="s">
        <v>25</v>
      </c>
      <c r="J87" s="74"/>
      <c r="K87" s="74"/>
      <c r="L87" s="74"/>
      <c r="M87" s="130" t="e">
        <f>SUM(M83:M85)</f>
        <v>#REF!</v>
      </c>
      <c r="N87" s="253"/>
    </row>
    <row r="88" spans="1:14" s="255" customFormat="1" ht="13.5" thickTop="1">
      <c r="A88" s="253"/>
      <c r="B88" s="253"/>
      <c r="C88" s="253"/>
      <c r="D88" s="253"/>
      <c r="E88" s="253"/>
      <c r="F88" s="253"/>
      <c r="G88" s="253"/>
      <c r="H88" s="253"/>
      <c r="I88" s="104" t="s">
        <v>26</v>
      </c>
      <c r="J88" s="72"/>
      <c r="K88" s="131">
        <f>D40</f>
        <v>0</v>
      </c>
      <c r="L88" s="72"/>
      <c r="M88" s="132" t="e">
        <f>M87*(1+K88)</f>
        <v>#REF!</v>
      </c>
      <c r="N88" s="253"/>
    </row>
    <row r="89" spans="1:14" s="255" customFormat="1" ht="13.5" thickBot="1">
      <c r="A89" s="253"/>
      <c r="B89" s="253"/>
      <c r="C89" s="253"/>
      <c r="D89" s="253"/>
      <c r="E89" s="253"/>
      <c r="F89" s="253"/>
      <c r="G89" s="253"/>
      <c r="H89" s="253"/>
      <c r="I89" s="570" t="str">
        <f>B35</f>
        <v xml:space="preserve">  Meals / Food***</v>
      </c>
      <c r="J89" s="571"/>
      <c r="K89" s="597">
        <f>D35</f>
        <v>8.16</v>
      </c>
      <c r="L89" s="571"/>
      <c r="M89" s="575">
        <f>K89*M56</f>
        <v>23827.200000000001</v>
      </c>
      <c r="N89" s="253"/>
    </row>
    <row r="90" spans="1:14" s="255" customFormat="1" ht="13.5" thickTop="1">
      <c r="A90" s="253"/>
      <c r="B90" s="253"/>
      <c r="C90" s="253"/>
      <c r="D90" s="253"/>
      <c r="E90" s="253"/>
      <c r="F90" s="253"/>
      <c r="G90" s="253"/>
      <c r="H90" s="253"/>
      <c r="I90" s="104"/>
      <c r="J90" s="72"/>
      <c r="K90" s="131"/>
      <c r="L90" s="72"/>
      <c r="M90" s="132" t="e">
        <f>M89+M88</f>
        <v>#REF!</v>
      </c>
      <c r="N90" s="253"/>
    </row>
    <row r="91" spans="1:14" s="255" customFormat="1">
      <c r="A91" s="253"/>
      <c r="B91" s="253"/>
      <c r="C91" s="253"/>
      <c r="D91" s="253"/>
      <c r="E91" s="253"/>
      <c r="F91" s="253"/>
      <c r="G91" s="253"/>
      <c r="H91" s="253"/>
      <c r="I91" s="104"/>
      <c r="J91" s="72"/>
      <c r="K91" s="72"/>
      <c r="L91" s="72"/>
      <c r="M91" s="136"/>
      <c r="N91" s="253"/>
    </row>
    <row r="92" spans="1:14" s="255" customFormat="1" ht="13.5" thickBot="1">
      <c r="A92" s="253"/>
      <c r="B92" s="253"/>
      <c r="C92" s="253"/>
      <c r="D92" s="253"/>
      <c r="E92" s="253"/>
      <c r="F92" s="253"/>
      <c r="G92" s="253"/>
      <c r="H92" s="253"/>
      <c r="I92" s="550"/>
      <c r="J92" s="548"/>
      <c r="K92" s="548"/>
      <c r="L92" s="549"/>
      <c r="M92" s="590"/>
      <c r="N92" s="253"/>
    </row>
    <row r="93" spans="1:14" s="255" customFormat="1" ht="13.5" thickBot="1">
      <c r="A93" s="253"/>
      <c r="B93" s="253"/>
      <c r="C93" s="253"/>
      <c r="D93" s="253"/>
      <c r="E93" s="253"/>
      <c r="F93" s="253"/>
      <c r="G93" s="253"/>
      <c r="H93" s="253"/>
      <c r="I93" s="584" t="s">
        <v>600</v>
      </c>
      <c r="J93" s="586"/>
      <c r="K93" s="586"/>
      <c r="L93" s="587"/>
      <c r="M93" s="588" t="e">
        <f>M90/M56</f>
        <v>#REF!</v>
      </c>
      <c r="N93" s="253"/>
    </row>
    <row r="94" spans="1:14" s="255" customFormat="1">
      <c r="A94" s="253"/>
      <c r="B94" s="253"/>
      <c r="C94" s="253"/>
      <c r="D94" s="253"/>
      <c r="E94" s="253"/>
      <c r="F94" s="253"/>
      <c r="G94" s="253"/>
      <c r="H94" s="253"/>
      <c r="I94" s="72"/>
      <c r="J94" s="72"/>
      <c r="K94" s="72"/>
      <c r="L94" s="253" t="s">
        <v>783</v>
      </c>
      <c r="M94" s="907">
        <v>322.33221474231175</v>
      </c>
      <c r="N94" s="253"/>
    </row>
    <row r="95" spans="1:14" s="255" customFormat="1">
      <c r="A95" s="253"/>
      <c r="B95" s="8"/>
      <c r="C95" s="253"/>
      <c r="D95" s="253"/>
      <c r="E95" s="253"/>
      <c r="F95" s="253"/>
      <c r="G95" s="253"/>
      <c r="H95" s="253"/>
      <c r="I95" s="72"/>
      <c r="J95" s="72"/>
      <c r="K95" s="72"/>
      <c r="L95" s="73"/>
      <c r="M95" s="871" t="e">
        <f>(M93-M94)/M94</f>
        <v>#REF!</v>
      </c>
      <c r="N95" s="253"/>
    </row>
    <row r="96" spans="1:14" s="255" customFormat="1">
      <c r="A96" s="253"/>
      <c r="B96" s="8"/>
      <c r="C96" s="253"/>
      <c r="D96" s="253"/>
      <c r="E96" s="253"/>
      <c r="F96" s="253"/>
      <c r="G96" s="253"/>
      <c r="H96" s="253"/>
      <c r="I96" s="72"/>
      <c r="J96" s="72"/>
      <c r="K96" s="72"/>
      <c r="L96" s="73"/>
      <c r="M96" s="871"/>
      <c r="N96" s="253"/>
    </row>
    <row r="97" spans="1:14" s="255" customFormat="1" ht="13.5" thickBot="1">
      <c r="A97" s="253"/>
      <c r="B97" s="253"/>
      <c r="C97" s="253"/>
      <c r="D97" s="253"/>
      <c r="E97" s="253"/>
      <c r="F97" s="253"/>
      <c r="G97" s="253"/>
      <c r="H97" s="253"/>
      <c r="I97" s="253"/>
      <c r="J97" s="253"/>
      <c r="K97" s="253"/>
      <c r="L97" s="253"/>
      <c r="M97" s="593"/>
      <c r="N97" s="253"/>
    </row>
    <row r="98" spans="1:14" s="255" customFormat="1" ht="13.5" thickBot="1">
      <c r="A98" s="253"/>
      <c r="B98" s="253"/>
      <c r="C98" s="253"/>
      <c r="D98" s="253"/>
      <c r="E98" s="253"/>
      <c r="F98" s="253"/>
      <c r="G98" s="253"/>
      <c r="H98" s="253"/>
      <c r="I98" s="2588" t="s">
        <v>571</v>
      </c>
      <c r="J98" s="2589"/>
      <c r="K98" s="2589"/>
      <c r="L98" s="2589"/>
      <c r="M98" s="2590"/>
      <c r="N98" s="253"/>
    </row>
    <row r="99" spans="1:14" s="255" customFormat="1">
      <c r="A99" s="253"/>
      <c r="B99" s="253"/>
      <c r="C99" s="253"/>
      <c r="D99" s="253"/>
      <c r="E99" s="253"/>
      <c r="F99" s="253"/>
      <c r="G99" s="253"/>
      <c r="H99" s="253"/>
      <c r="I99" s="146" t="s">
        <v>277</v>
      </c>
      <c r="J99" s="147">
        <v>11</v>
      </c>
      <c r="K99" s="148"/>
      <c r="L99" s="149" t="s">
        <v>133</v>
      </c>
      <c r="M99" s="150">
        <f>J99*365</f>
        <v>4015</v>
      </c>
      <c r="N99" s="253"/>
    </row>
    <row r="100" spans="1:14" s="255" customFormat="1">
      <c r="A100" s="253"/>
      <c r="B100" s="253"/>
      <c r="C100" s="253"/>
      <c r="D100" s="253"/>
      <c r="E100" s="253"/>
      <c r="F100" s="253"/>
      <c r="G100" s="253"/>
      <c r="H100" s="253"/>
      <c r="I100" s="100"/>
      <c r="J100" s="101"/>
      <c r="K100" s="4"/>
      <c r="L100" s="102"/>
      <c r="M100" s="103"/>
      <c r="N100" s="253"/>
    </row>
    <row r="101" spans="1:14" s="255" customFormat="1">
      <c r="A101" s="253"/>
      <c r="B101" s="253"/>
      <c r="C101" s="253"/>
      <c r="D101" s="253"/>
      <c r="E101" s="253"/>
      <c r="F101" s="253"/>
      <c r="G101" s="253"/>
      <c r="H101" s="253"/>
      <c r="I101" s="106"/>
      <c r="J101" s="53"/>
      <c r="K101" s="54" t="s">
        <v>5</v>
      </c>
      <c r="L101" s="54" t="s">
        <v>6</v>
      </c>
      <c r="M101" s="107" t="s">
        <v>7</v>
      </c>
      <c r="N101" s="253"/>
    </row>
    <row r="102" spans="1:14" s="255" customFormat="1">
      <c r="A102" s="253"/>
      <c r="B102" s="253"/>
      <c r="C102" s="253"/>
      <c r="D102" s="253"/>
      <c r="E102" s="253"/>
      <c r="F102" s="253"/>
      <c r="G102" s="253"/>
      <c r="H102" s="253"/>
      <c r="I102" s="100" t="s">
        <v>29</v>
      </c>
      <c r="J102" s="55"/>
      <c r="K102" s="56"/>
      <c r="L102" s="56"/>
      <c r="M102" s="108"/>
      <c r="N102" s="253"/>
    </row>
    <row r="103" spans="1:14" s="255" customFormat="1">
      <c r="A103" s="253"/>
      <c r="B103" s="253"/>
      <c r="C103" s="253"/>
      <c r="D103" s="253"/>
      <c r="E103" s="253"/>
      <c r="F103" s="253"/>
      <c r="G103" s="253"/>
      <c r="H103" s="253"/>
      <c r="I103" s="109" t="str">
        <f>B45</f>
        <v xml:space="preserve">  Management Supervision</v>
      </c>
      <c r="J103" s="57"/>
      <c r="K103" s="58">
        <f>D14</f>
        <v>92496.84919424048</v>
      </c>
      <c r="L103" s="59">
        <f>E45</f>
        <v>0.1</v>
      </c>
      <c r="M103" s="110">
        <f>K103*L103</f>
        <v>9249.6849194240476</v>
      </c>
      <c r="N103" s="253"/>
    </row>
    <row r="104" spans="1:14" s="255" customFormat="1">
      <c r="A104" s="253"/>
      <c r="B104" s="253"/>
      <c r="C104" s="253"/>
      <c r="D104" s="253"/>
      <c r="E104" s="253"/>
      <c r="F104" s="253"/>
      <c r="G104" s="253"/>
      <c r="H104" s="253"/>
      <c r="I104" s="109" t="str">
        <f t="shared" ref="I104:I110" si="1">B46</f>
        <v xml:space="preserve">  Specialty Site Manager</v>
      </c>
      <c r="J104" s="57"/>
      <c r="K104" s="58" t="e">
        <f>D15</f>
        <v>#REF!</v>
      </c>
      <c r="L104" s="59">
        <f t="shared" ref="L104:L110" si="2">E46</f>
        <v>1</v>
      </c>
      <c r="M104" s="110" t="e">
        <f>K104*L104</f>
        <v>#REF!</v>
      </c>
      <c r="N104" s="253"/>
    </row>
    <row r="105" spans="1:14" s="255" customFormat="1">
      <c r="A105" s="253"/>
      <c r="B105" s="253"/>
      <c r="C105" s="253"/>
      <c r="D105" s="253"/>
      <c r="E105" s="253"/>
      <c r="F105" s="253"/>
      <c r="G105" s="253"/>
      <c r="H105" s="253"/>
      <c r="I105" s="111" t="str">
        <f t="shared" si="1"/>
        <v>Medical and Clinical</v>
      </c>
      <c r="J105" s="57"/>
      <c r="K105" s="58"/>
      <c r="L105" s="59"/>
      <c r="M105" s="110"/>
      <c r="N105" s="253"/>
    </row>
    <row r="106" spans="1:14" s="255" customFormat="1">
      <c r="A106" s="253"/>
      <c r="B106" s="253"/>
      <c r="C106" s="253"/>
      <c r="D106" s="253"/>
      <c r="E106" s="253"/>
      <c r="F106" s="253"/>
      <c r="G106" s="253"/>
      <c r="H106" s="253"/>
      <c r="I106" s="109" t="str">
        <f t="shared" si="1"/>
        <v xml:space="preserve">  RN</v>
      </c>
      <c r="J106" s="57"/>
      <c r="K106" s="58" t="e">
        <f>D17</f>
        <v>#REF!</v>
      </c>
      <c r="L106" s="59">
        <f t="shared" si="2"/>
        <v>1.5</v>
      </c>
      <c r="M106" s="110" t="e">
        <f>K106*L106</f>
        <v>#REF!</v>
      </c>
      <c r="N106" s="253"/>
    </row>
    <row r="107" spans="1:14" s="255" customFormat="1">
      <c r="A107" s="253"/>
      <c r="B107" s="253"/>
      <c r="C107" s="253"/>
      <c r="D107" s="253"/>
      <c r="E107" s="253"/>
      <c r="F107" s="253"/>
      <c r="G107" s="253"/>
      <c r="H107" s="253"/>
      <c r="I107" s="109" t="str">
        <f t="shared" si="1"/>
        <v xml:space="preserve">  Certified Nursing Assistant (CNA)</v>
      </c>
      <c r="J107" s="57"/>
      <c r="K107" s="58">
        <f>D18</f>
        <v>39464.633164870786</v>
      </c>
      <c r="L107" s="59">
        <f t="shared" si="2"/>
        <v>5.4</v>
      </c>
      <c r="M107" s="110">
        <f>K107*L107</f>
        <v>213109.01909030226</v>
      </c>
      <c r="N107" s="253"/>
    </row>
    <row r="108" spans="1:14" s="255" customFormat="1">
      <c r="A108" s="253"/>
      <c r="B108" s="253"/>
      <c r="C108" s="253"/>
      <c r="D108" s="253"/>
      <c r="E108" s="253"/>
      <c r="F108" s="253"/>
      <c r="G108" s="253"/>
      <c r="H108" s="253"/>
      <c r="I108" s="111" t="str">
        <f t="shared" si="1"/>
        <v>Direct Care</v>
      </c>
      <c r="J108" s="57"/>
      <c r="K108" s="58"/>
      <c r="L108" s="59"/>
      <c r="M108" s="110"/>
      <c r="N108" s="253"/>
    </row>
    <row r="109" spans="1:14" s="255" customFormat="1">
      <c r="A109" s="253"/>
      <c r="B109" s="253"/>
      <c r="C109" s="253"/>
      <c r="D109" s="253"/>
      <c r="E109" s="253"/>
      <c r="F109" s="253"/>
      <c r="G109" s="253"/>
      <c r="H109" s="253"/>
      <c r="I109" s="109" t="str">
        <f t="shared" si="1"/>
        <v xml:space="preserve">  DC Blended (DC I + II + III)</v>
      </c>
      <c r="J109" s="57"/>
      <c r="K109" s="58">
        <f>D20</f>
        <v>35063.449294968901</v>
      </c>
      <c r="L109" s="59">
        <f t="shared" si="2"/>
        <v>10.6</v>
      </c>
      <c r="M109" s="110">
        <f>K109*L109</f>
        <v>371672.56252667034</v>
      </c>
      <c r="N109" s="253"/>
    </row>
    <row r="110" spans="1:14" s="255" customFormat="1">
      <c r="A110" s="253"/>
      <c r="B110" s="253"/>
      <c r="C110" s="253"/>
      <c r="D110" s="253"/>
      <c r="E110" s="253"/>
      <c r="F110" s="253"/>
      <c r="G110" s="253"/>
      <c r="H110" s="253"/>
      <c r="I110" s="109" t="str">
        <f t="shared" si="1"/>
        <v xml:space="preserve">  Relief</v>
      </c>
      <c r="J110" s="57"/>
      <c r="K110" s="58">
        <f>D21</f>
        <v>35063.449294968901</v>
      </c>
      <c r="L110" s="59">
        <f t="shared" si="2"/>
        <v>1.66</v>
      </c>
      <c r="M110" s="110">
        <f>K110*L110</f>
        <v>58205.325829648376</v>
      </c>
      <c r="N110" s="253"/>
    </row>
    <row r="111" spans="1:14" s="255" customFormat="1">
      <c r="A111" s="253"/>
      <c r="B111" s="253"/>
      <c r="C111" s="253"/>
      <c r="D111" s="253"/>
      <c r="E111" s="253"/>
      <c r="F111" s="253"/>
      <c r="G111" s="253"/>
      <c r="H111" s="253"/>
      <c r="I111" s="114" t="s">
        <v>13</v>
      </c>
      <c r="J111" s="3"/>
      <c r="K111" s="3"/>
      <c r="L111" s="64">
        <f>SUM(L103:L110)</f>
        <v>20.260000000000002</v>
      </c>
      <c r="M111" s="115" t="e">
        <f>SUM(M103:M110)</f>
        <v>#REF!</v>
      </c>
      <c r="N111" s="253"/>
    </row>
    <row r="112" spans="1:14" s="255" customFormat="1">
      <c r="A112" s="253"/>
      <c r="B112" s="253"/>
      <c r="C112" s="253"/>
      <c r="D112" s="253"/>
      <c r="E112" s="253"/>
      <c r="F112" s="253"/>
      <c r="G112" s="253"/>
      <c r="H112" s="253"/>
      <c r="I112" s="104"/>
      <c r="J112" s="72"/>
      <c r="K112" s="72"/>
      <c r="L112" s="72"/>
      <c r="M112" s="116"/>
      <c r="N112" s="253"/>
    </row>
    <row r="113" spans="1:14" s="255" customFormat="1">
      <c r="A113" s="253"/>
      <c r="B113" s="253"/>
      <c r="C113" s="253"/>
      <c r="D113" s="253"/>
      <c r="E113" s="253"/>
      <c r="F113" s="253"/>
      <c r="G113" s="253"/>
      <c r="H113" s="253"/>
      <c r="I113" s="100" t="s">
        <v>15</v>
      </c>
      <c r="J113" s="72"/>
      <c r="K113" s="72"/>
      <c r="L113" s="4" t="s">
        <v>16</v>
      </c>
      <c r="M113" s="105"/>
      <c r="N113" s="253"/>
    </row>
    <row r="114" spans="1:14" s="255" customFormat="1">
      <c r="A114" s="253"/>
      <c r="B114" s="253"/>
      <c r="C114" s="253"/>
      <c r="D114" s="253"/>
      <c r="E114" s="253"/>
      <c r="F114" s="253"/>
      <c r="G114" s="253"/>
      <c r="H114" s="253"/>
      <c r="I114" s="104" t="str">
        <f>B25</f>
        <v xml:space="preserve">  Tax and Fringe</v>
      </c>
      <c r="J114" s="72"/>
      <c r="K114" s="65" t="e">
        <f>D25</f>
        <v>#REF!</v>
      </c>
      <c r="L114" s="72"/>
      <c r="M114" s="117" t="e">
        <f>K114*M111</f>
        <v>#REF!</v>
      </c>
      <c r="N114" s="253"/>
    </row>
    <row r="115" spans="1:14" s="255" customFormat="1">
      <c r="A115" s="253"/>
      <c r="B115" s="253"/>
      <c r="C115" s="253"/>
      <c r="D115" s="253"/>
      <c r="E115" s="253"/>
      <c r="F115" s="253"/>
      <c r="G115" s="253"/>
      <c r="H115" s="253"/>
      <c r="I115" s="114" t="s">
        <v>18</v>
      </c>
      <c r="J115" s="3"/>
      <c r="K115" s="3"/>
      <c r="L115" s="63"/>
      <c r="M115" s="118" t="e">
        <f>M111+M114</f>
        <v>#REF!</v>
      </c>
      <c r="N115" s="253"/>
    </row>
    <row r="116" spans="1:14" s="255" customFormat="1">
      <c r="A116" s="253"/>
      <c r="B116" s="253"/>
      <c r="C116" s="253"/>
      <c r="D116" s="253"/>
      <c r="E116" s="253"/>
      <c r="F116" s="253"/>
      <c r="G116" s="253"/>
      <c r="H116" s="253"/>
      <c r="I116" s="100"/>
      <c r="J116" s="4"/>
      <c r="K116" s="4"/>
      <c r="L116" s="66"/>
      <c r="M116" s="119"/>
      <c r="N116" s="253"/>
    </row>
    <row r="117" spans="1:14" s="255" customFormat="1">
      <c r="A117" s="253"/>
      <c r="B117" s="253"/>
      <c r="C117" s="253"/>
      <c r="D117" s="253"/>
      <c r="E117" s="253"/>
      <c r="F117" s="253"/>
      <c r="G117" s="253"/>
      <c r="H117" s="253"/>
      <c r="I117" s="106" t="s">
        <v>328</v>
      </c>
      <c r="J117" s="5"/>
      <c r="K117" s="54" t="s">
        <v>19</v>
      </c>
      <c r="L117" s="67" t="s">
        <v>20</v>
      </c>
      <c r="M117" s="120" t="s">
        <v>7</v>
      </c>
      <c r="N117" s="253"/>
    </row>
    <row r="118" spans="1:14" s="255" customFormat="1">
      <c r="A118" s="253"/>
      <c r="B118" s="253"/>
      <c r="C118" s="253"/>
      <c r="D118" s="253"/>
      <c r="E118" s="253"/>
      <c r="F118" s="253"/>
      <c r="G118" s="253"/>
      <c r="H118" s="253"/>
      <c r="I118" s="104" t="str">
        <f>B28</f>
        <v xml:space="preserve">  Occupational Therapist</v>
      </c>
      <c r="J118" s="4"/>
      <c r="K118" s="68">
        <f>D28</f>
        <v>56.166377419662432</v>
      </c>
      <c r="L118" s="59">
        <f>E54*52</f>
        <v>78</v>
      </c>
      <c r="M118" s="292">
        <f>K118*L118</f>
        <v>4380.9774387336693</v>
      </c>
      <c r="N118" s="253"/>
    </row>
    <row r="119" spans="1:14" s="255" customFormat="1">
      <c r="A119" s="253"/>
      <c r="B119" s="253"/>
      <c r="C119" s="253"/>
      <c r="D119" s="253"/>
      <c r="E119" s="253"/>
      <c r="F119" s="253"/>
      <c r="G119" s="253"/>
      <c r="H119" s="253"/>
      <c r="I119" s="121" t="str">
        <f>B29</f>
        <v xml:space="preserve">  LPHA</v>
      </c>
      <c r="J119" s="4"/>
      <c r="K119" s="68" t="e">
        <f>D29</f>
        <v>#REF!</v>
      </c>
      <c r="L119" s="59">
        <f>E55*52</f>
        <v>78</v>
      </c>
      <c r="M119" s="117" t="e">
        <f>K119*L119</f>
        <v>#REF!</v>
      </c>
      <c r="N119" s="253"/>
    </row>
    <row r="120" spans="1:14" s="255" customFormat="1">
      <c r="A120" s="253"/>
      <c r="B120" s="253"/>
      <c r="C120" s="253"/>
      <c r="D120" s="253"/>
      <c r="E120" s="253"/>
      <c r="F120" s="253"/>
      <c r="G120" s="253"/>
      <c r="H120" s="253"/>
      <c r="I120" s="114" t="s">
        <v>21</v>
      </c>
      <c r="J120" s="70"/>
      <c r="K120" s="70"/>
      <c r="L120" s="70"/>
      <c r="M120" s="118" t="e">
        <f>SUM(M118:M119)</f>
        <v>#REF!</v>
      </c>
      <c r="N120" s="253"/>
    </row>
    <row r="121" spans="1:14" s="255" customFormat="1">
      <c r="A121" s="253"/>
      <c r="B121" s="253"/>
      <c r="C121" s="253"/>
      <c r="D121" s="253"/>
      <c r="E121" s="253"/>
      <c r="F121" s="253"/>
      <c r="G121" s="253"/>
      <c r="H121" s="253"/>
      <c r="I121" s="800" t="str">
        <f>B32</f>
        <v xml:space="preserve">  Staff Training</v>
      </c>
      <c r="J121" s="801"/>
      <c r="K121" s="801"/>
      <c r="L121" s="802">
        <f>D32</f>
        <v>360</v>
      </c>
      <c r="M121" s="803">
        <f>L121*L111</f>
        <v>7293.6</v>
      </c>
      <c r="N121" s="253"/>
    </row>
    <row r="122" spans="1:14" s="255" customFormat="1">
      <c r="A122" s="253"/>
      <c r="B122" s="253"/>
      <c r="C122" s="253"/>
      <c r="D122" s="253"/>
      <c r="E122" s="253"/>
      <c r="F122" s="253"/>
      <c r="G122" s="253"/>
      <c r="H122" s="253"/>
      <c r="I122" s="848" t="str">
        <f>B33</f>
        <v xml:space="preserve">  Transportation</v>
      </c>
      <c r="J122" s="4"/>
      <c r="K122" s="66"/>
      <c r="L122" s="4"/>
      <c r="M122" s="849">
        <f>D33</f>
        <v>6191.6539525126345</v>
      </c>
      <c r="N122" s="253"/>
    </row>
    <row r="123" spans="1:14" s="255" customFormat="1">
      <c r="A123" s="253"/>
      <c r="B123" s="253"/>
      <c r="C123" s="253"/>
      <c r="D123" s="253"/>
      <c r="E123" s="253"/>
      <c r="F123" s="253"/>
      <c r="G123" s="253"/>
      <c r="H123" s="253"/>
      <c r="I123" s="291" t="str">
        <f>B34</f>
        <v xml:space="preserve">  Program Supplies &amp; Materials</v>
      </c>
      <c r="J123" s="72"/>
      <c r="K123" s="72"/>
      <c r="L123" s="170">
        <f>D34</f>
        <v>642.72053101483573</v>
      </c>
      <c r="M123" s="290">
        <f>L123*L111</f>
        <v>13021.517958360573</v>
      </c>
      <c r="N123" s="253"/>
    </row>
    <row r="124" spans="1:14" s="255" customFormat="1">
      <c r="A124" s="253"/>
      <c r="B124" s="253"/>
      <c r="C124" s="253"/>
      <c r="D124" s="253"/>
      <c r="E124" s="253"/>
      <c r="F124" s="253"/>
      <c r="G124" s="253"/>
      <c r="H124" s="253"/>
      <c r="I124" s="104"/>
      <c r="J124" s="72"/>
      <c r="K124" s="72"/>
      <c r="L124" s="185">
        <f>SUM(L122:L123)</f>
        <v>642.72053101483573</v>
      </c>
      <c r="M124" s="124">
        <f>SUM(M121:M123)</f>
        <v>26506.771910873205</v>
      </c>
      <c r="N124" s="253"/>
    </row>
    <row r="125" spans="1:14" s="255" customFormat="1">
      <c r="A125" s="253"/>
      <c r="B125" s="253"/>
      <c r="C125" s="253"/>
      <c r="D125" s="253"/>
      <c r="E125" s="253"/>
      <c r="F125" s="253"/>
      <c r="G125" s="253"/>
      <c r="H125" s="253"/>
      <c r="I125" s="104"/>
      <c r="J125" s="72"/>
      <c r="K125" s="72"/>
      <c r="L125" s="66"/>
      <c r="M125" s="125"/>
      <c r="N125" s="253"/>
    </row>
    <row r="126" spans="1:14" s="255" customFormat="1">
      <c r="A126" s="253"/>
      <c r="B126" s="253"/>
      <c r="C126" s="253"/>
      <c r="D126" s="253"/>
      <c r="E126" s="253"/>
      <c r="F126" s="253"/>
      <c r="G126" s="253"/>
      <c r="H126" s="253"/>
      <c r="I126" s="114" t="s">
        <v>23</v>
      </c>
      <c r="J126" s="3"/>
      <c r="K126" s="3"/>
      <c r="L126" s="3"/>
      <c r="M126" s="126" t="e">
        <f>SUM(M115,M120,M124)</f>
        <v>#REF!</v>
      </c>
      <c r="N126" s="253"/>
    </row>
    <row r="127" spans="1:14" s="255" customFormat="1">
      <c r="A127" s="253"/>
      <c r="B127" s="253"/>
      <c r="C127" s="253"/>
      <c r="D127" s="253"/>
      <c r="E127" s="253"/>
      <c r="F127" s="253"/>
      <c r="G127" s="253"/>
      <c r="H127" s="571"/>
      <c r="I127" s="104"/>
      <c r="J127" s="72"/>
      <c r="K127" s="72"/>
      <c r="L127" s="72"/>
      <c r="M127" s="105"/>
      <c r="N127" s="253"/>
    </row>
    <row r="128" spans="1:14" s="255" customFormat="1">
      <c r="A128" s="253"/>
      <c r="B128" s="253"/>
      <c r="C128" s="253"/>
      <c r="D128" s="253"/>
      <c r="E128" s="253"/>
      <c r="F128" s="253"/>
      <c r="G128" s="253"/>
      <c r="H128" s="253"/>
      <c r="I128" s="104" t="s">
        <v>24</v>
      </c>
      <c r="J128" s="72"/>
      <c r="K128" s="187">
        <f>D37</f>
        <v>0.12</v>
      </c>
      <c r="L128" s="72"/>
      <c r="M128" s="117" t="e">
        <f>K128*M126</f>
        <v>#REF!</v>
      </c>
      <c r="N128" s="253"/>
    </row>
    <row r="129" spans="1:14" s="255" customFormat="1">
      <c r="A129" s="253"/>
      <c r="B129" s="253"/>
      <c r="C129" s="253"/>
      <c r="D129" s="253"/>
      <c r="E129" s="253"/>
      <c r="F129" s="253"/>
      <c r="G129" s="253"/>
      <c r="H129" s="253"/>
      <c r="I129" s="104"/>
      <c r="J129" s="72"/>
      <c r="K129" s="72"/>
      <c r="L129" s="72"/>
      <c r="M129" s="128"/>
      <c r="N129" s="253"/>
    </row>
    <row r="130" spans="1:14" s="255" customFormat="1" ht="13.5" thickBot="1">
      <c r="A130" s="253"/>
      <c r="B130" s="253"/>
      <c r="C130" s="253"/>
      <c r="D130" s="253"/>
      <c r="E130" s="253"/>
      <c r="F130" s="253"/>
      <c r="G130" s="253"/>
      <c r="H130" s="253"/>
      <c r="I130" s="129" t="s">
        <v>25</v>
      </c>
      <c r="J130" s="74"/>
      <c r="K130" s="74"/>
      <c r="L130" s="74"/>
      <c r="M130" s="130" t="e">
        <f>SUM(M126:M128)</f>
        <v>#REF!</v>
      </c>
      <c r="N130" s="253"/>
    </row>
    <row r="131" spans="1:14" s="255" customFormat="1" ht="13.5" thickTop="1">
      <c r="A131" s="253"/>
      <c r="B131" s="253"/>
      <c r="C131" s="253"/>
      <c r="D131" s="253"/>
      <c r="E131" s="253"/>
      <c r="F131" s="253"/>
      <c r="G131" s="253"/>
      <c r="H131" s="253"/>
      <c r="I131" s="104" t="s">
        <v>26</v>
      </c>
      <c r="J131" s="72"/>
      <c r="K131" s="131">
        <f>D40</f>
        <v>0</v>
      </c>
      <c r="L131" s="72"/>
      <c r="M131" s="132" t="e">
        <f>M130*(1+K131)</f>
        <v>#REF!</v>
      </c>
      <c r="N131" s="253"/>
    </row>
    <row r="132" spans="1:14" s="255" customFormat="1" ht="13.5" thickBot="1">
      <c r="A132" s="253"/>
      <c r="B132" s="253"/>
      <c r="C132" s="253"/>
      <c r="D132" s="253"/>
      <c r="E132" s="253"/>
      <c r="F132" s="253"/>
      <c r="G132" s="253"/>
      <c r="H132" s="253"/>
      <c r="I132" s="570" t="str">
        <f>B35</f>
        <v xml:space="preserve">  Meals / Food***</v>
      </c>
      <c r="J132" s="571"/>
      <c r="K132" s="597">
        <f>D35</f>
        <v>8.16</v>
      </c>
      <c r="L132" s="571"/>
      <c r="M132" s="575">
        <f>K132*M99</f>
        <v>32762.400000000001</v>
      </c>
      <c r="N132" s="253"/>
    </row>
    <row r="133" spans="1:14" s="255" customFormat="1" ht="13.5" thickTop="1">
      <c r="A133" s="8"/>
      <c r="B133" s="253"/>
      <c r="C133" s="253"/>
      <c r="D133" s="253"/>
      <c r="E133" s="253"/>
      <c r="F133" s="253"/>
      <c r="G133" s="253"/>
      <c r="H133" s="8"/>
      <c r="I133" s="104"/>
      <c r="J133" s="72"/>
      <c r="K133" s="131"/>
      <c r="L133" s="72"/>
      <c r="M133" s="132" t="e">
        <f>M131+M132</f>
        <v>#REF!</v>
      </c>
      <c r="N133" s="253"/>
    </row>
    <row r="134" spans="1:14" s="255" customFormat="1">
      <c r="A134" s="253"/>
      <c r="B134" s="253"/>
      <c r="C134" s="253"/>
      <c r="D134" s="253"/>
      <c r="E134" s="253"/>
      <c r="F134" s="253"/>
      <c r="G134" s="253"/>
      <c r="H134" s="8"/>
      <c r="I134" s="104"/>
      <c r="J134" s="72"/>
      <c r="K134" s="72"/>
      <c r="L134" s="72"/>
      <c r="M134" s="136"/>
      <c r="N134" s="253"/>
    </row>
    <row r="135" spans="1:14" s="255" customFormat="1" ht="13.5" thickBot="1">
      <c r="A135" s="253"/>
      <c r="B135" s="253"/>
      <c r="C135" s="253"/>
      <c r="D135" s="253"/>
      <c r="E135" s="253"/>
      <c r="F135" s="253"/>
      <c r="G135" s="253"/>
      <c r="H135" s="8"/>
      <c r="I135" s="550"/>
      <c r="J135" s="548"/>
      <c r="K135" s="548"/>
      <c r="L135" s="549"/>
      <c r="M135" s="590"/>
      <c r="N135" s="253"/>
    </row>
    <row r="136" spans="1:14" s="255" customFormat="1" ht="13.5" thickBot="1">
      <c r="A136" s="253"/>
      <c r="B136" s="253"/>
      <c r="C136" s="253"/>
      <c r="D136" s="253"/>
      <c r="E136" s="253"/>
      <c r="F136" s="253"/>
      <c r="G136" s="253"/>
      <c r="H136" s="8"/>
      <c r="I136" s="584" t="s">
        <v>600</v>
      </c>
      <c r="J136" s="585"/>
      <c r="K136" s="585"/>
      <c r="L136" s="585"/>
      <c r="M136" s="591" t="e">
        <f>M133/M99</f>
        <v>#REF!</v>
      </c>
      <c r="N136" s="253"/>
    </row>
    <row r="137" spans="1:14" s="255" customFormat="1">
      <c r="A137" s="253"/>
      <c r="B137" s="253"/>
      <c r="C137" s="253"/>
      <c r="D137" s="253"/>
      <c r="E137" s="253"/>
      <c r="F137" s="253"/>
      <c r="G137" s="253"/>
      <c r="H137" s="8"/>
      <c r="I137" s="253"/>
      <c r="J137" s="253"/>
      <c r="K137" s="253"/>
      <c r="L137" s="253" t="s">
        <v>783</v>
      </c>
      <c r="M137" s="907">
        <v>290.61</v>
      </c>
      <c r="N137" s="253"/>
    </row>
    <row r="138" spans="1:14" s="255" customFormat="1">
      <c r="A138" s="253"/>
      <c r="B138" s="253"/>
      <c r="C138" s="253"/>
      <c r="D138" s="253"/>
      <c r="E138" s="253"/>
      <c r="F138" s="253"/>
      <c r="G138" s="253"/>
      <c r="H138" s="253"/>
      <c r="I138" s="253"/>
      <c r="J138" s="253"/>
      <c r="K138" s="253"/>
      <c r="L138" s="253"/>
      <c r="M138" s="871" t="e">
        <f>M136-M137</f>
        <v>#REF!</v>
      </c>
      <c r="N138" s="253"/>
    </row>
    <row r="139" spans="1:14" s="255" customFormat="1">
      <c r="A139" s="253"/>
      <c r="B139" s="253"/>
      <c r="C139" s="253"/>
      <c r="D139" s="253"/>
      <c r="E139" s="253"/>
      <c r="F139" s="253"/>
      <c r="G139" s="253"/>
      <c r="H139" s="253"/>
      <c r="I139" s="253"/>
      <c r="J139" s="253"/>
      <c r="K139" s="253"/>
      <c r="L139" s="253"/>
      <c r="M139" s="253"/>
      <c r="N139" s="253"/>
    </row>
    <row r="140" spans="1:14" s="255" customFormat="1">
      <c r="A140" s="253"/>
      <c r="B140" s="253"/>
      <c r="C140" s="253"/>
      <c r="D140" s="253"/>
      <c r="E140" s="253"/>
      <c r="F140" s="253"/>
      <c r="G140" s="253"/>
      <c r="H140" s="253"/>
      <c r="I140" s="253"/>
      <c r="J140" s="253"/>
      <c r="K140" s="253"/>
      <c r="L140" s="253"/>
      <c r="M140" s="253"/>
      <c r="N140" s="253"/>
    </row>
    <row r="141" spans="1:14" s="255" customFormat="1">
      <c r="A141" s="253"/>
      <c r="B141" s="253"/>
      <c r="C141" s="253"/>
      <c r="D141" s="253"/>
      <c r="E141" s="253"/>
      <c r="F141" s="253"/>
      <c r="G141" s="253"/>
      <c r="H141" s="253"/>
      <c r="I141" s="253"/>
      <c r="J141" s="253"/>
      <c r="K141" s="253"/>
      <c r="L141" s="253"/>
      <c r="M141" s="253"/>
      <c r="N141" s="253"/>
    </row>
    <row r="142" spans="1:14" s="255" customFormat="1">
      <c r="A142" s="253"/>
      <c r="B142" s="253"/>
      <c r="C142" s="253"/>
      <c r="D142" s="253"/>
      <c r="E142" s="253"/>
      <c r="F142" s="253"/>
      <c r="G142" s="253"/>
      <c r="H142" s="253"/>
      <c r="I142" s="253"/>
      <c r="J142" s="253"/>
      <c r="K142" s="253"/>
      <c r="L142" s="253"/>
      <c r="M142" s="253"/>
      <c r="N142" s="253"/>
    </row>
    <row r="143" spans="1:14" s="255" customFormat="1">
      <c r="A143" s="253"/>
      <c r="B143" s="253"/>
      <c r="C143" s="253"/>
      <c r="D143" s="253"/>
      <c r="E143" s="253"/>
      <c r="F143" s="253"/>
      <c r="G143" s="253"/>
      <c r="H143" s="253"/>
      <c r="I143" s="253"/>
      <c r="J143" s="253"/>
      <c r="K143" s="253"/>
      <c r="L143" s="253"/>
      <c r="M143" s="253"/>
      <c r="N143" s="253"/>
    </row>
    <row r="144" spans="1:14" s="255" customFormat="1">
      <c r="A144" s="8"/>
      <c r="B144" s="253"/>
      <c r="C144" s="253"/>
      <c r="D144" s="253"/>
      <c r="E144" s="253"/>
      <c r="F144" s="253"/>
      <c r="G144" s="253"/>
      <c r="H144" s="253"/>
      <c r="I144" s="253"/>
      <c r="J144" s="253"/>
      <c r="K144" s="253"/>
      <c r="L144" s="253"/>
      <c r="M144" s="253"/>
      <c r="N144" s="253"/>
    </row>
    <row r="145" spans="1:14" s="255" customFormat="1">
      <c r="A145" s="253"/>
      <c r="B145" s="253"/>
      <c r="C145" s="253"/>
      <c r="D145" s="253"/>
      <c r="E145" s="253"/>
      <c r="F145" s="253"/>
      <c r="G145" s="253"/>
      <c r="H145" s="253"/>
      <c r="I145" s="253"/>
      <c r="J145" s="253"/>
      <c r="K145" s="253"/>
      <c r="L145" s="253"/>
      <c r="M145" s="253"/>
      <c r="N145" s="253"/>
    </row>
    <row r="146" spans="1:14" s="255" customFormat="1">
      <c r="A146" s="253"/>
      <c r="B146" s="253"/>
      <c r="C146" s="253"/>
      <c r="D146" s="253"/>
      <c r="E146" s="253"/>
      <c r="F146" s="253"/>
      <c r="G146" s="253"/>
      <c r="H146" s="253"/>
      <c r="I146" s="253"/>
      <c r="J146" s="253"/>
      <c r="K146" s="253"/>
      <c r="L146" s="253"/>
      <c r="M146" s="253"/>
      <c r="N146" s="253"/>
    </row>
    <row r="147" spans="1:14" s="255" customFormat="1">
      <c r="A147" s="253"/>
      <c r="B147" s="253"/>
      <c r="C147" s="253"/>
      <c r="D147" s="253"/>
      <c r="E147" s="253"/>
      <c r="F147" s="253"/>
      <c r="G147" s="253"/>
      <c r="H147" s="253"/>
      <c r="I147" s="253"/>
      <c r="J147" s="253"/>
      <c r="K147" s="253"/>
      <c r="L147" s="253"/>
      <c r="M147" s="253"/>
      <c r="N147" s="253"/>
    </row>
    <row r="148" spans="1:14" s="255" customFormat="1">
      <c r="A148" s="253"/>
      <c r="B148" s="253"/>
      <c r="C148" s="253"/>
      <c r="D148" s="253"/>
      <c r="E148" s="253"/>
      <c r="F148" s="253"/>
      <c r="G148" s="253"/>
      <c r="H148" s="253"/>
      <c r="I148" s="253"/>
      <c r="J148" s="253"/>
      <c r="K148" s="253"/>
      <c r="L148" s="253"/>
      <c r="M148" s="253"/>
      <c r="N148" s="253"/>
    </row>
    <row r="149" spans="1:14" s="255" customFormat="1">
      <c r="A149" s="253"/>
      <c r="B149" s="253"/>
      <c r="C149" s="253"/>
      <c r="D149" s="253"/>
      <c r="E149" s="253"/>
      <c r="F149" s="253"/>
      <c r="G149" s="253"/>
      <c r="H149" s="253"/>
      <c r="I149" s="253"/>
      <c r="J149" s="253"/>
      <c r="K149" s="253"/>
      <c r="L149" s="253"/>
      <c r="M149" s="253"/>
      <c r="N149" s="253"/>
    </row>
    <row r="150" spans="1:14" s="255" customFormat="1">
      <c r="A150" s="253"/>
      <c r="B150" s="253"/>
      <c r="C150" s="253"/>
      <c r="D150" s="253"/>
      <c r="E150" s="253"/>
      <c r="F150" s="253"/>
      <c r="G150" s="253"/>
      <c r="H150" s="253"/>
      <c r="I150" s="253"/>
      <c r="J150" s="253"/>
      <c r="K150" s="253"/>
      <c r="L150" s="253"/>
      <c r="M150" s="253"/>
      <c r="N150" s="253"/>
    </row>
    <row r="151" spans="1:14" s="255" customFormat="1">
      <c r="A151" s="253"/>
      <c r="B151" s="253"/>
      <c r="C151" s="253"/>
      <c r="D151" s="253"/>
      <c r="E151" s="253"/>
      <c r="F151" s="253"/>
      <c r="G151" s="253"/>
      <c r="H151" s="253"/>
      <c r="I151" s="253"/>
      <c r="J151" s="253"/>
      <c r="K151" s="253"/>
      <c r="L151" s="253"/>
      <c r="M151" s="253"/>
      <c r="N151" s="253"/>
    </row>
    <row r="152" spans="1:14" s="255" customFormat="1">
      <c r="A152" s="253"/>
      <c r="B152" s="253"/>
      <c r="C152" s="253"/>
      <c r="D152" s="253"/>
      <c r="E152" s="253"/>
      <c r="F152" s="253"/>
      <c r="G152" s="253"/>
      <c r="H152" s="253"/>
      <c r="I152" s="253"/>
      <c r="J152" s="253"/>
      <c r="K152" s="253"/>
      <c r="L152" s="253"/>
      <c r="M152" s="253"/>
      <c r="N152" s="253"/>
    </row>
    <row r="153" spans="1:14" s="255" customFormat="1">
      <c r="A153" s="253"/>
      <c r="B153" s="253"/>
      <c r="C153" s="253"/>
      <c r="D153" s="253"/>
      <c r="E153" s="253"/>
      <c r="F153" s="253"/>
      <c r="G153" s="253"/>
      <c r="H153" s="253"/>
      <c r="I153" s="253"/>
      <c r="J153" s="253"/>
      <c r="K153" s="253"/>
      <c r="L153" s="253"/>
      <c r="M153" s="253"/>
      <c r="N153" s="253"/>
    </row>
    <row r="154" spans="1:14" s="255" customFormat="1">
      <c r="A154" s="253"/>
      <c r="B154" s="253"/>
      <c r="C154" s="253"/>
      <c r="D154" s="253"/>
      <c r="E154" s="253"/>
      <c r="F154" s="253"/>
      <c r="G154" s="253"/>
      <c r="H154" s="253"/>
      <c r="I154" s="253"/>
      <c r="J154" s="253"/>
      <c r="K154" s="253"/>
      <c r="L154" s="253"/>
      <c r="M154" s="253"/>
      <c r="N154" s="253"/>
    </row>
    <row r="155" spans="1:14" s="255" customFormat="1">
      <c r="A155" s="8"/>
      <c r="B155" s="253"/>
      <c r="C155" s="253"/>
      <c r="D155" s="253"/>
      <c r="E155" s="253"/>
      <c r="F155" s="253"/>
      <c r="G155" s="253"/>
      <c r="H155" s="253"/>
      <c r="I155" s="253"/>
      <c r="J155" s="253"/>
      <c r="K155" s="253"/>
      <c r="L155" s="253"/>
      <c r="M155" s="253"/>
      <c r="N155" s="253"/>
    </row>
    <row r="156" spans="1:14" s="255" customFormat="1">
      <c r="A156" s="253"/>
      <c r="B156" s="253"/>
      <c r="C156" s="253"/>
      <c r="D156" s="253"/>
      <c r="E156" s="253"/>
      <c r="F156" s="253"/>
      <c r="G156" s="253"/>
      <c r="H156" s="253"/>
      <c r="I156" s="253"/>
      <c r="J156" s="253"/>
      <c r="K156" s="253"/>
      <c r="L156" s="253"/>
      <c r="M156" s="253"/>
      <c r="N156" s="253"/>
    </row>
    <row r="157" spans="1:14" s="255" customFormat="1">
      <c r="A157" s="253"/>
      <c r="B157" s="253"/>
      <c r="C157" s="253"/>
      <c r="D157" s="253"/>
      <c r="E157" s="253"/>
      <c r="F157" s="253"/>
      <c r="G157" s="253"/>
      <c r="H157" s="253"/>
      <c r="I157" s="253"/>
      <c r="J157" s="253"/>
      <c r="K157" s="253"/>
      <c r="L157" s="253"/>
      <c r="M157" s="253"/>
      <c r="N157" s="253"/>
    </row>
    <row r="158" spans="1:14" s="255" customFormat="1">
      <c r="A158" s="253"/>
      <c r="B158" s="253"/>
      <c r="C158" s="253"/>
      <c r="D158" s="253"/>
      <c r="E158" s="253"/>
      <c r="F158" s="253"/>
      <c r="G158" s="253"/>
      <c r="H158" s="253"/>
      <c r="I158" s="253"/>
      <c r="J158" s="253"/>
      <c r="K158" s="253"/>
      <c r="L158" s="253"/>
      <c r="M158" s="253"/>
      <c r="N158" s="253"/>
    </row>
    <row r="159" spans="1:14" s="255" customFormat="1">
      <c r="A159" s="253"/>
      <c r="B159" s="253"/>
      <c r="C159" s="253"/>
      <c r="D159" s="253"/>
      <c r="E159" s="253"/>
      <c r="F159" s="253"/>
      <c r="G159" s="253"/>
      <c r="H159" s="253"/>
      <c r="I159" s="253"/>
      <c r="J159" s="253"/>
      <c r="K159" s="253"/>
      <c r="L159" s="253"/>
      <c r="M159" s="253"/>
      <c r="N159" s="253"/>
    </row>
    <row r="160" spans="1:14" s="255" customFormat="1">
      <c r="A160" s="253"/>
      <c r="B160" s="253"/>
      <c r="C160" s="253"/>
      <c r="D160" s="253"/>
      <c r="E160" s="253"/>
      <c r="F160" s="253"/>
      <c r="G160" s="253"/>
      <c r="H160" s="253"/>
      <c r="I160" s="253"/>
      <c r="J160" s="253"/>
      <c r="K160" s="253"/>
      <c r="L160" s="253"/>
      <c r="M160" s="253"/>
      <c r="N160" s="253"/>
    </row>
    <row r="161" spans="1:14" s="255" customFormat="1">
      <c r="A161" s="253"/>
      <c r="B161" s="253"/>
      <c r="C161" s="253"/>
      <c r="D161" s="253"/>
      <c r="E161" s="253"/>
      <c r="F161" s="253"/>
      <c r="G161" s="253"/>
      <c r="H161" s="253"/>
      <c r="I161" s="253"/>
      <c r="J161" s="253"/>
      <c r="K161" s="253"/>
      <c r="L161" s="253"/>
      <c r="M161" s="253"/>
      <c r="N161" s="253"/>
    </row>
    <row r="162" spans="1:14" s="255" customFormat="1">
      <c r="A162" s="253"/>
      <c r="B162" s="253"/>
      <c r="C162" s="253"/>
      <c r="D162" s="253"/>
      <c r="E162" s="253"/>
      <c r="F162" s="253"/>
      <c r="G162" s="253"/>
      <c r="H162" s="253"/>
      <c r="I162" s="253"/>
      <c r="J162" s="253"/>
      <c r="K162" s="253"/>
      <c r="L162" s="253"/>
      <c r="M162" s="253"/>
      <c r="N162" s="253"/>
    </row>
    <row r="163" spans="1:14" s="255" customFormat="1">
      <c r="A163" s="253"/>
      <c r="B163" s="253"/>
      <c r="C163" s="253"/>
      <c r="D163" s="253"/>
      <c r="E163" s="253"/>
      <c r="F163" s="253"/>
      <c r="G163" s="253"/>
      <c r="H163" s="253"/>
      <c r="I163" s="253"/>
      <c r="J163" s="253"/>
      <c r="K163" s="253"/>
      <c r="L163" s="253"/>
      <c r="M163" s="253"/>
      <c r="N163" s="253"/>
    </row>
    <row r="164" spans="1:14" s="255" customFormat="1"/>
    <row r="165" spans="1:14" s="255" customFormat="1"/>
    <row r="166" spans="1:14" s="255" customFormat="1"/>
    <row r="167" spans="1:14" s="255" customFormat="1"/>
    <row r="168" spans="1:14" s="255" customFormat="1"/>
    <row r="169" spans="1:14" s="255" customFormat="1"/>
    <row r="170" spans="1:14" s="255" customFormat="1"/>
    <row r="171" spans="1:14" s="255" customFormat="1"/>
    <row r="172" spans="1:14" s="255" customFormat="1"/>
    <row r="173" spans="1:14" s="255" customFormat="1"/>
    <row r="174" spans="1:14" s="255" customFormat="1"/>
    <row r="175" spans="1:14" s="255" customFormat="1"/>
    <row r="176" spans="1:14" s="255" customFormat="1"/>
    <row r="177" s="255" customFormat="1"/>
    <row r="178" s="255" customFormat="1"/>
    <row r="179" s="255" customFormat="1"/>
    <row r="180" s="255" customFormat="1"/>
    <row r="181" s="255" customFormat="1"/>
    <row r="182" s="255" customFormat="1"/>
    <row r="183" s="255" customFormat="1"/>
    <row r="184" s="255" customFormat="1"/>
    <row r="185" s="255" customFormat="1"/>
    <row r="186" s="255" customFormat="1"/>
    <row r="187" s="255" customFormat="1"/>
    <row r="188" s="255" customFormat="1"/>
    <row r="189" s="255" customFormat="1"/>
    <row r="190" s="255" customFormat="1"/>
    <row r="191" s="255" customFormat="1"/>
    <row r="192" s="255" customFormat="1"/>
    <row r="193" s="255" customFormat="1"/>
    <row r="194" s="255" customFormat="1"/>
    <row r="195" s="255" customFormat="1"/>
    <row r="196" s="255" customFormat="1"/>
    <row r="197" s="255" customFormat="1"/>
    <row r="198" s="255" customFormat="1"/>
    <row r="199" s="255" customFormat="1"/>
    <row r="200" s="255" customFormat="1"/>
    <row r="201" s="255" customFormat="1"/>
    <row r="202" s="255" customFormat="1"/>
    <row r="203" s="255" customFormat="1"/>
    <row r="204" s="255" customFormat="1"/>
    <row r="205" s="255" customFormat="1"/>
    <row r="206" s="255" customFormat="1"/>
    <row r="207" s="255" customFormat="1"/>
    <row r="208" s="255" customFormat="1"/>
    <row r="209" s="255" customFormat="1"/>
    <row r="210" s="255" customFormat="1"/>
    <row r="211" s="255" customFormat="1"/>
    <row r="212" s="255" customFormat="1"/>
    <row r="213" s="255" customFormat="1"/>
    <row r="214" s="255" customFormat="1"/>
    <row r="215" s="255" customFormat="1"/>
    <row r="216" s="255" customFormat="1"/>
    <row r="217" s="255" customFormat="1"/>
    <row r="218" s="255" customFormat="1"/>
    <row r="219" s="255" customFormat="1"/>
    <row r="220" s="255" customFormat="1"/>
    <row r="221" s="255" customFormat="1"/>
    <row r="222" s="255" customFormat="1"/>
    <row r="223" s="255" customFormat="1"/>
    <row r="224" s="255" customFormat="1"/>
    <row r="225" s="255" customFormat="1"/>
    <row r="226" s="255" customFormat="1"/>
    <row r="227" s="255" customFormat="1"/>
    <row r="228" s="255" customFormat="1"/>
    <row r="229" s="255" customFormat="1"/>
    <row r="230" s="255" customFormat="1"/>
    <row r="231" s="255" customFormat="1"/>
    <row r="232" s="255" customFormat="1"/>
    <row r="233" s="255" customFormat="1"/>
    <row r="234" s="255" customFormat="1"/>
    <row r="235" s="255" customFormat="1"/>
    <row r="236" s="255" customFormat="1"/>
    <row r="237" s="255" customFormat="1"/>
    <row r="238" s="255" customFormat="1"/>
    <row r="239" s="255" customFormat="1"/>
    <row r="240" s="255" customFormat="1"/>
    <row r="241" s="255" customFormat="1"/>
    <row r="242" s="255" customFormat="1"/>
    <row r="243" s="255" customFormat="1"/>
    <row r="244" s="255" customFormat="1"/>
    <row r="245" s="255" customFormat="1"/>
    <row r="246" s="255" customFormat="1"/>
    <row r="247" s="255" customFormat="1"/>
    <row r="248" s="255" customFormat="1"/>
    <row r="249" s="255" customFormat="1"/>
    <row r="250" s="255" customFormat="1"/>
    <row r="251" s="255" customFormat="1"/>
    <row r="252" s="255" customFormat="1"/>
    <row r="253" s="255" customFormat="1"/>
    <row r="254" s="255" customFormat="1"/>
    <row r="255" s="255" customFormat="1"/>
    <row r="256" s="255" customFormat="1"/>
    <row r="257" s="255" customFormat="1"/>
    <row r="258" s="255" customFormat="1"/>
    <row r="259" s="255" customFormat="1"/>
    <row r="260" s="255" customFormat="1"/>
    <row r="261" s="255" customFormat="1"/>
    <row r="262" s="255" customFormat="1"/>
    <row r="263" s="255" customFormat="1"/>
    <row r="264" s="255" customFormat="1"/>
    <row r="265" s="255" customFormat="1"/>
    <row r="266" s="255" customFormat="1"/>
    <row r="267" s="255" customFormat="1"/>
    <row r="268" s="255" customFormat="1"/>
    <row r="269" s="255" customFormat="1"/>
    <row r="270" s="255" customFormat="1"/>
    <row r="271" s="255" customFormat="1"/>
    <row r="272" s="255" customFormat="1"/>
    <row r="273" s="255" customFormat="1"/>
    <row r="274" s="255" customFormat="1"/>
    <row r="275" s="255" customFormat="1"/>
    <row r="276" s="255" customFormat="1"/>
    <row r="277" s="255" customFormat="1"/>
    <row r="278" s="255" customFormat="1"/>
    <row r="279" s="255" customFormat="1"/>
    <row r="280" s="255" customFormat="1"/>
    <row r="281" s="255" customFormat="1"/>
    <row r="282" s="255" customFormat="1"/>
    <row r="283" s="255" customFormat="1"/>
    <row r="284" s="255" customFormat="1"/>
    <row r="285" s="255" customFormat="1"/>
    <row r="286" s="255" customFormat="1"/>
    <row r="287" s="255" customFormat="1"/>
    <row r="288" s="255" customFormat="1"/>
    <row r="289" s="255" customFormat="1"/>
    <row r="290" s="255" customFormat="1"/>
    <row r="291" s="255" customFormat="1"/>
    <row r="292" s="255" customFormat="1"/>
    <row r="293" s="255" customFormat="1"/>
    <row r="294" s="255" customFormat="1"/>
    <row r="295" s="255" customFormat="1"/>
    <row r="296" s="255" customFormat="1"/>
    <row r="297" s="255" customFormat="1"/>
    <row r="298" s="255" customFormat="1"/>
    <row r="299" s="255" customFormat="1"/>
    <row r="300" s="255" customFormat="1"/>
    <row r="301" s="255" customFormat="1"/>
    <row r="302" s="255" customFormat="1"/>
    <row r="303" s="255" customFormat="1"/>
    <row r="304" s="255" customFormat="1"/>
    <row r="305" s="255" customFormat="1"/>
    <row r="306" s="255" customFormat="1"/>
    <row r="307" s="255" customFormat="1"/>
    <row r="308" s="255" customFormat="1"/>
    <row r="309" s="255" customFormat="1"/>
    <row r="310" s="255" customFormat="1"/>
    <row r="311" s="255" customFormat="1"/>
    <row r="312" s="255" customFormat="1"/>
    <row r="313" s="255" customFormat="1"/>
    <row r="314" s="255" customFormat="1"/>
    <row r="315" s="255" customFormat="1"/>
    <row r="316" s="255" customFormat="1"/>
    <row r="317" s="255" customFormat="1"/>
    <row r="318" s="255" customFormat="1"/>
    <row r="319" s="255" customFormat="1"/>
    <row r="320" s="255" customFormat="1"/>
    <row r="321" s="255" customFormat="1"/>
    <row r="322" s="255" customFormat="1"/>
    <row r="323" s="255" customFormat="1"/>
    <row r="324" s="255" customFormat="1"/>
    <row r="325" s="255" customFormat="1"/>
    <row r="326" s="255" customFormat="1"/>
    <row r="327" s="255" customFormat="1"/>
    <row r="328" s="255" customFormat="1"/>
    <row r="329" s="255" customFormat="1"/>
    <row r="330" s="255" customFormat="1"/>
    <row r="331" s="255" customFormat="1"/>
    <row r="332" s="255" customFormat="1"/>
    <row r="333" s="255" customFormat="1"/>
    <row r="334" s="255" customFormat="1"/>
    <row r="335" s="255" customFormat="1"/>
    <row r="336" s="255" customFormat="1"/>
    <row r="337" s="255" customFormat="1"/>
    <row r="338" s="255" customFormat="1"/>
    <row r="339" s="255" customFormat="1"/>
    <row r="340" s="255" customFormat="1"/>
    <row r="341" s="255" customFormat="1"/>
    <row r="342" s="255" customFormat="1"/>
    <row r="343" s="255" customFormat="1"/>
    <row r="344" s="255" customFormat="1"/>
    <row r="345" s="255" customFormat="1"/>
    <row r="346" s="255" customFormat="1"/>
    <row r="347" s="255" customFormat="1"/>
    <row r="348" s="255" customFormat="1"/>
    <row r="349" s="255" customFormat="1"/>
    <row r="350" s="255" customFormat="1"/>
    <row r="351" s="255" customFormat="1"/>
    <row r="352" s="255" customFormat="1"/>
    <row r="353" s="255" customFormat="1"/>
    <row r="354" s="255" customFormat="1"/>
    <row r="355" s="255" customFormat="1"/>
    <row r="356" s="255" customFormat="1"/>
    <row r="357" s="255" customFormat="1"/>
    <row r="358" s="255" customFormat="1"/>
    <row r="359" s="255" customFormat="1"/>
    <row r="360" s="255" customFormat="1"/>
    <row r="361" s="255" customFormat="1"/>
    <row r="362" s="255" customFormat="1"/>
    <row r="363" s="255" customFormat="1"/>
    <row r="364" s="255" customFormat="1"/>
    <row r="365" s="255" customFormat="1"/>
    <row r="366" s="255" customFormat="1"/>
    <row r="367" s="255" customFormat="1"/>
    <row r="368" s="255" customFormat="1"/>
    <row r="369" s="255" customFormat="1"/>
    <row r="370" s="255" customFormat="1"/>
    <row r="371" s="255" customFormat="1"/>
    <row r="372" s="255" customFormat="1"/>
    <row r="373" s="255" customFormat="1"/>
    <row r="374" s="255" customFormat="1"/>
    <row r="375" s="255" customFormat="1"/>
    <row r="376" s="255" customFormat="1"/>
    <row r="377" s="255" customFormat="1"/>
    <row r="378" s="255" customFormat="1"/>
    <row r="379" s="255" customFormat="1"/>
    <row r="380" s="255" customFormat="1"/>
    <row r="381" s="255" customFormat="1"/>
    <row r="382" s="255" customFormat="1"/>
    <row r="383" s="255" customFormat="1"/>
    <row r="384" s="255" customFormat="1"/>
    <row r="385" s="255" customFormat="1"/>
    <row r="386" s="255" customFormat="1"/>
    <row r="387" s="255" customFormat="1"/>
    <row r="388" s="255" customFormat="1"/>
    <row r="389" s="255" customFormat="1"/>
    <row r="390" s="255" customFormat="1"/>
    <row r="391" s="255" customFormat="1"/>
    <row r="392" s="255" customFormat="1"/>
    <row r="393" s="255" customFormat="1"/>
    <row r="394" s="255" customFormat="1"/>
    <row r="395" s="255" customFormat="1"/>
    <row r="396" s="255" customFormat="1"/>
    <row r="397" s="255" customFormat="1"/>
    <row r="398" s="255" customFormat="1"/>
    <row r="399" s="255" customFormat="1"/>
    <row r="400" s="255" customFormat="1"/>
    <row r="401" s="255" customFormat="1"/>
    <row r="402" s="255" customFormat="1"/>
    <row r="403" s="255" customFormat="1"/>
    <row r="404" s="255" customFormat="1"/>
    <row r="405" s="255" customFormat="1"/>
    <row r="406" s="255" customFormat="1"/>
    <row r="407" s="255" customFormat="1"/>
    <row r="408" s="255" customFormat="1"/>
    <row r="409" s="255" customFormat="1"/>
    <row r="410" s="255" customFormat="1"/>
    <row r="411" s="255" customFormat="1"/>
    <row r="412" s="255" customFormat="1"/>
    <row r="413" s="255" customFormat="1"/>
    <row r="414" s="255" customFormat="1"/>
    <row r="415" s="255" customFormat="1"/>
    <row r="416" s="255" customFormat="1"/>
    <row r="417" s="255" customFormat="1"/>
    <row r="418" s="255" customFormat="1"/>
    <row r="419" s="255" customFormat="1"/>
    <row r="420" s="255" customFormat="1"/>
    <row r="421" s="255" customFormat="1"/>
    <row r="422" s="255" customFormat="1"/>
    <row r="423" s="255" customFormat="1"/>
    <row r="424" s="255" customFormat="1"/>
    <row r="425" s="255" customFormat="1"/>
    <row r="426" s="255" customFormat="1"/>
    <row r="427" s="255" customFormat="1"/>
    <row r="428" s="255" customFormat="1"/>
    <row r="429" s="255" customFormat="1"/>
    <row r="430" s="255" customFormat="1"/>
    <row r="431" s="255" customFormat="1"/>
    <row r="432" s="255" customFormat="1"/>
    <row r="433" s="255" customFormat="1"/>
    <row r="434" s="255" customFormat="1"/>
    <row r="435" s="255" customFormat="1"/>
    <row r="436" s="255" customFormat="1"/>
    <row r="437" s="255" customFormat="1"/>
    <row r="438" s="255" customFormat="1"/>
    <row r="439" s="255" customFormat="1"/>
    <row r="440" s="255" customFormat="1"/>
    <row r="441" s="255" customFormat="1"/>
    <row r="442" s="255" customFormat="1"/>
    <row r="443" s="255" customFormat="1"/>
    <row r="444" s="255" customFormat="1"/>
    <row r="445" s="255" customFormat="1"/>
    <row r="446" s="255" customFormat="1"/>
    <row r="447" s="255" customFormat="1"/>
    <row r="448" s="255" customFormat="1"/>
    <row r="449" s="255" customFormat="1"/>
    <row r="450" s="255" customFormat="1"/>
    <row r="451" s="255" customFormat="1"/>
    <row r="452" s="255" customFormat="1"/>
    <row r="453" s="255" customFormat="1"/>
    <row r="454" s="255" customFormat="1"/>
    <row r="455" s="255" customFormat="1"/>
    <row r="456" s="255" customFormat="1"/>
    <row r="457" s="255" customFormat="1"/>
    <row r="458" s="255" customFormat="1"/>
    <row r="459" s="255" customFormat="1"/>
    <row r="460" s="255" customFormat="1"/>
    <row r="461" s="255" customFormat="1"/>
    <row r="462" s="255" customFormat="1"/>
    <row r="463" s="255" customFormat="1"/>
    <row r="464" s="255" customFormat="1"/>
    <row r="465" s="255" customFormat="1"/>
    <row r="466" s="255" customFormat="1"/>
    <row r="467" s="255" customFormat="1"/>
    <row r="468" s="255" customFormat="1"/>
    <row r="469" s="255" customFormat="1"/>
    <row r="470" s="255" customFormat="1"/>
    <row r="471" s="255" customFormat="1"/>
    <row r="472" s="255" customFormat="1"/>
    <row r="473" s="255" customFormat="1"/>
    <row r="474" s="255" customFormat="1"/>
    <row r="475" s="255" customFormat="1"/>
    <row r="476" s="255" customFormat="1"/>
    <row r="477" s="255" customFormat="1"/>
    <row r="478" s="255" customFormat="1"/>
    <row r="479" s="255" customFormat="1"/>
    <row r="480" s="255" customFormat="1"/>
    <row r="481" s="255" customFormat="1"/>
    <row r="482" s="255" customFormat="1"/>
    <row r="483" s="255" customFormat="1"/>
    <row r="484" s="255" customFormat="1"/>
    <row r="485" s="255" customFormat="1"/>
    <row r="486" s="255" customFormat="1"/>
    <row r="487" s="255" customFormat="1"/>
    <row r="488" s="255" customFormat="1"/>
    <row r="489" s="255" customFormat="1"/>
    <row r="490" s="255" customFormat="1"/>
    <row r="491" s="255" customFormat="1"/>
    <row r="492" s="255" customFormat="1"/>
    <row r="493" s="255" customFormat="1"/>
    <row r="494" s="255" customFormat="1"/>
    <row r="495" s="255" customFormat="1"/>
    <row r="496" s="255" customFormat="1"/>
    <row r="497" s="255" customFormat="1"/>
    <row r="498" s="255" customFormat="1"/>
    <row r="499" s="255" customFormat="1"/>
    <row r="500" s="255" customFormat="1"/>
    <row r="501" s="255" customFormat="1"/>
    <row r="502" s="255" customFormat="1"/>
    <row r="503" s="255" customFormat="1"/>
    <row r="504" s="255" customFormat="1"/>
    <row r="505" s="255" customFormat="1"/>
    <row r="506" s="255" customFormat="1"/>
    <row r="507" s="255" customFormat="1"/>
    <row r="508" s="255" customFormat="1"/>
    <row r="509" s="255" customFormat="1"/>
    <row r="510" s="255" customFormat="1"/>
    <row r="511" s="255" customFormat="1"/>
    <row r="512" s="255" customFormat="1"/>
    <row r="513" spans="2:13">
      <c r="B513" s="255"/>
      <c r="C513" s="255"/>
      <c r="D513" s="255"/>
      <c r="E513" s="255"/>
      <c r="F513" s="255"/>
      <c r="G513" s="255"/>
      <c r="I513" s="255"/>
      <c r="J513" s="255"/>
      <c r="K513" s="255"/>
      <c r="L513" s="255"/>
      <c r="M513" s="255"/>
    </row>
    <row r="514" spans="2:13">
      <c r="B514" s="255"/>
      <c r="C514" s="255"/>
      <c r="D514" s="255"/>
      <c r="E514" s="255"/>
      <c r="F514" s="255"/>
      <c r="G514" s="255"/>
      <c r="I514" s="255"/>
      <c r="J514" s="255"/>
      <c r="K514" s="255"/>
      <c r="L514" s="255"/>
      <c r="M514" s="255"/>
    </row>
    <row r="515" spans="2:13">
      <c r="I515" s="255"/>
      <c r="J515" s="255"/>
      <c r="K515" s="255"/>
      <c r="L515" s="255"/>
      <c r="M515" s="255"/>
    </row>
    <row r="516" spans="2:13">
      <c r="I516" s="255"/>
      <c r="J516" s="255"/>
      <c r="K516" s="255"/>
      <c r="L516" s="255"/>
      <c r="M516" s="255"/>
    </row>
  </sheetData>
  <mergeCells count="7">
    <mergeCell ref="I1:M1"/>
    <mergeCell ref="B1:G1"/>
    <mergeCell ref="I8:M8"/>
    <mergeCell ref="I55:M55"/>
    <mergeCell ref="I98:M98"/>
    <mergeCell ref="B56:G56"/>
    <mergeCell ref="G15:G16"/>
  </mergeCells>
  <printOptions horizontalCentered="1" verticalCentered="1"/>
  <pageMargins left="0.25" right="0.25" top="0" bottom="0" header="0.3" footer="0"/>
  <pageSetup scale="75" fitToHeight="2" orientation="landscape" r:id="rId1"/>
  <headerFooter>
    <oddFooter>&amp;R&amp;P of &amp;N</oddFooter>
  </headerFooter>
  <rowBreaks count="2" manualBreakCount="2">
    <brk id="54" min="8" max="12" man="1"/>
    <brk id="93" max="16383" man="1"/>
  </rowBreaks>
  <ignoredErrors>
    <ignoredError sqref="H7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3"/>
  <sheetViews>
    <sheetView topLeftCell="A7" workbookViewId="0">
      <selection activeCell="B21" sqref="B21"/>
    </sheetView>
  </sheetViews>
  <sheetFormatPr defaultRowHeight="15"/>
  <cols>
    <col min="1" max="1" width="35.5703125" customWidth="1"/>
    <col min="2" max="2" width="6" customWidth="1"/>
    <col min="3" max="3" width="6" bestFit="1" customWidth="1"/>
    <col min="4" max="4" width="8" bestFit="1" customWidth="1"/>
    <col min="5" max="5" width="8.42578125" bestFit="1" customWidth="1"/>
    <col min="6" max="6" width="6.5703125" bestFit="1" customWidth="1"/>
    <col min="9" max="9" width="27.5703125" customWidth="1"/>
  </cols>
  <sheetData>
    <row r="1" spans="1:14">
      <c r="A1" s="818" t="s">
        <v>745</v>
      </c>
    </row>
    <row r="2" spans="1:14">
      <c r="A2" s="819" t="s">
        <v>746</v>
      </c>
    </row>
    <row r="3" spans="1:14">
      <c r="A3" s="819" t="s">
        <v>747</v>
      </c>
    </row>
    <row r="4" spans="1:14">
      <c r="A4" s="819" t="s">
        <v>748</v>
      </c>
    </row>
    <row r="5" spans="1:14" ht="18.75" thickBot="1">
      <c r="A5" s="820"/>
      <c r="I5" s="2471" t="s">
        <v>767</v>
      </c>
      <c r="J5" s="2471"/>
      <c r="K5" s="2471"/>
      <c r="L5" s="2471"/>
      <c r="M5" s="2471"/>
      <c r="N5" s="2471"/>
    </row>
    <row r="6" spans="1:14" ht="15.75" thickBot="1">
      <c r="A6" s="821"/>
      <c r="B6" s="822"/>
      <c r="C6" s="823" t="s">
        <v>318</v>
      </c>
      <c r="D6" s="2469" t="s">
        <v>749</v>
      </c>
      <c r="E6" s="2470"/>
      <c r="F6" s="823" t="s">
        <v>318</v>
      </c>
      <c r="I6" s="821"/>
      <c r="J6" s="822"/>
      <c r="K6" s="823" t="s">
        <v>318</v>
      </c>
      <c r="L6" s="2469" t="s">
        <v>749</v>
      </c>
      <c r="M6" s="2470"/>
      <c r="N6" s="823" t="s">
        <v>318</v>
      </c>
    </row>
    <row r="7" spans="1:14" ht="46.5" thickTop="1" thickBot="1">
      <c r="A7" s="824"/>
      <c r="B7" s="825" t="s">
        <v>750</v>
      </c>
      <c r="C7" s="825" t="s">
        <v>751</v>
      </c>
      <c r="D7" s="825" t="s">
        <v>752</v>
      </c>
      <c r="E7" s="825" t="s">
        <v>753</v>
      </c>
      <c r="F7" s="825" t="s">
        <v>754</v>
      </c>
      <c r="I7" s="824"/>
      <c r="J7" s="825" t="s">
        <v>750</v>
      </c>
      <c r="K7" s="825" t="s">
        <v>751</v>
      </c>
      <c r="L7" s="825" t="s">
        <v>752</v>
      </c>
      <c r="M7" s="825" t="s">
        <v>753</v>
      </c>
      <c r="N7" s="825" t="s">
        <v>754</v>
      </c>
    </row>
    <row r="8" spans="1:14" ht="15.75" thickBot="1">
      <c r="A8" s="824" t="s">
        <v>755</v>
      </c>
      <c r="B8" s="826">
        <v>284.3</v>
      </c>
      <c r="C8" s="827"/>
      <c r="D8" s="827"/>
      <c r="E8" s="827"/>
      <c r="F8" s="827"/>
      <c r="I8" s="824" t="s">
        <v>755</v>
      </c>
      <c r="J8" s="826">
        <v>284.3</v>
      </c>
      <c r="K8" s="827"/>
      <c r="L8" s="827"/>
      <c r="M8" s="827"/>
      <c r="N8" s="827"/>
    </row>
    <row r="9" spans="1:14" ht="15.75" thickBot="1">
      <c r="A9" s="824" t="s">
        <v>756</v>
      </c>
      <c r="B9" s="825"/>
      <c r="C9" s="828">
        <v>61.7</v>
      </c>
      <c r="D9" s="825"/>
      <c r="E9" s="825"/>
      <c r="F9" s="825"/>
      <c r="I9" s="824" t="s">
        <v>756</v>
      </c>
      <c r="J9" s="825"/>
      <c r="K9" s="828">
        <v>73.5</v>
      </c>
      <c r="L9" s="825"/>
      <c r="M9" s="825"/>
      <c r="N9" s="825"/>
    </row>
    <row r="10" spans="1:14" ht="29.25" thickBot="1">
      <c r="A10" s="824" t="s">
        <v>757</v>
      </c>
      <c r="B10" s="827"/>
      <c r="C10" s="826">
        <v>16</v>
      </c>
      <c r="D10" s="826">
        <v>-8</v>
      </c>
      <c r="E10" s="827"/>
      <c r="F10" s="827"/>
      <c r="I10" s="824" t="s">
        <v>757</v>
      </c>
      <c r="J10" s="827"/>
      <c r="K10" s="826">
        <v>16</v>
      </c>
      <c r="L10" s="826">
        <v>-8</v>
      </c>
      <c r="M10" s="827"/>
      <c r="N10" s="827"/>
    </row>
    <row r="11" spans="1:14" ht="15.75" thickBot="1">
      <c r="A11" s="824" t="s">
        <v>758</v>
      </c>
      <c r="B11" s="825"/>
      <c r="C11" s="828">
        <v>4.5</v>
      </c>
      <c r="D11" s="825"/>
      <c r="E11" s="825"/>
      <c r="F11" s="825"/>
      <c r="I11" s="824" t="s">
        <v>758</v>
      </c>
      <c r="J11" s="825"/>
      <c r="K11" s="828">
        <v>4.5</v>
      </c>
      <c r="L11" s="825"/>
      <c r="M11" s="825"/>
      <c r="N11" s="825"/>
    </row>
    <row r="12" spans="1:14" ht="15.75" thickBot="1">
      <c r="A12" s="824" t="s">
        <v>759</v>
      </c>
      <c r="B12" s="827"/>
      <c r="C12" s="826">
        <v>1</v>
      </c>
      <c r="D12" s="827"/>
      <c r="E12" s="827"/>
      <c r="F12" s="827"/>
      <c r="I12" s="824" t="s">
        <v>759</v>
      </c>
      <c r="J12" s="827"/>
      <c r="K12" s="826">
        <v>1</v>
      </c>
      <c r="L12" s="827"/>
      <c r="M12" s="827"/>
      <c r="N12" s="827"/>
    </row>
    <row r="13" spans="1:14" ht="15.75" thickBot="1">
      <c r="A13" s="824" t="s">
        <v>760</v>
      </c>
      <c r="B13" s="825"/>
      <c r="C13" s="829"/>
      <c r="D13" s="828">
        <v>-5</v>
      </c>
      <c r="E13" s="825"/>
      <c r="F13" s="825"/>
      <c r="I13" s="824" t="s">
        <v>760</v>
      </c>
      <c r="J13" s="825"/>
      <c r="K13" s="829"/>
      <c r="L13" s="828">
        <v>-5</v>
      </c>
      <c r="M13" s="825"/>
      <c r="N13" s="825"/>
    </row>
    <row r="14" spans="1:14" ht="15.75" thickBot="1">
      <c r="A14" s="824" t="s">
        <v>761</v>
      </c>
      <c r="B14" s="827"/>
      <c r="C14" s="827"/>
      <c r="D14" s="826">
        <v>-24</v>
      </c>
      <c r="E14" s="827"/>
      <c r="F14" s="827"/>
      <c r="I14" s="824" t="s">
        <v>761</v>
      </c>
      <c r="J14" s="827"/>
      <c r="K14" s="827"/>
      <c r="L14" s="826">
        <v>-24</v>
      </c>
      <c r="M14" s="827"/>
      <c r="N14" s="827"/>
    </row>
    <row r="15" spans="1:14" ht="15.75" thickBot="1">
      <c r="A15" s="824" t="s">
        <v>762</v>
      </c>
      <c r="B15" s="825"/>
      <c r="C15" s="825"/>
      <c r="D15" s="828">
        <v>0</v>
      </c>
      <c r="E15" s="828">
        <v>-2.2999999999999998</v>
      </c>
      <c r="F15" s="825"/>
      <c r="I15" s="824" t="s">
        <v>762</v>
      </c>
      <c r="J15" s="825"/>
      <c r="K15" s="825"/>
      <c r="L15" s="828">
        <v>0</v>
      </c>
      <c r="M15" s="828">
        <v>-2.2999999999999998</v>
      </c>
      <c r="N15" s="825"/>
    </row>
    <row r="16" spans="1:14" ht="15.75" thickBot="1">
      <c r="A16" s="824" t="s">
        <v>763</v>
      </c>
      <c r="B16" s="827"/>
      <c r="C16" s="827"/>
      <c r="D16" s="826">
        <v>0</v>
      </c>
      <c r="E16" s="826">
        <v>-7.1</v>
      </c>
      <c r="F16" s="827"/>
      <c r="I16" s="824" t="s">
        <v>763</v>
      </c>
      <c r="J16" s="827"/>
      <c r="K16" s="827"/>
      <c r="L16" s="826">
        <v>0</v>
      </c>
      <c r="M16" s="826">
        <v>-7.1</v>
      </c>
      <c r="N16" s="827"/>
    </row>
    <row r="17" spans="1:15" ht="15.75" thickBot="1">
      <c r="A17" s="830"/>
      <c r="B17" s="831">
        <v>284.3</v>
      </c>
      <c r="C17" s="831">
        <v>83.2</v>
      </c>
      <c r="D17" s="831">
        <v>-37</v>
      </c>
      <c r="E17" s="831">
        <v>-9.4</v>
      </c>
      <c r="F17" s="831">
        <v>36.799999999999997</v>
      </c>
      <c r="I17" s="830"/>
      <c r="J17" s="831">
        <v>284.3</v>
      </c>
      <c r="K17" s="831">
        <v>95</v>
      </c>
      <c r="L17" s="831">
        <v>-37</v>
      </c>
      <c r="M17" s="831">
        <v>-9.4</v>
      </c>
      <c r="N17" s="831">
        <f>K17+L17+M17</f>
        <v>48.6</v>
      </c>
    </row>
    <row r="18" spans="1:15" ht="18">
      <c r="A18" s="820"/>
      <c r="N18">
        <v>-4.25</v>
      </c>
      <c r="O18" t="s">
        <v>764</v>
      </c>
    </row>
    <row r="19" spans="1:15">
      <c r="N19">
        <v>-4.2</v>
      </c>
      <c r="O19" t="s">
        <v>766</v>
      </c>
    </row>
    <row r="20" spans="1:15" ht="15.75" thickBot="1">
      <c r="N20" s="834">
        <v>-2.2799999999999998</v>
      </c>
      <c r="O20" t="s">
        <v>765</v>
      </c>
    </row>
    <row r="21" spans="1:15" ht="15.75" thickTop="1">
      <c r="N21">
        <f>SUM(N17:N20)</f>
        <v>37.869999999999997</v>
      </c>
    </row>
    <row r="23" spans="1:15">
      <c r="N23">
        <f>N21-F17</f>
        <v>1.0700000000000003</v>
      </c>
      <c r="O23" t="s">
        <v>768</v>
      </c>
    </row>
  </sheetData>
  <mergeCells count="3">
    <mergeCell ref="D6:E6"/>
    <mergeCell ref="L6:M6"/>
    <mergeCell ref="I5:N5"/>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P201"/>
  <sheetViews>
    <sheetView tabSelected="1" topLeftCell="A94" zoomScale="80" zoomScaleNormal="80" workbookViewId="0">
      <selection activeCell="H128" sqref="H128"/>
    </sheetView>
  </sheetViews>
  <sheetFormatPr defaultColWidth="9.42578125" defaultRowHeight="12.75"/>
  <cols>
    <col min="1" max="1" width="9.42578125" style="985" customWidth="1"/>
    <col min="2" max="2" width="26.42578125" style="985" customWidth="1"/>
    <col min="3" max="3" width="9.42578125" style="985" customWidth="1"/>
    <col min="4" max="4" width="12.42578125" style="985" customWidth="1"/>
    <col min="5" max="5" width="14" style="985" customWidth="1"/>
    <col min="6" max="6" width="14.42578125" style="985" customWidth="1"/>
    <col min="7" max="7" width="14.42578125" style="985" hidden="1" customWidth="1"/>
    <col min="8" max="8" width="92.42578125" style="985" customWidth="1"/>
    <col min="9" max="9" width="3.5703125" style="985" customWidth="1"/>
    <col min="10" max="10" width="27" style="985" customWidth="1"/>
    <col min="11" max="11" width="10.42578125" style="985" customWidth="1"/>
    <col min="12" max="13" width="15.42578125" style="985" customWidth="1"/>
    <col min="14" max="14" width="20.5703125" style="985" customWidth="1"/>
    <col min="15" max="15" width="12.42578125" style="985" customWidth="1"/>
    <col min="16" max="16" width="20.42578125" style="985" customWidth="1"/>
    <col min="17" max="17" width="9.42578125" style="985"/>
    <col min="18" max="18" width="13.5703125" style="985" customWidth="1"/>
    <col min="19" max="19" width="10.5703125" style="985" customWidth="1"/>
    <col min="20" max="20" width="15.42578125" style="985" bestFit="1" customWidth="1"/>
    <col min="21" max="21" width="10.5703125" style="985" customWidth="1"/>
    <col min="22" max="22" width="15.5703125" style="985" customWidth="1"/>
    <col min="23" max="16384" width="9.42578125" style="985"/>
  </cols>
  <sheetData>
    <row r="1" spans="2:16" ht="13.5" thickBot="1">
      <c r="B1" s="2595" t="s">
        <v>546</v>
      </c>
      <c r="C1" s="2595"/>
      <c r="D1" s="2595"/>
      <c r="E1" s="2595"/>
      <c r="F1" s="2595"/>
      <c r="G1" s="2595"/>
      <c r="H1" s="2595"/>
      <c r="J1" s="2595" t="s">
        <v>380</v>
      </c>
      <c r="K1" s="2595"/>
      <c r="L1" s="2595"/>
      <c r="M1" s="2595"/>
      <c r="N1" s="2595"/>
    </row>
    <row r="2" spans="2:16" ht="13.5" thickBot="1">
      <c r="B2" s="1477"/>
    </row>
    <row r="3" spans="2:16">
      <c r="B3" s="1478" t="s">
        <v>0</v>
      </c>
      <c r="C3" s="1479" t="s">
        <v>1</v>
      </c>
      <c r="D3" s="1480" t="s">
        <v>2</v>
      </c>
      <c r="E3" s="1481"/>
    </row>
    <row r="4" spans="2:16">
      <c r="B4" s="1091" t="s">
        <v>370</v>
      </c>
      <c r="C4" s="1400">
        <v>15</v>
      </c>
      <c r="D4" s="1380">
        <f>C4*8</f>
        <v>120</v>
      </c>
      <c r="E4" s="1400"/>
    </row>
    <row r="5" spans="2:16">
      <c r="B5" s="1091" t="s">
        <v>378</v>
      </c>
      <c r="C5" s="1400">
        <v>8</v>
      </c>
      <c r="D5" s="1380">
        <f>C5*8</f>
        <v>64</v>
      </c>
      <c r="E5" s="1400"/>
    </row>
    <row r="6" spans="2:16">
      <c r="B6" s="1091" t="s">
        <v>372</v>
      </c>
      <c r="C6" s="1400">
        <v>11</v>
      </c>
      <c r="D6" s="1380">
        <f>C6*8</f>
        <v>88</v>
      </c>
      <c r="E6" s="1400"/>
    </row>
    <row r="7" spans="2:16" ht="13.5" thickBot="1">
      <c r="B7" s="142" t="s">
        <v>902</v>
      </c>
      <c r="C7" s="1400">
        <v>5</v>
      </c>
      <c r="D7" s="1381">
        <f>C7*8</f>
        <v>40</v>
      </c>
      <c r="E7" s="1400"/>
    </row>
    <row r="8" spans="2:16" ht="13.5" thickBot="1">
      <c r="B8" s="1091"/>
      <c r="C8" s="1382" t="s">
        <v>3</v>
      </c>
      <c r="D8" s="1380">
        <f>SUM(D4:D7)</f>
        <v>312</v>
      </c>
      <c r="E8" s="1400"/>
      <c r="J8" s="2596" t="s">
        <v>572</v>
      </c>
      <c r="K8" s="2597"/>
      <c r="L8" s="2597"/>
      <c r="M8" s="2597"/>
      <c r="N8" s="2598"/>
    </row>
    <row r="9" spans="2:16" ht="13.5" thickBot="1">
      <c r="B9" s="1383"/>
      <c r="C9" s="1384" t="s">
        <v>4</v>
      </c>
      <c r="D9" s="1385">
        <f>D8/(52*40)</f>
        <v>0.15</v>
      </c>
      <c r="E9" s="1482"/>
      <c r="J9" s="1478" t="s">
        <v>277</v>
      </c>
      <c r="K9" s="1479">
        <v>5</v>
      </c>
      <c r="L9" s="1483"/>
      <c r="M9" s="1484" t="s">
        <v>133</v>
      </c>
      <c r="N9" s="1485">
        <f>K9*365</f>
        <v>1825</v>
      </c>
    </row>
    <row r="10" spans="2:16" ht="13.5" thickBot="1">
      <c r="F10" s="985" t="s">
        <v>816</v>
      </c>
      <c r="J10" s="1091"/>
      <c r="N10" s="1401"/>
    </row>
    <row r="11" spans="2:16" ht="26.25" thickBot="1">
      <c r="B11" s="1402"/>
      <c r="C11" s="1486"/>
      <c r="D11" s="1486" t="s">
        <v>41</v>
      </c>
      <c r="E11" s="1386"/>
      <c r="F11" s="1487"/>
      <c r="G11" s="1386" t="s">
        <v>1164</v>
      </c>
      <c r="H11" s="1488" t="s">
        <v>278</v>
      </c>
      <c r="J11" s="1489"/>
      <c r="K11" s="1490"/>
      <c r="L11" s="1404" t="s">
        <v>5</v>
      </c>
      <c r="M11" s="1404" t="s">
        <v>6</v>
      </c>
      <c r="N11" s="1405" t="s">
        <v>7</v>
      </c>
    </row>
    <row r="12" spans="2:16">
      <c r="B12" s="1402" t="s">
        <v>29</v>
      </c>
      <c r="C12" s="1406"/>
      <c r="D12" s="1492"/>
      <c r="E12" s="1386"/>
      <c r="F12" s="1406"/>
      <c r="G12" s="1386"/>
      <c r="H12" s="1407"/>
      <c r="J12" s="1091" t="s">
        <v>29</v>
      </c>
      <c r="K12" s="1187"/>
      <c r="L12" s="1400"/>
      <c r="M12" s="1400"/>
      <c r="N12" s="1380"/>
    </row>
    <row r="13" spans="2:16">
      <c r="B13" s="1345" t="str">
        <f>'Med_Int_Spec  '!B14</f>
        <v xml:space="preserve">Program Functional Oversight </v>
      </c>
      <c r="C13" s="1408"/>
      <c r="D13" s="1409">
        <f>'Med_Int_Spec  '!D14</f>
        <v>74264</v>
      </c>
      <c r="E13" s="1387"/>
      <c r="F13" s="1313"/>
      <c r="G13" s="1387">
        <v>92496.84919424048</v>
      </c>
      <c r="H13" s="484" t="str">
        <f>'Med_Int_Spec  '!H14</f>
        <v>FY20 UFR Average for Line 101 Prg Functional Mgr</v>
      </c>
      <c r="J13" s="1091" t="str">
        <f>B13</f>
        <v xml:space="preserve">Program Functional Oversight </v>
      </c>
      <c r="K13" s="1410"/>
      <c r="L13" s="1411">
        <f>D13</f>
        <v>74264</v>
      </c>
      <c r="M13" s="1412">
        <f>C45</f>
        <v>0.1</v>
      </c>
      <c r="N13" s="1413">
        <f>L13*M13</f>
        <v>7426.4000000000005</v>
      </c>
      <c r="O13" s="1414"/>
      <c r="P13" s="1415"/>
    </row>
    <row r="14" spans="2:16">
      <c r="B14" s="1345" t="s">
        <v>402</v>
      </c>
      <c r="C14" s="1408"/>
      <c r="D14" s="1409">
        <f>'M2022 BLS SALARY CHART (53_PCT)'!C18</f>
        <v>80606.448000000004</v>
      </c>
      <c r="E14" s="1387"/>
      <c r="F14" s="1313"/>
      <c r="G14" s="1387">
        <v>60923</v>
      </c>
      <c r="H14" s="2599" t="s">
        <v>1410</v>
      </c>
      <c r="J14" s="1091" t="str">
        <f>B14</f>
        <v xml:space="preserve">  Specialty Site Manager</v>
      </c>
      <c r="K14" s="1410"/>
      <c r="L14" s="1411">
        <f>D14</f>
        <v>80606.448000000004</v>
      </c>
      <c r="M14" s="1412">
        <f>C46</f>
        <v>1</v>
      </c>
      <c r="N14" s="1413">
        <f>L14*M14</f>
        <v>80606.448000000004</v>
      </c>
      <c r="O14" s="1414"/>
      <c r="P14" s="1415"/>
    </row>
    <row r="15" spans="2:16">
      <c r="B15" s="1345" t="s">
        <v>30</v>
      </c>
      <c r="C15" s="1408"/>
      <c r="D15" s="1409"/>
      <c r="E15" s="1387"/>
      <c r="F15" s="1313"/>
      <c r="G15" s="1387"/>
      <c r="H15" s="2599"/>
      <c r="J15" s="1091" t="s">
        <v>31</v>
      </c>
      <c r="K15" s="1410"/>
      <c r="L15" s="1411"/>
      <c r="M15" s="1412"/>
      <c r="N15" s="1413"/>
      <c r="O15" s="1414"/>
      <c r="P15" s="1415"/>
    </row>
    <row r="16" spans="2:16">
      <c r="B16" s="1345" t="s">
        <v>125</v>
      </c>
      <c r="C16" s="1408"/>
      <c r="D16" s="1409">
        <f>'M2022 BLS SALARY CHART (53_PCT)'!C28</f>
        <v>101383.77600000001</v>
      </c>
      <c r="E16" s="1387"/>
      <c r="F16" s="1313"/>
      <c r="G16" s="1387">
        <v>72789.28066227409</v>
      </c>
      <c r="H16" s="1446" t="s">
        <v>1401</v>
      </c>
      <c r="J16" s="1091" t="str">
        <f>B20</f>
        <v xml:space="preserve">  DC Evening Supervisor (DC III)</v>
      </c>
      <c r="K16" s="1410"/>
      <c r="L16" s="1411">
        <f>D20</f>
        <v>53206.566400000003</v>
      </c>
      <c r="M16" s="1412">
        <f>C52</f>
        <v>1</v>
      </c>
      <c r="N16" s="1413">
        <f>L16*M16</f>
        <v>53206.566400000003</v>
      </c>
      <c r="O16" s="1414"/>
      <c r="P16" s="1415"/>
    </row>
    <row r="17" spans="2:16">
      <c r="B17" s="1388" t="s">
        <v>47</v>
      </c>
      <c r="C17" s="1418"/>
      <c r="D17" s="1818">
        <f>'M2022 BLS SALARY CHART (53_PCT)'!C18</f>
        <v>80606.448000000004</v>
      </c>
      <c r="E17" s="1387"/>
      <c r="F17" s="1313"/>
      <c r="G17" s="1387">
        <v>60923.199999999997</v>
      </c>
      <c r="H17" s="1446" t="s">
        <v>1401</v>
      </c>
      <c r="J17" s="1091" t="str">
        <f>B21</f>
        <v xml:space="preserve">  Direct Care III</v>
      </c>
      <c r="K17" s="1410"/>
      <c r="L17" s="1411">
        <f>D20</f>
        <v>53206.566400000003</v>
      </c>
      <c r="M17" s="1412">
        <f>C53</f>
        <v>5</v>
      </c>
      <c r="N17" s="1413">
        <f>M17*L17</f>
        <v>266032.83199999999</v>
      </c>
      <c r="O17" s="1414">
        <v>1.75</v>
      </c>
      <c r="P17" s="1415"/>
    </row>
    <row r="18" spans="2:16">
      <c r="B18" s="1345" t="s">
        <v>126</v>
      </c>
      <c r="C18" s="1408"/>
      <c r="D18" s="1409">
        <f>'M2022 BLS SALARY CHART (53_PCT)'!C16</f>
        <v>65676.416000000012</v>
      </c>
      <c r="E18" s="1387"/>
      <c r="F18" s="1313"/>
      <c r="G18" s="1387">
        <v>57449.599999999999</v>
      </c>
      <c r="H18" s="1446" t="s">
        <v>1401</v>
      </c>
      <c r="J18" s="1091" t="str">
        <f>B22</f>
        <v xml:space="preserve">  Direct Care </v>
      </c>
      <c r="K18" s="1410"/>
      <c r="L18" s="1411">
        <f>D22</f>
        <v>41600</v>
      </c>
      <c r="M18" s="1412">
        <f>C54</f>
        <v>5</v>
      </c>
      <c r="N18" s="1413">
        <f>L18*M18</f>
        <v>208000</v>
      </c>
      <c r="O18" s="1414">
        <v>8.25</v>
      </c>
      <c r="P18" s="1415"/>
    </row>
    <row r="19" spans="2:16">
      <c r="B19" s="1345" t="s">
        <v>31</v>
      </c>
      <c r="C19" s="1408"/>
      <c r="D19" s="1409"/>
      <c r="E19" s="1387"/>
      <c r="F19" s="1313"/>
      <c r="G19" s="1387"/>
      <c r="H19" s="1401"/>
      <c r="J19" s="1389" t="str">
        <f>B23</f>
        <v xml:space="preserve">  Relief</v>
      </c>
      <c r="K19" s="1410"/>
      <c r="L19" s="1411">
        <f>D23</f>
        <v>47403.283200000005</v>
      </c>
      <c r="M19" s="1412">
        <f>C55</f>
        <v>1.54</v>
      </c>
      <c r="N19" s="1413">
        <f>L19*M19</f>
        <v>73001.056128000011</v>
      </c>
      <c r="O19" s="1414"/>
      <c r="P19" s="1415"/>
    </row>
    <row r="20" spans="2:16">
      <c r="B20" s="1345" t="s">
        <v>909</v>
      </c>
      <c r="C20" s="1408"/>
      <c r="D20" s="1409">
        <f>'M2022 BLS SALARY CHART (53_PCT)'!C8</f>
        <v>53206.566400000003</v>
      </c>
      <c r="E20" s="1387"/>
      <c r="F20" s="1496"/>
      <c r="G20" s="1387">
        <v>41516.800000000003</v>
      </c>
      <c r="H20" s="1446" t="s">
        <v>1401</v>
      </c>
      <c r="J20" s="1419" t="s">
        <v>13</v>
      </c>
      <c r="K20" s="1420"/>
      <c r="L20" s="1420"/>
      <c r="M20" s="1135">
        <f>SUM(M13:M19)</f>
        <v>13.64</v>
      </c>
      <c r="N20" s="1421">
        <f>SUM(N13:N19)</f>
        <v>688273.30252800009</v>
      </c>
      <c r="O20" s="1414"/>
      <c r="P20" s="1415"/>
    </row>
    <row r="21" spans="2:16">
      <c r="B21" s="1345" t="s">
        <v>875</v>
      </c>
      <c r="C21" s="1408"/>
      <c r="D21" s="1409">
        <f>'M2022 BLS SALARY CHART (53_PCT)'!C8</f>
        <v>53206.566400000003</v>
      </c>
      <c r="E21" s="1387"/>
      <c r="F21" s="1496"/>
      <c r="G21" s="1387">
        <v>41516.800000000003</v>
      </c>
      <c r="H21" s="1446" t="s">
        <v>1401</v>
      </c>
      <c r="J21" s="1091"/>
      <c r="N21" s="1401"/>
      <c r="O21" s="1414"/>
      <c r="P21" s="1415"/>
    </row>
    <row r="22" spans="2:16">
      <c r="B22" s="1345" t="s">
        <v>1332</v>
      </c>
      <c r="C22" s="1408"/>
      <c r="D22" s="1409">
        <f>'M2022 BLS SALARY CHART (53_PCT)'!C6</f>
        <v>41600</v>
      </c>
      <c r="E22" s="1387"/>
      <c r="F22" s="1313"/>
      <c r="G22" s="1387">
        <v>32198.400000000001</v>
      </c>
      <c r="H22" s="1446" t="s">
        <v>1401</v>
      </c>
      <c r="J22" s="848" t="s">
        <v>15</v>
      </c>
      <c r="M22" s="1398" t="s">
        <v>16</v>
      </c>
      <c r="N22" s="1401"/>
      <c r="O22" s="1414"/>
      <c r="P22" s="1415"/>
    </row>
    <row r="23" spans="2:16">
      <c r="B23" s="1345" t="s">
        <v>349</v>
      </c>
      <c r="C23" s="1408"/>
      <c r="D23" s="1409">
        <f>'Med_Int_Spec  '!D22</f>
        <v>47403.283200000005</v>
      </c>
      <c r="E23" s="1387"/>
      <c r="F23" s="1313"/>
      <c r="G23" s="1387">
        <v>32198.400000000001</v>
      </c>
      <c r="H23" s="1446" t="s">
        <v>1402</v>
      </c>
      <c r="J23" s="1091" t="str">
        <f>B27</f>
        <v xml:space="preserve">  Tax and Fringe</v>
      </c>
      <c r="L23" s="1811">
        <f>D27</f>
        <v>0.27379999999999999</v>
      </c>
      <c r="N23" s="1422">
        <f>L23*N20</f>
        <v>188449.23023216642</v>
      </c>
      <c r="O23" s="1414"/>
      <c r="P23" s="1415"/>
    </row>
    <row r="24" spans="2:16">
      <c r="B24" s="1345"/>
      <c r="C24" s="1313"/>
      <c r="D24" s="1409"/>
      <c r="E24" s="1387"/>
      <c r="F24" s="1313"/>
      <c r="G24" s="1387"/>
      <c r="H24" s="1401"/>
      <c r="J24" s="1419" t="s">
        <v>18</v>
      </c>
      <c r="K24" s="1420"/>
      <c r="L24" s="1420"/>
      <c r="M24" s="1423"/>
      <c r="N24" s="1424">
        <f>N20+N23</f>
        <v>876722.53276016656</v>
      </c>
      <c r="O24" s="1414"/>
      <c r="P24" s="1415"/>
    </row>
    <row r="25" spans="2:16">
      <c r="B25" s="1345"/>
      <c r="C25" s="1313"/>
      <c r="D25" s="1409"/>
      <c r="E25" s="1387"/>
      <c r="F25" s="1313"/>
      <c r="G25" s="1387"/>
      <c r="H25" s="1401"/>
      <c r="J25" s="1091"/>
      <c r="M25" s="1092"/>
      <c r="N25" s="1413"/>
      <c r="O25" s="1414"/>
      <c r="P25" s="1415"/>
    </row>
    <row r="26" spans="2:16">
      <c r="B26" s="1345"/>
      <c r="C26" s="1313"/>
      <c r="D26" s="1499" t="s">
        <v>42</v>
      </c>
      <c r="E26" s="1390"/>
      <c r="F26" s="1313"/>
      <c r="G26" s="1390"/>
      <c r="H26" s="1401"/>
      <c r="J26" s="1489" t="s">
        <v>328</v>
      </c>
      <c r="K26" s="1500"/>
      <c r="L26" s="1491" t="s">
        <v>19</v>
      </c>
      <c r="M26" s="1501" t="s">
        <v>20</v>
      </c>
      <c r="N26" s="1502" t="s">
        <v>7</v>
      </c>
      <c r="O26" s="1414"/>
      <c r="P26" s="1415"/>
    </row>
    <row r="27" spans="2:16">
      <c r="B27" s="1345" t="s">
        <v>434</v>
      </c>
      <c r="C27" s="1313"/>
      <c r="D27" s="2021">
        <f>'Med_Int_Spec  '!D26</f>
        <v>0.27379999999999999</v>
      </c>
      <c r="F27" s="1313"/>
      <c r="H27" s="2578" t="s">
        <v>1403</v>
      </c>
      <c r="I27" s="2578"/>
      <c r="J27" s="2578"/>
      <c r="K27" s="2579"/>
      <c r="L27" s="1358">
        <f>D31</f>
        <v>136.75</v>
      </c>
      <c r="M27" s="1429">
        <f>C31*52</f>
        <v>52</v>
      </c>
      <c r="N27" s="1422">
        <f>L27*M27</f>
        <v>7111</v>
      </c>
      <c r="O27" s="1414"/>
      <c r="P27" s="1415"/>
    </row>
    <row r="28" spans="2:16">
      <c r="B28" s="1345"/>
      <c r="C28" s="1430"/>
      <c r="D28" s="1430"/>
      <c r="E28" s="1392"/>
      <c r="F28" s="1430"/>
      <c r="G28" s="1392"/>
      <c r="H28" s="1401"/>
      <c r="J28" s="1419" t="s">
        <v>21</v>
      </c>
      <c r="K28" s="1420"/>
      <c r="L28" s="1420"/>
      <c r="M28" s="1420"/>
      <c r="N28" s="1424">
        <f>SUM(N27:N27)</f>
        <v>7111</v>
      </c>
      <c r="O28" s="1414"/>
      <c r="P28" s="1415"/>
    </row>
    <row r="29" spans="2:16">
      <c r="B29" s="1345"/>
      <c r="C29" s="1430"/>
      <c r="D29" s="1430"/>
      <c r="E29" s="1392"/>
      <c r="F29" s="1430"/>
      <c r="G29" s="1392"/>
      <c r="H29" s="1401"/>
      <c r="J29" s="1091"/>
      <c r="M29" s="1442"/>
      <c r="N29" s="1422"/>
      <c r="O29" s="1414"/>
      <c r="P29" s="1415"/>
    </row>
    <row r="30" spans="2:16">
      <c r="B30" s="1345"/>
      <c r="C30" s="1503"/>
      <c r="D30" s="1504" t="s">
        <v>328</v>
      </c>
      <c r="E30" s="1393"/>
      <c r="F30" s="1503"/>
      <c r="G30" s="1393"/>
      <c r="H30" s="1401"/>
      <c r="J30" s="1091" t="str">
        <f>B34</f>
        <v xml:space="preserve">  Staff Training</v>
      </c>
      <c r="M30" s="1092">
        <f ca="1">D34</f>
        <v>192.10807561388694</v>
      </c>
      <c r="N30" s="1098">
        <f ca="1">M30*M20</f>
        <v>2620.3541513734181</v>
      </c>
      <c r="O30" s="1414"/>
      <c r="P30" s="1145"/>
    </row>
    <row r="31" spans="2:16">
      <c r="B31" s="1345" t="s">
        <v>125</v>
      </c>
      <c r="C31" s="1408">
        <v>1</v>
      </c>
      <c r="D31" s="1305">
        <f>'Integrated Team '!E35</f>
        <v>136.75</v>
      </c>
      <c r="E31" s="1394"/>
      <c r="F31" s="1496"/>
      <c r="G31" s="1394"/>
      <c r="H31" s="2337" t="s">
        <v>1254</v>
      </c>
      <c r="J31" s="1091" t="s">
        <v>435</v>
      </c>
      <c r="M31" s="1358">
        <f>D35</f>
        <v>2.0190812303224459</v>
      </c>
      <c r="N31" s="1359">
        <f>M31*N9</f>
        <v>3684.8232453384639</v>
      </c>
      <c r="O31" s="1414"/>
      <c r="P31" s="1415"/>
    </row>
    <row r="32" spans="2:16">
      <c r="B32" s="1345"/>
      <c r="C32" s="1433"/>
      <c r="E32" s="933"/>
      <c r="F32" s="1433"/>
      <c r="G32" s="933"/>
      <c r="H32" s="1401"/>
      <c r="J32" s="1091" t="str">
        <f>B37</f>
        <v xml:space="preserve">  Meals / Food</v>
      </c>
      <c r="M32" s="1358">
        <f>D37</f>
        <v>10.004761904761907</v>
      </c>
      <c r="N32" s="1359">
        <f>M32*N9</f>
        <v>18258.690476190481</v>
      </c>
      <c r="O32" s="1414"/>
      <c r="P32" s="1415"/>
    </row>
    <row r="33" spans="2:16" ht="15.75" customHeight="1">
      <c r="B33" s="1345"/>
      <c r="C33" s="1433"/>
      <c r="E33" s="933"/>
      <c r="F33" s="1433"/>
      <c r="G33" s="933"/>
      <c r="H33" s="1401"/>
      <c r="J33" s="1395" t="str">
        <f>B36</f>
        <v xml:space="preserve">  Program Supplies &amp; Materials</v>
      </c>
      <c r="M33" s="1434">
        <f ca="1">D36</f>
        <v>693.71474143152727</v>
      </c>
      <c r="N33" s="1359">
        <f ca="1">M33*M20</f>
        <v>9462.2690731260318</v>
      </c>
      <c r="O33" s="1414"/>
      <c r="P33" s="1415"/>
    </row>
    <row r="34" spans="2:16">
      <c r="B34" s="1345" t="str">
        <f>Med_Int_Spec!B32</f>
        <v xml:space="preserve">  Staff Training</v>
      </c>
      <c r="C34" s="1506"/>
      <c r="D34" s="1507">
        <f ca="1">'Med_Int_Spec  '!D33</f>
        <v>192.10807561388694</v>
      </c>
      <c r="E34" s="948"/>
      <c r="F34" s="1506"/>
      <c r="G34" s="948">
        <v>277.77888799999999</v>
      </c>
      <c r="H34" s="1401" t="s">
        <v>1105</v>
      </c>
      <c r="J34" s="1091"/>
      <c r="M34" s="1358"/>
      <c r="N34" s="1435">
        <f ca="1">SUM(N29:N33)</f>
        <v>34026.136946028397</v>
      </c>
      <c r="O34" s="1414"/>
      <c r="P34" s="1415"/>
    </row>
    <row r="35" spans="2:16">
      <c r="B35" s="1345" t="s">
        <v>435</v>
      </c>
      <c r="C35" s="1313"/>
      <c r="D35" s="1206">
        <f>'Med_Int_Spec  '!D34</f>
        <v>2.0190812303224459</v>
      </c>
      <c r="E35" s="1396"/>
      <c r="F35" s="1496"/>
      <c r="G35" s="1396">
        <v>6191.6539525126345</v>
      </c>
      <c r="H35" s="1816" t="s">
        <v>1306</v>
      </c>
      <c r="J35" s="1091"/>
      <c r="M35" s="1092"/>
      <c r="N35" s="1440"/>
      <c r="O35" s="1414"/>
      <c r="P35" s="1415"/>
    </row>
    <row r="36" spans="2:16">
      <c r="B36" s="1345" t="s">
        <v>454</v>
      </c>
      <c r="C36" s="1313"/>
      <c r="D36" s="1206">
        <f ca="1">'Integrated Team '!E43</f>
        <v>693.71474143152727</v>
      </c>
      <c r="E36" s="892"/>
      <c r="F36" s="1496"/>
      <c r="G36" s="892">
        <v>642.72053101483573</v>
      </c>
      <c r="H36" s="1401" t="s">
        <v>1107</v>
      </c>
      <c r="J36" s="1419" t="s">
        <v>23</v>
      </c>
      <c r="K36" s="1420"/>
      <c r="L36" s="1420"/>
      <c r="M36" s="1420"/>
      <c r="N36" s="1437">
        <f ca="1">SUM(N24,N28,N34)</f>
        <v>917859.66970619501</v>
      </c>
      <c r="O36" s="1414"/>
      <c r="P36" s="1415"/>
    </row>
    <row r="37" spans="2:16">
      <c r="B37" s="1345" t="s">
        <v>1108</v>
      </c>
      <c r="C37" s="1313"/>
      <c r="D37" s="1507">
        <f>'GLE SIE'!C33</f>
        <v>10.004761904761907</v>
      </c>
      <c r="E37" s="948"/>
      <c r="G37" s="948">
        <v>8.16</v>
      </c>
      <c r="H37" s="1438" t="s">
        <v>1104</v>
      </c>
      <c r="J37" s="1091"/>
      <c r="M37" s="1439"/>
      <c r="N37" s="1440"/>
      <c r="O37" s="1414"/>
      <c r="P37" s="1415"/>
    </row>
    <row r="38" spans="2:16">
      <c r="B38" s="1345"/>
      <c r="C38" s="1313"/>
      <c r="D38" s="1313"/>
      <c r="E38" s="1378"/>
      <c r="F38" s="1313"/>
      <c r="G38" s="1313"/>
      <c r="H38" s="1401"/>
      <c r="J38" s="1091" t="str">
        <f>B39</f>
        <v xml:space="preserve">  Admin. Allocation</v>
      </c>
      <c r="L38" s="1441">
        <f>D39</f>
        <v>0.12</v>
      </c>
      <c r="N38" s="1422">
        <f ca="1">L38*N36</f>
        <v>110143.16036474339</v>
      </c>
      <c r="O38" s="1414"/>
      <c r="P38" s="1415"/>
    </row>
    <row r="39" spans="2:16" ht="13.5" thickBot="1">
      <c r="B39" s="1345" t="s">
        <v>437</v>
      </c>
      <c r="C39" s="1313"/>
      <c r="D39" s="1428">
        <f>'Integrated Team (FY21)'!E46</f>
        <v>0.12</v>
      </c>
      <c r="E39" s="1391"/>
      <c r="F39" s="1313"/>
      <c r="G39" s="1313"/>
      <c r="H39" s="484" t="s">
        <v>1099</v>
      </c>
      <c r="J39" s="1443" t="s">
        <v>25</v>
      </c>
      <c r="K39" s="1474"/>
      <c r="L39" s="1474"/>
      <c r="M39" s="1474"/>
      <c r="N39" s="1445">
        <f ca="1">SUM(N36:N38)</f>
        <v>1028002.8300709384</v>
      </c>
      <c r="O39" s="1414"/>
      <c r="P39" s="1415"/>
    </row>
    <row r="40" spans="2:16" ht="14.25" thickTop="1" thickBot="1">
      <c r="B40" s="1345"/>
      <c r="D40" s="1428"/>
      <c r="E40" s="1391"/>
      <c r="F40" s="1313"/>
      <c r="G40" s="1313"/>
      <c r="H40" s="484"/>
      <c r="J40" s="1091" t="str">
        <f>B41</f>
        <v xml:space="preserve">CAF </v>
      </c>
      <c r="L40" s="1447">
        <f>D41</f>
        <v>2.5758086673353865E-2</v>
      </c>
      <c r="N40" s="1448">
        <f ca="1">N39+(N39*L40)-(N20*L40)</f>
        <v>1036753.6126868872</v>
      </c>
      <c r="O40" s="1449"/>
    </row>
    <row r="41" spans="2:16" ht="13.5" thickTop="1">
      <c r="B41" s="1091" t="s">
        <v>1307</v>
      </c>
      <c r="D41" s="1428">
        <f>'Med_Int_Spec  '!D40</f>
        <v>2.5758086673353865E-2</v>
      </c>
      <c r="E41" s="1391"/>
      <c r="H41" s="1401" t="s">
        <v>893</v>
      </c>
      <c r="J41" s="1091"/>
      <c r="N41" s="1462"/>
      <c r="O41" s="1414"/>
    </row>
    <row r="42" spans="2:16" ht="13.5" thickBot="1">
      <c r="B42" s="1345"/>
      <c r="C42" s="1313"/>
      <c r="D42" s="1428"/>
      <c r="E42" s="1428"/>
      <c r="F42" s="1313" t="s">
        <v>815</v>
      </c>
      <c r="G42" s="1313"/>
      <c r="H42" s="1401"/>
      <c r="J42" s="1383" t="s">
        <v>28</v>
      </c>
      <c r="K42" s="1168"/>
      <c r="L42" s="1168"/>
      <c r="M42" s="1452"/>
      <c r="N42" s="2348">
        <f ca="1">N40/N9</f>
        <v>568.08417133528064</v>
      </c>
      <c r="O42" s="1414"/>
      <c r="P42" s="1092"/>
    </row>
    <row r="43" spans="2:16">
      <c r="B43" s="1351" t="s">
        <v>35</v>
      </c>
      <c r="C43" s="1511" t="s">
        <v>424</v>
      </c>
      <c r="D43" s="1511" t="s">
        <v>425</v>
      </c>
      <c r="E43" s="1512" t="s">
        <v>426</v>
      </c>
      <c r="F43" s="1511" t="s">
        <v>424</v>
      </c>
      <c r="G43" s="1511"/>
      <c r="H43" s="1512" t="s">
        <v>426</v>
      </c>
      <c r="M43" s="1439"/>
      <c r="N43" s="2349"/>
      <c r="O43" s="1414"/>
      <c r="P43" s="1092"/>
    </row>
    <row r="44" spans="2:16">
      <c r="B44" s="1091" t="s">
        <v>29</v>
      </c>
      <c r="E44" s="1451"/>
      <c r="F44" s="1450"/>
      <c r="G44" s="1450"/>
      <c r="H44" s="1451"/>
      <c r="K44" s="1454"/>
      <c r="M44" s="1439" t="s">
        <v>783</v>
      </c>
      <c r="N44" s="1513">
        <v>467.91</v>
      </c>
      <c r="O44" s="1414"/>
      <c r="P44" s="1092"/>
    </row>
    <row r="45" spans="2:16">
      <c r="B45" s="1091" t="s">
        <v>421</v>
      </c>
      <c r="C45" s="1408">
        <v>0.1</v>
      </c>
      <c r="D45" s="1408">
        <v>0.1</v>
      </c>
      <c r="E45" s="1453">
        <v>0.1</v>
      </c>
      <c r="F45" s="1408">
        <v>0.1</v>
      </c>
      <c r="G45" s="1408"/>
      <c r="H45" s="1453">
        <v>0.1</v>
      </c>
      <c r="K45" s="1454"/>
      <c r="M45" s="1439"/>
      <c r="N45" s="1513">
        <f ca="1">N42-N44</f>
        <v>100.17417133528062</v>
      </c>
      <c r="O45" s="1145">
        <f ca="1">N45/N44</f>
        <v>0.21408854552217438</v>
      </c>
      <c r="P45" s="1092"/>
    </row>
    <row r="46" spans="2:16">
      <c r="B46" s="1091" t="s">
        <v>402</v>
      </c>
      <c r="C46" s="1408">
        <v>1</v>
      </c>
      <c r="D46" s="1408">
        <v>1.6</v>
      </c>
      <c r="E46" s="1453">
        <v>2.2000000000000002</v>
      </c>
      <c r="F46" s="1408">
        <v>1</v>
      </c>
      <c r="G46" s="1408"/>
      <c r="H46" s="1453">
        <v>2.2000000000000002</v>
      </c>
      <c r="K46" s="1454"/>
      <c r="M46" s="1439"/>
      <c r="N46" s="1513"/>
    </row>
    <row r="47" spans="2:16" ht="13.5" thickBot="1">
      <c r="B47" s="1091" t="s">
        <v>30</v>
      </c>
      <c r="C47" s="1408"/>
      <c r="D47" s="1408"/>
      <c r="E47" s="1453"/>
      <c r="F47" s="1455"/>
      <c r="G47" s="1455"/>
      <c r="H47" s="1453"/>
      <c r="J47" s="1397"/>
      <c r="K47" s="1454"/>
      <c r="M47" s="1439"/>
      <c r="N47" s="1513"/>
    </row>
    <row r="48" spans="2:16" ht="13.5" thickBot="1">
      <c r="B48" s="1091" t="s">
        <v>125</v>
      </c>
      <c r="C48" s="1408"/>
      <c r="D48" s="1408"/>
      <c r="E48" s="1453"/>
      <c r="F48" s="1408">
        <v>0.25</v>
      </c>
      <c r="G48" s="1408"/>
      <c r="H48" s="1453">
        <v>0.5</v>
      </c>
      <c r="J48" s="2592" t="s">
        <v>573</v>
      </c>
      <c r="K48" s="2593"/>
      <c r="L48" s="2593"/>
      <c r="M48" s="2593"/>
      <c r="N48" s="2594"/>
    </row>
    <row r="49" spans="2:15">
      <c r="B49" s="1091" t="s">
        <v>47</v>
      </c>
      <c r="C49" s="1408"/>
      <c r="D49" s="1408"/>
      <c r="E49" s="1453"/>
      <c r="F49" s="1418">
        <v>0.5</v>
      </c>
      <c r="G49" s="1418"/>
      <c r="H49" s="1456">
        <v>0.75</v>
      </c>
      <c r="J49" s="1478" t="s">
        <v>277</v>
      </c>
      <c r="K49" s="1479">
        <v>8</v>
      </c>
      <c r="L49" s="1483"/>
      <c r="M49" s="1484" t="s">
        <v>133</v>
      </c>
      <c r="N49" s="1485">
        <f>K49*365</f>
        <v>2920</v>
      </c>
    </row>
    <row r="50" spans="2:15">
      <c r="B50" s="1091" t="s">
        <v>126</v>
      </c>
      <c r="C50" s="1408"/>
      <c r="D50" s="1408"/>
      <c r="E50" s="1453"/>
      <c r="F50" s="1408">
        <v>0.2</v>
      </c>
      <c r="G50" s="1408"/>
      <c r="H50" s="1453">
        <v>0.4</v>
      </c>
      <c r="J50" s="1489"/>
      <c r="K50" s="1490"/>
      <c r="L50" s="1404" t="s">
        <v>5</v>
      </c>
      <c r="M50" s="1404" t="s">
        <v>6</v>
      </c>
      <c r="N50" s="1405" t="s">
        <v>7</v>
      </c>
    </row>
    <row r="51" spans="2:15">
      <c r="B51" s="1091" t="s">
        <v>31</v>
      </c>
      <c r="C51" s="1457"/>
      <c r="D51" s="1457"/>
      <c r="E51" s="1514"/>
      <c r="F51" s="1457"/>
      <c r="G51" s="1457"/>
      <c r="H51" s="1401"/>
      <c r="J51" s="1091" t="str">
        <f>B44</f>
        <v>Management</v>
      </c>
      <c r="K51" s="1187"/>
      <c r="L51" s="1400"/>
      <c r="M51" s="1400"/>
      <c r="N51" s="1380"/>
    </row>
    <row r="52" spans="2:15">
      <c r="B52" s="1091" t="str">
        <f>B20</f>
        <v xml:space="preserve">  DC Evening Supervisor (DC III)</v>
      </c>
      <c r="C52" s="1408">
        <v>1</v>
      </c>
      <c r="D52" s="1408">
        <v>1.25</v>
      </c>
      <c r="E52" s="1453">
        <v>1.5</v>
      </c>
      <c r="F52" s="1455"/>
      <c r="G52" s="1455"/>
      <c r="H52" s="1453"/>
      <c r="J52" s="1091" t="str">
        <f>B45</f>
        <v xml:space="preserve">  Management Supervision</v>
      </c>
      <c r="K52" s="1410"/>
      <c r="L52" s="1411">
        <f>D13</f>
        <v>74264</v>
      </c>
      <c r="M52" s="1412">
        <f>D45</f>
        <v>0.1</v>
      </c>
      <c r="N52" s="1413">
        <f>L52*M52</f>
        <v>7426.4000000000005</v>
      </c>
      <c r="O52" s="1410"/>
    </row>
    <row r="53" spans="2:15">
      <c r="B53" s="1091" t="s">
        <v>875</v>
      </c>
      <c r="C53" s="1408">
        <v>5</v>
      </c>
      <c r="D53" s="1408">
        <v>5.55</v>
      </c>
      <c r="E53" s="1453">
        <v>6.1</v>
      </c>
      <c r="F53" s="1408">
        <v>3.5</v>
      </c>
      <c r="G53" s="1408"/>
      <c r="H53" s="1453">
        <v>4.5999999999999996</v>
      </c>
      <c r="J53" s="1091" t="str">
        <f>B46</f>
        <v xml:space="preserve">  Specialty Site Manager</v>
      </c>
      <c r="K53" s="1410"/>
      <c r="L53" s="1411">
        <f>D14</f>
        <v>80606.448000000004</v>
      </c>
      <c r="M53" s="1412">
        <f>D46</f>
        <v>1.6</v>
      </c>
      <c r="N53" s="1413">
        <f>L53*M53</f>
        <v>128970.31680000002</v>
      </c>
      <c r="O53" s="1410"/>
    </row>
    <row r="54" spans="2:15">
      <c r="B54" s="1091" t="str">
        <f>B22</f>
        <v xml:space="preserve">  Direct Care </v>
      </c>
      <c r="C54" s="1408">
        <v>5</v>
      </c>
      <c r="D54" s="1408">
        <v>5.55</v>
      </c>
      <c r="E54" s="1453">
        <v>6.1</v>
      </c>
      <c r="F54" s="1408">
        <v>3.5</v>
      </c>
      <c r="G54" s="1408"/>
      <c r="H54" s="1453">
        <v>4.5999999999999996</v>
      </c>
      <c r="J54" s="1091" t="str">
        <f>B51</f>
        <v>Direct Care</v>
      </c>
      <c r="K54" s="1410"/>
      <c r="L54" s="1411"/>
      <c r="M54" s="1412"/>
      <c r="N54" s="1413"/>
      <c r="O54" s="1410"/>
    </row>
    <row r="55" spans="2:15">
      <c r="B55" s="1091" t="s">
        <v>349</v>
      </c>
      <c r="C55" s="1408">
        <v>1.54</v>
      </c>
      <c r="D55" s="1408">
        <v>1.71</v>
      </c>
      <c r="E55" s="1453">
        <v>1.88</v>
      </c>
      <c r="F55" s="1408">
        <f>SUM(F53:F54)*$D$9</f>
        <v>1.05</v>
      </c>
      <c r="G55" s="1408"/>
      <c r="H55" s="1453">
        <f>SUM(H53:H54)*$D$9</f>
        <v>1.38</v>
      </c>
      <c r="J55" s="1091" t="str">
        <f>B52</f>
        <v xml:space="preserve">  DC Evening Supervisor (DC III)</v>
      </c>
      <c r="K55" s="1410"/>
      <c r="L55" s="1411">
        <f>D20</f>
        <v>53206.566400000003</v>
      </c>
      <c r="M55" s="1412">
        <f>D52</f>
        <v>1.25</v>
      </c>
      <c r="N55" s="1413">
        <f>L55*M55</f>
        <v>66508.207999999999</v>
      </c>
      <c r="O55" s="1410"/>
    </row>
    <row r="56" spans="2:15" ht="13.5" thickBot="1">
      <c r="B56" s="1383" t="s">
        <v>125</v>
      </c>
      <c r="C56" s="1458">
        <v>2</v>
      </c>
      <c r="D56" s="1458">
        <v>4</v>
      </c>
      <c r="E56" s="1459">
        <v>8</v>
      </c>
      <c r="F56" s="1458">
        <v>2</v>
      </c>
      <c r="G56" s="1458"/>
      <c r="H56" s="1459">
        <v>4</v>
      </c>
      <c r="J56" s="1091" t="str">
        <f>J17</f>
        <v xml:space="preserve">  Direct Care III</v>
      </c>
      <c r="K56" s="1410"/>
      <c r="L56" s="1411">
        <f>D21</f>
        <v>53206.566400000003</v>
      </c>
      <c r="M56" s="1412">
        <f>D53</f>
        <v>5.55</v>
      </c>
      <c r="N56" s="1413">
        <f>M56*L56</f>
        <v>295296.44352000003</v>
      </c>
      <c r="O56" s="1414">
        <v>1.75</v>
      </c>
    </row>
    <row r="57" spans="2:15">
      <c r="J57" s="1091" t="str">
        <f>B54</f>
        <v xml:space="preserve">  Direct Care </v>
      </c>
      <c r="K57" s="1460"/>
      <c r="L57" s="1411">
        <f>D22</f>
        <v>41600</v>
      </c>
      <c r="M57" s="1412">
        <f>D54</f>
        <v>5.55</v>
      </c>
      <c r="N57" s="1461">
        <f>L57*M57</f>
        <v>230880</v>
      </c>
      <c r="O57" s="1414">
        <v>9.35</v>
      </c>
    </row>
    <row r="58" spans="2:15">
      <c r="J58" s="1389" t="str">
        <f>B55</f>
        <v xml:space="preserve">  Relief</v>
      </c>
      <c r="K58" s="1410"/>
      <c r="L58" s="1411">
        <f>D23</f>
        <v>47403.283200000005</v>
      </c>
      <c r="M58" s="1412">
        <f>D55</f>
        <v>1.71</v>
      </c>
      <c r="N58" s="1413">
        <f>L58*M58</f>
        <v>81059.614272000006</v>
      </c>
      <c r="O58" s="1410"/>
    </row>
    <row r="59" spans="2:15">
      <c r="J59" s="1419" t="s">
        <v>13</v>
      </c>
      <c r="K59" s="1420"/>
      <c r="L59" s="1420"/>
      <c r="M59" s="1135">
        <f>SUM(M52:M58)</f>
        <v>15.760000000000002</v>
      </c>
      <c r="N59" s="1421">
        <f>SUM(N52:N58)</f>
        <v>810140.98259200016</v>
      </c>
      <c r="O59" s="1410"/>
    </row>
    <row r="60" spans="2:15" ht="15" customHeight="1">
      <c r="B60" s="2401"/>
      <c r="D60" s="1400"/>
      <c r="E60" s="1400"/>
      <c r="G60" s="1400"/>
      <c r="J60" s="1091" t="s">
        <v>15</v>
      </c>
      <c r="M60" s="985" t="s">
        <v>16</v>
      </c>
      <c r="N60" s="1401"/>
      <c r="O60" s="1410"/>
    </row>
    <row r="61" spans="2:15" ht="15.95" customHeight="1">
      <c r="B61" s="2402"/>
      <c r="D61" s="1400"/>
      <c r="E61" s="1400"/>
      <c r="G61" s="1400"/>
      <c r="J61" s="1091" t="str">
        <f>B27</f>
        <v xml:space="preserve">  Tax and Fringe</v>
      </c>
      <c r="L61" s="1811">
        <f>D27</f>
        <v>0.27379999999999999</v>
      </c>
      <c r="N61" s="1422">
        <f>L61*N59</f>
        <v>221816.60103368963</v>
      </c>
      <c r="O61" s="1410"/>
    </row>
    <row r="62" spans="2:15" ht="15.95" customHeight="1">
      <c r="B62" s="2402"/>
      <c r="D62" s="1400"/>
      <c r="E62" s="1400"/>
      <c r="G62" s="1400"/>
      <c r="J62" s="1419" t="s">
        <v>18</v>
      </c>
      <c r="K62" s="1420"/>
      <c r="L62" s="1420"/>
      <c r="M62" s="1423"/>
      <c r="N62" s="1424">
        <f>N59+N61</f>
        <v>1031957.5836256898</v>
      </c>
      <c r="O62" s="1410"/>
    </row>
    <row r="63" spans="2:15" ht="15.95" customHeight="1">
      <c r="B63" s="2402"/>
      <c r="D63" s="1400"/>
      <c r="E63" s="1400"/>
      <c r="G63" s="1400"/>
      <c r="H63" s="1412"/>
      <c r="J63" s="1091"/>
      <c r="M63" s="1092"/>
      <c r="N63" s="1413"/>
      <c r="O63" s="1410"/>
    </row>
    <row r="64" spans="2:15" ht="15.95" customHeight="1">
      <c r="D64" s="1400"/>
      <c r="E64" s="1400"/>
      <c r="G64" s="1400"/>
      <c r="J64" s="1403" t="s">
        <v>328</v>
      </c>
      <c r="K64" s="1425"/>
      <c r="L64" s="1404" t="s">
        <v>19</v>
      </c>
      <c r="M64" s="1426" t="s">
        <v>20</v>
      </c>
      <c r="N64" s="1427" t="s">
        <v>7</v>
      </c>
      <c r="O64" s="1410"/>
    </row>
    <row r="65" spans="2:15" ht="15.95" customHeight="1">
      <c r="B65" s="2242"/>
      <c r="C65" s="2242"/>
      <c r="D65" s="2242"/>
      <c r="E65" s="2242"/>
      <c r="F65" s="2242"/>
      <c r="G65" s="1879"/>
      <c r="J65" s="1091" t="str">
        <f>B31</f>
        <v xml:space="preserve">  Psychologist</v>
      </c>
      <c r="L65" s="1358">
        <f>D31</f>
        <v>136.75</v>
      </c>
      <c r="M65" s="1429">
        <f>D56*52</f>
        <v>208</v>
      </c>
      <c r="N65" s="1422">
        <f>L65*M65</f>
        <v>28444</v>
      </c>
      <c r="O65" s="1410"/>
    </row>
    <row r="66" spans="2:15" ht="15.95" customHeight="1">
      <c r="B66" s="2242"/>
      <c r="C66" s="2242"/>
      <c r="D66" s="2242"/>
      <c r="E66" s="2242"/>
      <c r="F66" s="2242"/>
      <c r="G66" s="1879"/>
      <c r="J66" s="1419" t="s">
        <v>21</v>
      </c>
      <c r="K66" s="1420"/>
      <c r="L66" s="1420"/>
      <c r="M66" s="1420"/>
      <c r="N66" s="1424">
        <f>SUM(N65:N65)</f>
        <v>28444</v>
      </c>
      <c r="O66" s="1410"/>
    </row>
    <row r="67" spans="2:15" ht="13.5" customHeight="1">
      <c r="B67" s="2242"/>
      <c r="C67" s="2243"/>
      <c r="D67" s="2244"/>
      <c r="E67" s="2242"/>
      <c r="F67" s="2242"/>
      <c r="G67" s="1879"/>
      <c r="J67" s="1091"/>
      <c r="M67" s="1442"/>
      <c r="N67" s="1422"/>
    </row>
    <row r="68" spans="2:15" ht="15">
      <c r="B68" s="1879"/>
      <c r="C68" s="1879"/>
      <c r="D68" s="1879"/>
      <c r="E68" s="1879"/>
      <c r="F68" s="1879"/>
      <c r="G68" s="1879"/>
      <c r="J68" s="1091" t="str">
        <f>B34</f>
        <v xml:space="preserve">  Staff Training</v>
      </c>
      <c r="M68" s="1092">
        <f ca="1">D34</f>
        <v>192.10807561388694</v>
      </c>
      <c r="N68" s="1098">
        <f ca="1">M68*M59</f>
        <v>3027.6232716748586</v>
      </c>
      <c r="O68" s="1410"/>
    </row>
    <row r="69" spans="2:15" ht="15">
      <c r="B69" s="1879"/>
      <c r="C69" s="1879"/>
      <c r="D69" s="1879"/>
      <c r="E69" s="1879"/>
      <c r="F69" s="1879"/>
      <c r="G69" s="1879"/>
      <c r="J69" s="1091" t="str">
        <f>B35</f>
        <v xml:space="preserve">  Transportation</v>
      </c>
      <c r="M69" s="1358">
        <f>M31</f>
        <v>2.0190812303224459</v>
      </c>
      <c r="N69" s="1359">
        <f>M69*N49</f>
        <v>5895.7171925415423</v>
      </c>
      <c r="O69" s="1410"/>
    </row>
    <row r="70" spans="2:15" ht="14.25" customHeight="1" thickBot="1">
      <c r="J70" s="1091" t="str">
        <f>B37</f>
        <v xml:space="preserve">  Meals / Food</v>
      </c>
      <c r="M70" s="1358">
        <f>D37</f>
        <v>10.004761904761907</v>
      </c>
      <c r="N70" s="1359">
        <f>M70*N49</f>
        <v>29213.904761904767</v>
      </c>
      <c r="O70" s="1410"/>
    </row>
    <row r="71" spans="2:15" ht="15.95" customHeight="1" thickBot="1">
      <c r="B71" s="2240"/>
      <c r="C71" s="2241"/>
      <c r="D71" s="2241"/>
      <c r="E71" s="2241"/>
      <c r="F71" s="2241"/>
      <c r="G71" s="2152"/>
      <c r="J71" s="1395" t="str">
        <f>B36</f>
        <v xml:space="preserve">  Program Supplies &amp; Materials</v>
      </c>
      <c r="M71" s="1358">
        <f ca="1">D36</f>
        <v>693.71474143152727</v>
      </c>
      <c r="N71" s="1527">
        <f ca="1">M71*M59</f>
        <v>10932.94432496087</v>
      </c>
      <c r="O71" s="1410"/>
    </row>
    <row r="72" spans="2:15" ht="15.95" customHeight="1">
      <c r="B72" s="2242"/>
      <c r="C72" s="2243"/>
      <c r="D72" s="2244"/>
      <c r="E72" s="2242"/>
      <c r="F72" s="2242"/>
      <c r="G72" s="2153"/>
      <c r="J72" s="1091"/>
      <c r="M72" s="1358"/>
      <c r="N72" s="1526">
        <f ca="1">SUM(N67:N71)</f>
        <v>49070.189551082032</v>
      </c>
      <c r="O72" s="1410"/>
    </row>
    <row r="73" spans="2:15" ht="15.95" customHeight="1">
      <c r="B73" s="2242"/>
      <c r="C73" s="2243"/>
      <c r="D73" s="2244"/>
      <c r="E73" s="2242"/>
      <c r="F73" s="2242"/>
      <c r="G73" s="2153"/>
      <c r="J73" s="1419" t="s">
        <v>23</v>
      </c>
      <c r="K73" s="1420"/>
      <c r="L73" s="1420"/>
      <c r="M73" s="1420"/>
      <c r="N73" s="1437">
        <f ca="1">SUM(N62,N66,N72)</f>
        <v>1109471.7731767718</v>
      </c>
      <c r="O73" s="1410"/>
    </row>
    <row r="74" spans="2:15" ht="18" customHeight="1">
      <c r="B74" s="2242"/>
      <c r="C74" s="2242"/>
      <c r="D74" s="2242"/>
      <c r="E74" s="2242"/>
      <c r="F74" s="2242"/>
      <c r="G74" s="2150"/>
      <c r="J74" s="1091" t="str">
        <f>B39</f>
        <v xml:space="preserve">  Admin. Allocation</v>
      </c>
      <c r="L74" s="1441">
        <f>D39</f>
        <v>0.12</v>
      </c>
      <c r="N74" s="1422">
        <f ca="1">L74*N73</f>
        <v>133136.61278121261</v>
      </c>
      <c r="O74" s="1410"/>
    </row>
    <row r="75" spans="2:15" ht="18" customHeight="1" thickBot="1">
      <c r="B75" s="2242"/>
      <c r="C75" s="2243"/>
      <c r="D75" s="2244"/>
      <c r="E75" s="2242"/>
      <c r="F75" s="2242"/>
      <c r="G75" s="2150"/>
      <c r="J75" s="1443" t="s">
        <v>25</v>
      </c>
      <c r="K75" s="1474"/>
      <c r="L75" s="1474"/>
      <c r="M75" s="1474"/>
      <c r="N75" s="1445">
        <f ca="1">SUM(N73:N74)</f>
        <v>1242608.3859579845</v>
      </c>
      <c r="O75" s="1410"/>
    </row>
    <row r="76" spans="2:15" ht="18" customHeight="1" thickTop="1">
      <c r="B76" s="2242"/>
      <c r="C76" s="2242"/>
      <c r="D76" s="2242"/>
      <c r="E76" s="2242"/>
      <c r="F76" s="2242"/>
      <c r="G76" s="2150"/>
      <c r="J76" s="1091" t="str">
        <f>J40</f>
        <v xml:space="preserve">CAF </v>
      </c>
      <c r="L76" s="1447">
        <f>D41</f>
        <v>2.5758086673353865E-2</v>
      </c>
      <c r="N76" s="1462">
        <f ca="1">N75+(N75*L76)-(N59*L76)</f>
        <v>1253747.9188172857</v>
      </c>
      <c r="O76" s="1410"/>
    </row>
    <row r="77" spans="2:15" ht="18" customHeight="1" thickBot="1">
      <c r="B77" s="2242"/>
      <c r="C77" s="2242"/>
      <c r="D77" s="2242"/>
      <c r="E77" s="2242"/>
      <c r="F77" s="2242"/>
      <c r="G77" s="2151"/>
      <c r="J77" s="848" t="s">
        <v>28</v>
      </c>
      <c r="K77" s="1475"/>
      <c r="L77" s="1475"/>
      <c r="M77" s="1476"/>
      <c r="N77" s="2065">
        <f ca="1">N76/N49</f>
        <v>429.36572562235813</v>
      </c>
    </row>
    <row r="78" spans="2:15" ht="15.75" thickBot="1">
      <c r="J78" s="1464"/>
      <c r="K78" s="1465"/>
      <c r="L78" s="1466"/>
      <c r="M78" s="1467"/>
      <c r="N78" s="1516"/>
      <c r="O78" s="1528">
        <f ca="1">N80/N79</f>
        <v>0.21245227916967818</v>
      </c>
    </row>
    <row r="79" spans="2:15">
      <c r="J79" s="1397"/>
      <c r="K79" s="1454"/>
      <c r="M79" s="985" t="s">
        <v>783</v>
      </c>
      <c r="N79" s="1513">
        <v>354.13</v>
      </c>
    </row>
    <row r="80" spans="2:15">
      <c r="J80" s="1397"/>
      <c r="K80" s="1454"/>
      <c r="M80" s="1439"/>
      <c r="N80" s="1513">
        <f ca="1">N77-N79</f>
        <v>75.235725622358132</v>
      </c>
    </row>
    <row r="81" spans="10:15">
      <c r="J81" s="1397"/>
      <c r="K81" s="1454"/>
      <c r="M81" s="1439"/>
      <c r="N81" s="1513"/>
    </row>
    <row r="82" spans="10:15">
      <c r="J82" s="1397"/>
      <c r="K82" s="1454"/>
      <c r="M82" s="1439"/>
      <c r="N82" s="1513"/>
    </row>
    <row r="83" spans="10:15" ht="13.5" thickBot="1"/>
    <row r="84" spans="10:15" ht="13.5" thickBot="1">
      <c r="J84" s="2592" t="s">
        <v>574</v>
      </c>
      <c r="K84" s="2593"/>
      <c r="L84" s="2593"/>
      <c r="M84" s="2593"/>
      <c r="N84" s="2594"/>
    </row>
    <row r="85" spans="10:15">
      <c r="J85" s="1478" t="s">
        <v>277</v>
      </c>
      <c r="K85" s="1479">
        <v>11</v>
      </c>
      <c r="L85" s="1483"/>
      <c r="M85" s="1484" t="s">
        <v>133</v>
      </c>
      <c r="N85" s="1485">
        <f>K85*365</f>
        <v>4015</v>
      </c>
    </row>
    <row r="86" spans="10:15">
      <c r="J86" s="1489"/>
      <c r="K86" s="1490"/>
      <c r="L86" s="1404" t="s">
        <v>5</v>
      </c>
      <c r="M86" s="1404" t="s">
        <v>6</v>
      </c>
      <c r="N86" s="1405" t="s">
        <v>7</v>
      </c>
    </row>
    <row r="87" spans="10:15">
      <c r="J87" s="1091" t="str">
        <f>B44</f>
        <v>Management</v>
      </c>
      <c r="K87" s="1187"/>
      <c r="L87" s="1400"/>
      <c r="M87" s="1400"/>
      <c r="N87" s="1380"/>
    </row>
    <row r="88" spans="10:15">
      <c r="J88" s="1091" t="str">
        <f>B45</f>
        <v xml:space="preserve">  Management Supervision</v>
      </c>
      <c r="K88" s="1410"/>
      <c r="L88" s="1411">
        <f>D13</f>
        <v>74264</v>
      </c>
      <c r="M88" s="1412">
        <f>E45</f>
        <v>0.1</v>
      </c>
      <c r="N88" s="1413">
        <f>L88*M88</f>
        <v>7426.4000000000005</v>
      </c>
    </row>
    <row r="89" spans="10:15">
      <c r="J89" s="1091" t="str">
        <f>B46</f>
        <v xml:space="preserve">  Specialty Site Manager</v>
      </c>
      <c r="K89" s="1410"/>
      <c r="L89" s="1411">
        <f>D14</f>
        <v>80606.448000000004</v>
      </c>
      <c r="M89" s="1412">
        <f>E46</f>
        <v>2.2000000000000002</v>
      </c>
      <c r="N89" s="1413">
        <f>L89*M89</f>
        <v>177334.18560000003</v>
      </c>
    </row>
    <row r="90" spans="10:15">
      <c r="J90" s="1091" t="str">
        <f>B51</f>
        <v>Direct Care</v>
      </c>
      <c r="K90" s="1410"/>
      <c r="L90" s="1411"/>
      <c r="M90" s="1412"/>
      <c r="N90" s="1413"/>
    </row>
    <row r="91" spans="10:15">
      <c r="J91" s="1091" t="str">
        <f>B52</f>
        <v xml:space="preserve">  DC Evening Supervisor (DC III)</v>
      </c>
      <c r="K91" s="1410"/>
      <c r="L91" s="1411">
        <f>D20</f>
        <v>53206.566400000003</v>
      </c>
      <c r="M91" s="1412">
        <f>E52</f>
        <v>1.5</v>
      </c>
      <c r="N91" s="1413">
        <f>L91*M91</f>
        <v>79809.849600000001</v>
      </c>
    </row>
    <row r="92" spans="10:15">
      <c r="J92" s="1091" t="str">
        <f>J56</f>
        <v xml:space="preserve">  Direct Care III</v>
      </c>
      <c r="K92" s="1410"/>
      <c r="L92" s="1411">
        <f>D21</f>
        <v>53206.566400000003</v>
      </c>
      <c r="M92" s="1412">
        <f>E53</f>
        <v>6.1</v>
      </c>
      <c r="N92" s="1413">
        <f>M92*L92</f>
        <v>324560.05504000001</v>
      </c>
      <c r="O92" s="985">
        <v>1.75</v>
      </c>
    </row>
    <row r="93" spans="10:15">
      <c r="J93" s="1091" t="str">
        <f>B54</f>
        <v xml:space="preserve">  Direct Care </v>
      </c>
      <c r="K93" s="1460"/>
      <c r="L93" s="1411">
        <f>D22</f>
        <v>41600</v>
      </c>
      <c r="M93" s="1412">
        <f>E54</f>
        <v>6.1</v>
      </c>
      <c r="N93" s="1461">
        <f>L93*M93</f>
        <v>253759.99999999997</v>
      </c>
      <c r="O93" s="985">
        <v>10.45</v>
      </c>
    </row>
    <row r="94" spans="10:15">
      <c r="J94" s="1389" t="str">
        <f>B55</f>
        <v xml:space="preserve">  Relief</v>
      </c>
      <c r="K94" s="1410"/>
      <c r="L94" s="1411">
        <f>D23</f>
        <v>47403.283200000005</v>
      </c>
      <c r="M94" s="1412">
        <f>E55</f>
        <v>1.88</v>
      </c>
      <c r="N94" s="1413">
        <f>L94*M94</f>
        <v>89118.172416000001</v>
      </c>
    </row>
    <row r="95" spans="10:15">
      <c r="J95" s="1419" t="s">
        <v>13</v>
      </c>
      <c r="K95" s="1431"/>
      <c r="L95" s="1431"/>
      <c r="M95" s="1135">
        <f>SUM(M88:M94)</f>
        <v>17.88</v>
      </c>
      <c r="N95" s="1421">
        <f>SUM(N88:N94)</f>
        <v>932008.662656</v>
      </c>
    </row>
    <row r="96" spans="10:15">
      <c r="J96" s="848" t="s">
        <v>15</v>
      </c>
      <c r="M96" s="1398" t="s">
        <v>16</v>
      </c>
      <c r="N96" s="1401"/>
    </row>
    <row r="97" spans="10:14">
      <c r="J97" s="1091" t="str">
        <f>B27</f>
        <v xml:space="preserve">  Tax and Fringe</v>
      </c>
      <c r="L97" s="1811">
        <f>L61</f>
        <v>0.27379999999999999</v>
      </c>
      <c r="N97" s="1422">
        <f>L97*N95</f>
        <v>255183.97183521278</v>
      </c>
    </row>
    <row r="98" spans="10:14">
      <c r="J98" s="1419" t="s">
        <v>18</v>
      </c>
      <c r="K98" s="1420"/>
      <c r="L98" s="1420"/>
      <c r="M98" s="1423"/>
      <c r="N98" s="1424">
        <f>N95+N97</f>
        <v>1187192.6344912127</v>
      </c>
    </row>
    <row r="99" spans="10:14">
      <c r="J99" s="1091"/>
      <c r="M99" s="1092"/>
      <c r="N99" s="1413"/>
    </row>
    <row r="100" spans="10:14">
      <c r="J100" s="1403" t="s">
        <v>328</v>
      </c>
      <c r="K100" s="1425"/>
      <c r="L100" s="1404" t="s">
        <v>19</v>
      </c>
      <c r="M100" s="1426" t="s">
        <v>20</v>
      </c>
      <c r="N100" s="1427" t="s">
        <v>7</v>
      </c>
    </row>
    <row r="101" spans="10:14">
      <c r="J101" s="1091" t="str">
        <f>B31</f>
        <v xml:space="preserve">  Psychologist</v>
      </c>
      <c r="L101" s="1358">
        <f>D31</f>
        <v>136.75</v>
      </c>
      <c r="M101" s="1429">
        <f>E56*52</f>
        <v>416</v>
      </c>
      <c r="N101" s="1422">
        <f>L101*M101</f>
        <v>56888</v>
      </c>
    </row>
    <row r="102" spans="10:14">
      <c r="J102" s="1419" t="s">
        <v>21</v>
      </c>
      <c r="K102" s="1420"/>
      <c r="L102" s="1420"/>
      <c r="M102" s="1420"/>
      <c r="N102" s="1424">
        <f>SUM(N101:N101)</f>
        <v>56888</v>
      </c>
    </row>
    <row r="103" spans="10:14">
      <c r="J103" s="1091"/>
      <c r="M103" s="1442"/>
      <c r="N103" s="1422"/>
    </row>
    <row r="104" spans="10:14">
      <c r="J104" s="1091" t="str">
        <f>B34</f>
        <v xml:space="preserve">  Staff Training</v>
      </c>
      <c r="M104" s="1092">
        <f ca="1">D34</f>
        <v>192.10807561388694</v>
      </c>
      <c r="N104" s="1098">
        <f ca="1">M104*M95</f>
        <v>3434.8923919762983</v>
      </c>
    </row>
    <row r="105" spans="10:14">
      <c r="J105" s="1091" t="str">
        <f>B35</f>
        <v xml:space="preserve">  Transportation</v>
      </c>
      <c r="M105" s="1358">
        <f>M69</f>
        <v>2.0190812303224459</v>
      </c>
      <c r="N105" s="1359">
        <f>M105*N85</f>
        <v>8106.6111397446202</v>
      </c>
    </row>
    <row r="106" spans="10:14">
      <c r="J106" s="1091" t="str">
        <f>B37</f>
        <v xml:space="preserve">  Meals / Food</v>
      </c>
      <c r="M106" s="1358">
        <f>D37</f>
        <v>10.004761904761907</v>
      </c>
      <c r="N106" s="1359">
        <f>M106*N85</f>
        <v>40169.119047619053</v>
      </c>
    </row>
    <row r="107" spans="10:14" ht="25.5">
      <c r="J107" s="1395" t="str">
        <f>B36</f>
        <v xml:space="preserve">  Program Supplies &amp; Materials</v>
      </c>
      <c r="M107" s="1434">
        <f ca="1">D36</f>
        <v>693.71474143152727</v>
      </c>
      <c r="N107" s="1359">
        <f ca="1">M107*M95</f>
        <v>12403.619576795707</v>
      </c>
    </row>
    <row r="108" spans="10:14">
      <c r="J108" s="1091"/>
      <c r="M108" s="1358"/>
      <c r="N108" s="1435">
        <f ca="1">SUM(N103:N107)</f>
        <v>64114.242156135675</v>
      </c>
    </row>
    <row r="109" spans="10:14">
      <c r="J109" s="1419" t="s">
        <v>23</v>
      </c>
      <c r="K109" s="1420"/>
      <c r="L109" s="1420"/>
      <c r="M109" s="1420"/>
      <c r="N109" s="1437">
        <f ca="1">SUM(N98,N102,N108)</f>
        <v>1308194.8766473483</v>
      </c>
    </row>
    <row r="110" spans="10:14">
      <c r="J110" s="1091" t="str">
        <f>B39</f>
        <v xml:space="preserve">  Admin. Allocation</v>
      </c>
      <c r="L110" s="1441">
        <f>D39</f>
        <v>0.12</v>
      </c>
      <c r="N110" s="1422">
        <f ca="1">L110*N109</f>
        <v>156983.38519768178</v>
      </c>
    </row>
    <row r="111" spans="10:14" ht="13.5" thickBot="1">
      <c r="J111" s="1443" t="s">
        <v>25</v>
      </c>
      <c r="K111" s="1474"/>
      <c r="L111" s="1474"/>
      <c r="M111" s="1474"/>
      <c r="N111" s="1445">
        <f ca="1">SUM(N109:N110)</f>
        <v>1465178.2618450301</v>
      </c>
    </row>
    <row r="112" spans="10:14" ht="13.5" thickTop="1">
      <c r="J112" s="1091" t="str">
        <f>J76</f>
        <v xml:space="preserve">CAF </v>
      </c>
      <c r="L112" s="1447">
        <f>D41</f>
        <v>2.5758086673353865E-2</v>
      </c>
      <c r="N112" s="1462">
        <f ca="1">N111+(N111*L112)-(N95*L112)</f>
        <v>1478911.6905925386</v>
      </c>
    </row>
    <row r="113" spans="10:15" ht="13.5" thickBot="1">
      <c r="J113" s="1473" t="s">
        <v>28</v>
      </c>
      <c r="K113" s="1475"/>
      <c r="L113" s="1475"/>
      <c r="M113" s="1476"/>
      <c r="N113" s="2065">
        <f ca="1">N112/N85</f>
        <v>368.34662281258744</v>
      </c>
    </row>
    <row r="114" spans="10:15">
      <c r="K114" s="1454"/>
      <c r="M114" s="985" t="s">
        <v>783</v>
      </c>
      <c r="N114" s="1513">
        <v>304.44</v>
      </c>
    </row>
    <row r="115" spans="10:15">
      <c r="K115" s="1454"/>
      <c r="M115" s="1439"/>
      <c r="N115" s="1513">
        <f ca="1">N113-N114</f>
        <v>63.906622812587443</v>
      </c>
      <c r="O115" s="1145">
        <f ca="1">N115/N114</f>
        <v>0.20991532917023861</v>
      </c>
    </row>
    <row r="116" spans="10:15" ht="15.75" customHeight="1">
      <c r="K116" s="1454"/>
      <c r="M116" s="1439"/>
      <c r="N116" s="1513"/>
    </row>
    <row r="118" spans="10:15" ht="15.75" thickBot="1">
      <c r="J118" s="2591" t="s">
        <v>814</v>
      </c>
      <c r="K118" s="2591"/>
      <c r="L118" s="2591"/>
      <c r="M118" s="2591"/>
      <c r="N118" s="2591"/>
    </row>
    <row r="119" spans="10:15" ht="13.5" thickBot="1">
      <c r="J119" s="2592" t="s">
        <v>575</v>
      </c>
      <c r="K119" s="2593"/>
      <c r="L119" s="2593"/>
      <c r="M119" s="2593"/>
      <c r="N119" s="2594"/>
    </row>
    <row r="120" spans="10:15">
      <c r="J120" s="1478" t="s">
        <v>277</v>
      </c>
      <c r="K120" s="1479">
        <v>5</v>
      </c>
      <c r="L120" s="1483"/>
      <c r="M120" s="1484" t="s">
        <v>133</v>
      </c>
      <c r="N120" s="1485">
        <f>K120*365</f>
        <v>1825</v>
      </c>
    </row>
    <row r="121" spans="10:15">
      <c r="J121" s="1489"/>
      <c r="K121" s="1490"/>
      <c r="L121" s="1491" t="s">
        <v>5</v>
      </c>
      <c r="M121" s="1491" t="s">
        <v>6</v>
      </c>
      <c r="N121" s="1381" t="s">
        <v>7</v>
      </c>
    </row>
    <row r="122" spans="10:15">
      <c r="J122" s="1091" t="str">
        <f t="shared" ref="J122:J128" si="0">B12</f>
        <v>Management</v>
      </c>
      <c r="K122" s="1187"/>
      <c r="L122" s="1400"/>
      <c r="M122" s="1400"/>
      <c r="N122" s="1380"/>
    </row>
    <row r="123" spans="10:15">
      <c r="J123" s="1091" t="str">
        <f t="shared" si="0"/>
        <v xml:space="preserve">Program Functional Oversight </v>
      </c>
      <c r="K123" s="1410"/>
      <c r="L123" s="1411">
        <f>D13</f>
        <v>74264</v>
      </c>
      <c r="M123" s="1412">
        <f>F45</f>
        <v>0.1</v>
      </c>
      <c r="N123" s="1413">
        <f>L123*M123</f>
        <v>7426.4000000000005</v>
      </c>
    </row>
    <row r="124" spans="10:15">
      <c r="J124" s="1091" t="str">
        <f t="shared" si="0"/>
        <v xml:space="preserve">  Specialty Site Manager</v>
      </c>
      <c r="K124" s="1410"/>
      <c r="L124" s="1411">
        <f>D14</f>
        <v>80606.448000000004</v>
      </c>
      <c r="M124" s="1412">
        <f>F46</f>
        <v>1</v>
      </c>
      <c r="N124" s="1413">
        <f>L124*M124</f>
        <v>80606.448000000004</v>
      </c>
    </row>
    <row r="125" spans="10:15">
      <c r="J125" s="1091" t="str">
        <f t="shared" si="0"/>
        <v>Medical and Clinical</v>
      </c>
      <c r="K125" s="1410"/>
      <c r="L125" s="1411"/>
      <c r="M125" s="1412"/>
      <c r="N125" s="1413"/>
    </row>
    <row r="126" spans="10:15">
      <c r="J126" s="1091" t="str">
        <f t="shared" si="0"/>
        <v xml:space="preserve">  Psychologist</v>
      </c>
      <c r="K126" s="1410"/>
      <c r="L126" s="1411">
        <f>D16</f>
        <v>101383.77600000001</v>
      </c>
      <c r="M126" s="1412">
        <f>F48</f>
        <v>0.25</v>
      </c>
      <c r="N126" s="1413">
        <f>L126*M126</f>
        <v>25345.944000000003</v>
      </c>
    </row>
    <row r="127" spans="10:15">
      <c r="J127" s="1091" t="str">
        <f t="shared" si="0"/>
        <v xml:space="preserve">  LPHA</v>
      </c>
      <c r="K127" s="1460"/>
      <c r="L127" s="1817">
        <f>D17</f>
        <v>80606.448000000004</v>
      </c>
      <c r="M127" s="1412">
        <f>F49</f>
        <v>0.5</v>
      </c>
      <c r="N127" s="1461">
        <f>L127*M127</f>
        <v>40303.224000000002</v>
      </c>
    </row>
    <row r="128" spans="10:15" ht="19.5" customHeight="1">
      <c r="J128" s="1091" t="str">
        <f t="shared" si="0"/>
        <v xml:space="preserve">  LPN</v>
      </c>
      <c r="K128" s="1410"/>
      <c r="L128" s="1411">
        <f>D18</f>
        <v>65676.416000000012</v>
      </c>
      <c r="M128" s="1412">
        <f>F50</f>
        <v>0.2</v>
      </c>
      <c r="N128" s="1413">
        <f>L128*M128</f>
        <v>13135.283200000003</v>
      </c>
    </row>
    <row r="129" spans="10:15">
      <c r="J129" s="1091" t="str">
        <f>J92</f>
        <v xml:space="preserve">  Direct Care III</v>
      </c>
      <c r="K129" s="1410"/>
      <c r="L129" s="1411">
        <f>D21</f>
        <v>53206.566400000003</v>
      </c>
      <c r="M129" s="1412">
        <f>F53</f>
        <v>3.5</v>
      </c>
      <c r="N129" s="1413">
        <f>M129*L129</f>
        <v>186222.98240000001</v>
      </c>
      <c r="O129" s="985">
        <v>1</v>
      </c>
    </row>
    <row r="130" spans="10:15">
      <c r="J130" s="1091" t="str">
        <f>B22</f>
        <v xml:space="preserve">  Direct Care </v>
      </c>
      <c r="K130" s="1410"/>
      <c r="L130" s="1411">
        <f>D22</f>
        <v>41600</v>
      </c>
      <c r="M130" s="1412">
        <f>F54</f>
        <v>3.5</v>
      </c>
      <c r="N130" s="1413">
        <f>L130*M130</f>
        <v>145600</v>
      </c>
      <c r="O130" s="985">
        <v>6</v>
      </c>
    </row>
    <row r="131" spans="10:15">
      <c r="J131" s="1091" t="str">
        <f>B23</f>
        <v xml:space="preserve">  Relief</v>
      </c>
      <c r="K131" s="1410"/>
      <c r="L131" s="1411">
        <f>D23</f>
        <v>47403.283200000005</v>
      </c>
      <c r="M131" s="1412">
        <f>F55</f>
        <v>1.05</v>
      </c>
      <c r="N131" s="1413">
        <f>L131*M131</f>
        <v>49773.447360000006</v>
      </c>
    </row>
    <row r="132" spans="10:15">
      <c r="J132" s="1493" t="s">
        <v>13</v>
      </c>
      <c r="K132" s="1431"/>
      <c r="L132" s="1431"/>
      <c r="M132" s="1494">
        <f>SUM(M123:M131)</f>
        <v>10.100000000000001</v>
      </c>
      <c r="N132" s="1495">
        <f>SUM(N123:N131)</f>
        <v>548413.72895999998</v>
      </c>
    </row>
    <row r="133" spans="10:15">
      <c r="J133" s="1091" t="s">
        <v>15</v>
      </c>
      <c r="M133" s="985" t="s">
        <v>16</v>
      </c>
      <c r="N133" s="1401"/>
    </row>
    <row r="134" spans="10:15">
      <c r="J134" s="1091" t="str">
        <f>B27</f>
        <v xml:space="preserve">  Tax and Fringe</v>
      </c>
      <c r="L134" s="1811">
        <f>L97</f>
        <v>0.27379999999999999</v>
      </c>
      <c r="N134" s="1422">
        <f>L134*N132</f>
        <v>150155.678989248</v>
      </c>
    </row>
    <row r="135" spans="10:15" ht="15.75" customHeight="1">
      <c r="J135" s="1493" t="s">
        <v>18</v>
      </c>
      <c r="K135" s="1431"/>
      <c r="L135" s="1431"/>
      <c r="M135" s="1497"/>
      <c r="N135" s="1498">
        <f>N132+N134</f>
        <v>698569.40794924798</v>
      </c>
    </row>
    <row r="136" spans="10:15">
      <c r="J136" s="1091"/>
      <c r="M136" s="1092"/>
      <c r="N136" s="1413"/>
    </row>
    <row r="137" spans="10:15">
      <c r="J137" s="1489" t="s">
        <v>328</v>
      </c>
      <c r="K137" s="1500"/>
      <c r="L137" s="1491" t="s">
        <v>19</v>
      </c>
      <c r="M137" s="1501" t="s">
        <v>2</v>
      </c>
      <c r="N137" s="1502" t="s">
        <v>7</v>
      </c>
    </row>
    <row r="138" spans="10:15">
      <c r="J138" s="1091" t="str">
        <f>B31</f>
        <v xml:space="preserve">  Psychologist</v>
      </c>
      <c r="L138" s="1358">
        <f>D31</f>
        <v>136.75</v>
      </c>
      <c r="M138" s="1429">
        <f>52*F56</f>
        <v>104</v>
      </c>
      <c r="N138" s="1422">
        <f>L138*M138</f>
        <v>14222</v>
      </c>
    </row>
    <row r="139" spans="10:15">
      <c r="J139" s="1493" t="s">
        <v>21</v>
      </c>
      <c r="K139" s="1431"/>
      <c r="L139" s="1431"/>
      <c r="M139" s="1431"/>
      <c r="N139" s="1498">
        <f>SUM(N138:N138)</f>
        <v>14222</v>
      </c>
    </row>
    <row r="140" spans="10:15">
      <c r="J140" s="1091"/>
      <c r="M140" s="1442"/>
      <c r="N140" s="1422"/>
    </row>
    <row r="141" spans="10:15">
      <c r="J141" s="1091" t="str">
        <f>B34</f>
        <v xml:space="preserve">  Staff Training</v>
      </c>
      <c r="M141" s="1092">
        <f ca="1">D34</f>
        <v>192.10807561388694</v>
      </c>
      <c r="N141" s="1098">
        <f ca="1">M141*M132</f>
        <v>1940.2915637002584</v>
      </c>
    </row>
    <row r="142" spans="10:15">
      <c r="J142" s="1091" t="str">
        <f>B35</f>
        <v xml:space="preserve">  Transportation</v>
      </c>
      <c r="M142" s="1358">
        <f>M105</f>
        <v>2.0190812303224459</v>
      </c>
      <c r="N142" s="1359">
        <f>M142*N120</f>
        <v>3684.8232453384639</v>
      </c>
    </row>
    <row r="143" spans="10:15">
      <c r="J143" s="1091" t="str">
        <f>B37</f>
        <v xml:space="preserve">  Meals / Food</v>
      </c>
      <c r="M143" s="1358">
        <f>D37</f>
        <v>10.004761904761907</v>
      </c>
      <c r="N143" s="1359">
        <f>M143*N120</f>
        <v>18258.690476190481</v>
      </c>
    </row>
    <row r="144" spans="10:15">
      <c r="J144" s="1091" t="str">
        <f>B36</f>
        <v xml:space="preserve">  Program Supplies &amp; Materials</v>
      </c>
      <c r="M144" s="1434">
        <f ca="1">D36</f>
        <v>693.71474143152727</v>
      </c>
      <c r="N144" s="1359">
        <f ca="1">M144*M132</f>
        <v>7006.5188884584268</v>
      </c>
    </row>
    <row r="145" spans="10:15">
      <c r="J145" s="1091"/>
      <c r="M145" s="1358"/>
      <c r="N145" s="1508">
        <f ca="1">SUM(N140:N144)</f>
        <v>30890.32417368763</v>
      </c>
    </row>
    <row r="146" spans="10:15">
      <c r="J146" s="1091"/>
      <c r="M146" s="1092"/>
      <c r="N146" s="1440"/>
    </row>
    <row r="147" spans="10:15">
      <c r="J147" s="1493" t="s">
        <v>23</v>
      </c>
      <c r="K147" s="1431"/>
      <c r="L147" s="1431"/>
      <c r="M147" s="1431"/>
      <c r="N147" s="1509">
        <f ca="1">SUM(N135,N139,N145)</f>
        <v>743681.73212293559</v>
      </c>
    </row>
    <row r="148" spans="10:15">
      <c r="J148" s="1091"/>
      <c r="N148" s="1401"/>
    </row>
    <row r="149" spans="10:15">
      <c r="J149" s="1091" t="str">
        <f>B39</f>
        <v xml:space="preserve">  Admin. Allocation</v>
      </c>
      <c r="L149" s="1441">
        <f>D39</f>
        <v>0.12</v>
      </c>
      <c r="N149" s="1422">
        <f ca="1">L149*N147</f>
        <v>89241.80785475226</v>
      </c>
    </row>
    <row r="150" spans="10:15">
      <c r="J150" s="1091"/>
      <c r="N150" s="1468"/>
    </row>
    <row r="151" spans="10:15" ht="13.5" thickBot="1">
      <c r="J151" s="1510" t="s">
        <v>25</v>
      </c>
      <c r="K151" s="1444"/>
      <c r="L151" s="1444"/>
      <c r="M151" s="1444"/>
      <c r="N151" s="1472">
        <f ca="1">SUM(N147:N149)</f>
        <v>832923.53997768788</v>
      </c>
    </row>
    <row r="152" spans="10:15" ht="13.5" thickTop="1">
      <c r="J152" s="1091"/>
      <c r="N152" s="1401"/>
    </row>
    <row r="153" spans="10:15">
      <c r="J153" s="1091" t="str">
        <f>J112</f>
        <v xml:space="preserve">CAF </v>
      </c>
      <c r="L153" s="1447">
        <f>D41</f>
        <v>2.5758086673353865E-2</v>
      </c>
      <c r="N153" s="1462">
        <f ca="1">N151+(N151*L153)-(N132*L153)</f>
        <v>840251.96834930091</v>
      </c>
    </row>
    <row r="154" spans="10:15">
      <c r="J154" s="1091"/>
      <c r="L154" s="1447"/>
      <c r="N154" s="1462"/>
    </row>
    <row r="155" spans="10:15">
      <c r="J155" s="1091"/>
      <c r="N155" s="1515"/>
    </row>
    <row r="156" spans="10:15" ht="13.5" thickBot="1">
      <c r="J156" s="1091" t="s">
        <v>28</v>
      </c>
      <c r="K156" s="1168"/>
      <c r="L156" s="1168"/>
      <c r="M156" s="1452"/>
      <c r="N156" s="2065">
        <f ca="1">N153/N120</f>
        <v>460.41203745167172</v>
      </c>
    </row>
    <row r="157" spans="10:15" ht="13.5" thickBot="1">
      <c r="J157" s="1464"/>
      <c r="K157" s="1469"/>
      <c r="L157" s="1168"/>
      <c r="M157" s="1452"/>
      <c r="N157" s="1517"/>
    </row>
    <row r="158" spans="10:15">
      <c r="K158" s="1454"/>
      <c r="M158" s="1439" t="s">
        <v>783</v>
      </c>
      <c r="N158" s="1513">
        <v>377.36</v>
      </c>
    </row>
    <row r="159" spans="10:15">
      <c r="K159" s="1454"/>
      <c r="M159" s="1439"/>
      <c r="N159" s="1513">
        <f ca="1">N156-N158</f>
        <v>83.052037451671708</v>
      </c>
      <c r="O159" s="1145">
        <f ca="1">N159/N158</f>
        <v>0.22008701889885443</v>
      </c>
    </row>
    <row r="161" spans="10:15" ht="13.5" thickBot="1"/>
    <row r="162" spans="10:15" ht="13.5" thickBot="1">
      <c r="J162" s="2592" t="s">
        <v>576</v>
      </c>
      <c r="K162" s="2593"/>
      <c r="L162" s="2593"/>
      <c r="M162" s="2593"/>
      <c r="N162" s="2594"/>
    </row>
    <row r="163" spans="10:15">
      <c r="J163" s="1478" t="s">
        <v>277</v>
      </c>
      <c r="K163" s="1479">
        <v>11</v>
      </c>
      <c r="L163" s="1483"/>
      <c r="M163" s="1484" t="s">
        <v>133</v>
      </c>
      <c r="N163" s="1485">
        <f>K163*365</f>
        <v>4015</v>
      </c>
    </row>
    <row r="164" spans="10:15">
      <c r="J164" s="1489"/>
      <c r="K164" s="1490"/>
      <c r="L164" s="1491" t="s">
        <v>5</v>
      </c>
      <c r="M164" s="1491" t="s">
        <v>6</v>
      </c>
      <c r="N164" s="1381" t="s">
        <v>7</v>
      </c>
    </row>
    <row r="165" spans="10:15">
      <c r="J165" s="1091" t="str">
        <f t="shared" ref="J165:J174" si="1">J122</f>
        <v>Management</v>
      </c>
      <c r="K165" s="1187"/>
      <c r="L165" s="1400"/>
      <c r="M165" s="1400"/>
      <c r="N165" s="1380"/>
    </row>
    <row r="166" spans="10:15">
      <c r="J166" s="1091" t="str">
        <f t="shared" si="1"/>
        <v xml:space="preserve">Program Functional Oversight </v>
      </c>
      <c r="K166" s="1410"/>
      <c r="L166" s="1411">
        <f>L123</f>
        <v>74264</v>
      </c>
      <c r="M166" s="1412">
        <f>H45</f>
        <v>0.1</v>
      </c>
      <c r="N166" s="1413">
        <f>L166*M166</f>
        <v>7426.4000000000005</v>
      </c>
    </row>
    <row r="167" spans="10:15">
      <c r="J167" s="1091" t="str">
        <f t="shared" si="1"/>
        <v xml:space="preserve">  Specialty Site Manager</v>
      </c>
      <c r="K167" s="1410"/>
      <c r="L167" s="1411">
        <f>L124</f>
        <v>80606.448000000004</v>
      </c>
      <c r="M167" s="1412">
        <f>H46</f>
        <v>2.2000000000000002</v>
      </c>
      <c r="N167" s="1413">
        <f>L167*M167</f>
        <v>177334.18560000003</v>
      </c>
    </row>
    <row r="168" spans="10:15">
      <c r="J168" s="1091" t="str">
        <f t="shared" si="1"/>
        <v>Medical and Clinical</v>
      </c>
      <c r="K168" s="1410"/>
      <c r="L168" s="1411"/>
      <c r="M168" s="1412"/>
      <c r="N168" s="1413"/>
    </row>
    <row r="169" spans="10:15">
      <c r="J169" s="1091" t="str">
        <f t="shared" si="1"/>
        <v xml:space="preserve">  Psychologist</v>
      </c>
      <c r="K169" s="1410"/>
      <c r="L169" s="1411">
        <f t="shared" ref="L169:L174" si="2">L126</f>
        <v>101383.77600000001</v>
      </c>
      <c r="M169" s="1412">
        <f>H48</f>
        <v>0.5</v>
      </c>
      <c r="N169" s="1413">
        <f t="shared" ref="N169:N174" si="3">L169*M169</f>
        <v>50691.888000000006</v>
      </c>
    </row>
    <row r="170" spans="10:15" ht="12" customHeight="1">
      <c r="J170" s="1399" t="str">
        <f t="shared" si="1"/>
        <v xml:space="preserve">  LPHA</v>
      </c>
      <c r="K170" s="1460"/>
      <c r="L170" s="1411">
        <f t="shared" si="2"/>
        <v>80606.448000000004</v>
      </c>
      <c r="M170" s="1412">
        <f>H49</f>
        <v>0.75</v>
      </c>
      <c r="N170" s="1461">
        <f t="shared" si="3"/>
        <v>60454.836000000003</v>
      </c>
    </row>
    <row r="171" spans="10:15">
      <c r="J171" s="1091" t="str">
        <f t="shared" si="1"/>
        <v xml:space="preserve">  LPN</v>
      </c>
      <c r="K171" s="1410"/>
      <c r="L171" s="1411">
        <f t="shared" si="2"/>
        <v>65676.416000000012</v>
      </c>
      <c r="M171" s="1412">
        <f>H50</f>
        <v>0.4</v>
      </c>
      <c r="N171" s="1413">
        <f t="shared" si="3"/>
        <v>26270.566400000007</v>
      </c>
    </row>
    <row r="172" spans="10:15">
      <c r="J172" s="1091" t="str">
        <f t="shared" si="1"/>
        <v xml:space="preserve">  Direct Care III</v>
      </c>
      <c r="K172" s="1410"/>
      <c r="L172" s="1411">
        <f t="shared" si="2"/>
        <v>53206.566400000003</v>
      </c>
      <c r="M172" s="1412">
        <f>H53</f>
        <v>4.5999999999999996</v>
      </c>
      <c r="N172" s="1413">
        <f t="shared" si="3"/>
        <v>244750.20543999999</v>
      </c>
      <c r="O172" s="985">
        <v>1.25</v>
      </c>
    </row>
    <row r="173" spans="10:15">
      <c r="J173" s="1091" t="str">
        <f t="shared" si="1"/>
        <v xml:space="preserve">  Direct Care </v>
      </c>
      <c r="K173" s="1410"/>
      <c r="L173" s="1411">
        <f t="shared" si="2"/>
        <v>41600</v>
      </c>
      <c r="M173" s="1412">
        <f>H54</f>
        <v>4.5999999999999996</v>
      </c>
      <c r="N173" s="1413">
        <f t="shared" si="3"/>
        <v>191359.99999999997</v>
      </c>
      <c r="O173" s="985">
        <v>7.95</v>
      </c>
    </row>
    <row r="174" spans="10:15">
      <c r="J174" s="1389" t="str">
        <f t="shared" si="1"/>
        <v xml:space="preserve">  Relief</v>
      </c>
      <c r="K174" s="1410"/>
      <c r="L174" s="1411">
        <f t="shared" si="2"/>
        <v>47403.283200000005</v>
      </c>
      <c r="M174" s="1412">
        <f>H55</f>
        <v>1.38</v>
      </c>
      <c r="N174" s="1413">
        <f t="shared" si="3"/>
        <v>65416.530816000006</v>
      </c>
    </row>
    <row r="175" spans="10:15">
      <c r="J175" s="1493" t="s">
        <v>13</v>
      </c>
      <c r="K175" s="1431"/>
      <c r="L175" s="1431"/>
      <c r="M175" s="1494">
        <f>SUM(M166:M174)</f>
        <v>14.530000000000001</v>
      </c>
      <c r="N175" s="1495">
        <f>SUM(N166:N174)</f>
        <v>823704.61225600005</v>
      </c>
    </row>
    <row r="176" spans="10:15">
      <c r="J176" s="1091" t="s">
        <v>15</v>
      </c>
      <c r="M176" s="985" t="s">
        <v>16</v>
      </c>
      <c r="N176" s="1401"/>
    </row>
    <row r="177" spans="10:14">
      <c r="J177" s="1091" t="s">
        <v>17</v>
      </c>
      <c r="L177" s="1811">
        <f>L134</f>
        <v>0.27379999999999999</v>
      </c>
      <c r="N177" s="1422">
        <f>L177*N175</f>
        <v>225530.32283569282</v>
      </c>
    </row>
    <row r="178" spans="10:14">
      <c r="J178" s="1493" t="s">
        <v>18</v>
      </c>
      <c r="K178" s="1431"/>
      <c r="L178" s="1431"/>
      <c r="M178" s="1497"/>
      <c r="N178" s="1498">
        <f>N175+N177</f>
        <v>1049234.935091693</v>
      </c>
    </row>
    <row r="179" spans="10:14">
      <c r="J179" s="1091"/>
      <c r="M179" s="1092"/>
      <c r="N179" s="1413"/>
    </row>
    <row r="180" spans="10:14">
      <c r="J180" s="1489" t="s">
        <v>328</v>
      </c>
      <c r="K180" s="1500"/>
      <c r="L180" s="1491" t="s">
        <v>19</v>
      </c>
      <c r="M180" s="1501" t="s">
        <v>20</v>
      </c>
      <c r="N180" s="1502" t="s">
        <v>7</v>
      </c>
    </row>
    <row r="181" spans="10:14">
      <c r="J181" s="1091" t="str">
        <f>B31</f>
        <v xml:space="preserve">  Psychologist</v>
      </c>
      <c r="L181" s="1358">
        <f>D31</f>
        <v>136.75</v>
      </c>
      <c r="M181" s="1429">
        <f>H56*52</f>
        <v>208</v>
      </c>
      <c r="N181" s="1422">
        <f>L181*M181</f>
        <v>28444</v>
      </c>
    </row>
    <row r="182" spans="10:14">
      <c r="J182" s="1493" t="s">
        <v>21</v>
      </c>
      <c r="K182" s="1431"/>
      <c r="L182" s="1431"/>
      <c r="M182" s="1431"/>
      <c r="N182" s="1498">
        <f>SUM(N181:N181)</f>
        <v>28444</v>
      </c>
    </row>
    <row r="183" spans="10:14">
      <c r="J183" s="1091"/>
      <c r="M183" s="1442"/>
      <c r="N183" s="1422"/>
    </row>
    <row r="184" spans="10:14">
      <c r="J184" s="1091" t="str">
        <f>J141</f>
        <v xml:space="preserve">  Staff Training</v>
      </c>
      <c r="M184" s="1092">
        <f ca="1">M141</f>
        <v>192.10807561388694</v>
      </c>
      <c r="N184" s="1422">
        <f ca="1">M184*M175</f>
        <v>2791.3303386697776</v>
      </c>
    </row>
    <row r="185" spans="10:14">
      <c r="J185" s="1395" t="str">
        <f>B35</f>
        <v xml:space="preserve">  Transportation</v>
      </c>
      <c r="M185" s="1358">
        <f>M142</f>
        <v>2.0190812303224459</v>
      </c>
      <c r="N185" s="1422">
        <f>M185*N163</f>
        <v>8106.6111397446202</v>
      </c>
    </row>
    <row r="186" spans="10:14">
      <c r="J186" s="1395" t="s">
        <v>792</v>
      </c>
      <c r="M186" s="1358">
        <v>8.16</v>
      </c>
      <c r="N186" s="1098">
        <f>M186*N163</f>
        <v>32762.400000000001</v>
      </c>
    </row>
    <row r="187" spans="10:14" ht="25.5">
      <c r="J187" s="1395" t="str">
        <f>B36</f>
        <v xml:space="preserve">  Program Supplies &amp; Materials</v>
      </c>
      <c r="M187" s="1434">
        <f ca="1">D36</f>
        <v>693.71474143152727</v>
      </c>
      <c r="N187" s="1359">
        <f ca="1">M187*M175</f>
        <v>10079.675193000092</v>
      </c>
    </row>
    <row r="188" spans="10:14">
      <c r="J188" s="1091"/>
      <c r="M188" s="1358"/>
      <c r="N188" s="1518">
        <f ca="1">SUM(N183:N187)</f>
        <v>53740.016671414487</v>
      </c>
    </row>
    <row r="189" spans="10:14">
      <c r="J189" s="1091"/>
      <c r="M189" s="1092"/>
      <c r="N189" s="1359"/>
    </row>
    <row r="190" spans="10:14">
      <c r="J190" s="1493" t="s">
        <v>23</v>
      </c>
      <c r="K190" s="1431"/>
      <c r="L190" s="1431"/>
      <c r="M190" s="1431"/>
      <c r="N190" s="1508">
        <f ca="1">SUM(N178,N182,N188)</f>
        <v>1131418.9517631074</v>
      </c>
    </row>
    <row r="191" spans="10:14">
      <c r="J191" s="1091"/>
      <c r="N191" s="1440"/>
    </row>
    <row r="192" spans="10:14">
      <c r="J192" s="1091" t="str">
        <f>B39</f>
        <v xml:space="preserve">  Admin. Allocation</v>
      </c>
      <c r="L192" s="1441">
        <f>D39</f>
        <v>0.12</v>
      </c>
      <c r="N192" s="1463">
        <f ca="1">L192*N190</f>
        <v>135770.27421157289</v>
      </c>
    </row>
    <row r="193" spans="10:15">
      <c r="J193" s="1091"/>
      <c r="N193" s="1470"/>
    </row>
    <row r="194" spans="10:15" ht="13.5" thickBot="1">
      <c r="J194" s="1510" t="s">
        <v>25</v>
      </c>
      <c r="K194" s="1444"/>
      <c r="L194" s="1444"/>
      <c r="M194" s="1444"/>
      <c r="N194" s="1529">
        <f ca="1">SUM(N190:N192)</f>
        <v>1267189.2259746804</v>
      </c>
    </row>
    <row r="195" spans="10:15" ht="13.5" thickTop="1">
      <c r="J195" s="1091"/>
      <c r="N195" s="1471"/>
    </row>
    <row r="196" spans="10:15" ht="13.5" thickBot="1">
      <c r="J196" s="1091" t="str">
        <f>J153</f>
        <v xml:space="preserve">CAF </v>
      </c>
      <c r="L196" s="1447">
        <f>D41</f>
        <v>2.5758086673353865E-2</v>
      </c>
      <c r="N196" s="1472">
        <f ca="1">N194+(N194*L196)-(N175*L196)</f>
        <v>1278612.541093145</v>
      </c>
    </row>
    <row r="197" spans="10:15" ht="13.5" thickTop="1">
      <c r="J197" s="1091"/>
      <c r="N197" s="1401"/>
    </row>
    <row r="198" spans="10:15" ht="13.5" thickBot="1">
      <c r="J198" s="1091" t="s">
        <v>28</v>
      </c>
      <c r="K198" s="1168"/>
      <c r="L198" s="1168"/>
      <c r="M198" s="1452"/>
      <c r="N198" s="2072">
        <f ca="1">N196/N163</f>
        <v>318.45891434449442</v>
      </c>
    </row>
    <row r="199" spans="10:15" ht="13.5" thickBot="1">
      <c r="J199" s="1464"/>
      <c r="K199" s="1469"/>
      <c r="L199" s="1168"/>
      <c r="M199" s="1452"/>
      <c r="N199" s="1519"/>
    </row>
    <row r="200" spans="10:15">
      <c r="M200" s="985" t="s">
        <v>783</v>
      </c>
      <c r="N200" s="1513">
        <v>261.93</v>
      </c>
    </row>
    <row r="201" spans="10:15">
      <c r="M201" s="1439"/>
      <c r="N201" s="1520">
        <f ca="1">N198-N200</f>
        <v>56.52891434449441</v>
      </c>
      <c r="O201" s="1145">
        <f ca="1">N201/N200</f>
        <v>0.21581687605274083</v>
      </c>
    </row>
  </sheetData>
  <mergeCells count="10">
    <mergeCell ref="J118:N118"/>
    <mergeCell ref="J119:N119"/>
    <mergeCell ref="J162:N162"/>
    <mergeCell ref="B1:H1"/>
    <mergeCell ref="J1:N1"/>
    <mergeCell ref="J8:N8"/>
    <mergeCell ref="J48:N48"/>
    <mergeCell ref="J84:N84"/>
    <mergeCell ref="H27:K27"/>
    <mergeCell ref="H14:H15"/>
  </mergeCells>
  <pageMargins left="0.25" right="0.25" top="0" bottom="0" header="0.3" footer="0"/>
  <pageSetup scale="61" fitToHeight="0" orientation="portrait" r:id="rId1"/>
  <headerFooter>
    <oddFooter>&amp;R&amp;P of &amp;N</oddFooter>
  </headerFooter>
  <rowBreaks count="3" manualBreakCount="3">
    <brk id="46" min="9" max="14" man="1"/>
    <brk id="116" min="9" max="14" man="1"/>
    <brk id="159" min="9" max="14" man="1"/>
  </rowBreaks>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3" tint="0.79998168889431442"/>
    <pageSetUpPr fitToPage="1"/>
  </sheetPr>
  <dimension ref="B1:O200"/>
  <sheetViews>
    <sheetView topLeftCell="A22" zoomScale="80" zoomScaleNormal="80" workbookViewId="0">
      <selection activeCell="B42" sqref="B42:G42"/>
    </sheetView>
  </sheetViews>
  <sheetFormatPr defaultColWidth="9.42578125" defaultRowHeight="12.75"/>
  <cols>
    <col min="1" max="1" width="9.42578125" style="985" customWidth="1"/>
    <col min="2" max="2" width="26.42578125" style="985" customWidth="1"/>
    <col min="3" max="3" width="9.42578125" style="985" customWidth="1"/>
    <col min="4" max="5" width="12.42578125" style="985" customWidth="1"/>
    <col min="6" max="6" width="14.42578125" style="985" customWidth="1"/>
    <col min="7" max="7" width="92.42578125" style="985" customWidth="1"/>
    <col min="8" max="8" width="3.5703125" style="985" customWidth="1"/>
    <col min="9" max="9" width="27" style="985" customWidth="1"/>
    <col min="10" max="10" width="10.42578125" style="985" customWidth="1"/>
    <col min="11" max="12" width="15.42578125" style="985" customWidth="1"/>
    <col min="13" max="13" width="20.5703125" style="985" customWidth="1"/>
    <col min="14" max="14" width="12.42578125" style="985" customWidth="1"/>
    <col min="15" max="15" width="20.42578125" style="985" customWidth="1"/>
    <col min="16" max="16" width="9.42578125" style="985"/>
    <col min="17" max="17" width="13.5703125" style="985" customWidth="1"/>
    <col min="18" max="18" width="10.5703125" style="985" customWidth="1"/>
    <col min="19" max="19" width="15.42578125" style="985" bestFit="1" customWidth="1"/>
    <col min="20" max="20" width="10.5703125" style="985" customWidth="1"/>
    <col min="21" max="21" width="15.5703125" style="985" customWidth="1"/>
    <col min="22" max="16384" width="9.42578125" style="985"/>
  </cols>
  <sheetData>
    <row r="1" spans="2:15" ht="13.5" thickBot="1">
      <c r="B1" s="2595" t="s">
        <v>546</v>
      </c>
      <c r="C1" s="2595"/>
      <c r="D1" s="2595"/>
      <c r="E1" s="2595"/>
      <c r="F1" s="2595"/>
      <c r="G1" s="2595"/>
      <c r="I1" s="2595" t="s">
        <v>380</v>
      </c>
      <c r="J1" s="2595"/>
      <c r="K1" s="2595"/>
      <c r="L1" s="2595"/>
      <c r="M1" s="2595"/>
    </row>
    <row r="2" spans="2:15" ht="13.5" thickBot="1">
      <c r="B2" s="1477"/>
    </row>
    <row r="3" spans="2:15">
      <c r="B3" s="1478" t="s">
        <v>0</v>
      </c>
      <c r="C3" s="1479" t="s">
        <v>1</v>
      </c>
      <c r="D3" s="1480" t="s">
        <v>2</v>
      </c>
      <c r="E3" s="1481"/>
    </row>
    <row r="4" spans="2:15">
      <c r="B4" s="1091" t="s">
        <v>370</v>
      </c>
      <c r="C4" s="1400">
        <v>15</v>
      </c>
      <c r="D4" s="1380">
        <f>C4*8</f>
        <v>120</v>
      </c>
      <c r="E4" s="1400"/>
    </row>
    <row r="5" spans="2:15">
      <c r="B5" s="1091" t="s">
        <v>378</v>
      </c>
      <c r="C5" s="1400">
        <v>8</v>
      </c>
      <c r="D5" s="1380">
        <f>C5*8</f>
        <v>64</v>
      </c>
      <c r="E5" s="1400"/>
    </row>
    <row r="6" spans="2:15">
      <c r="B6" s="1091" t="s">
        <v>372</v>
      </c>
      <c r="C6" s="1400">
        <v>10</v>
      </c>
      <c r="D6" s="1380">
        <f>C6*8</f>
        <v>80</v>
      </c>
      <c r="E6" s="1400"/>
    </row>
    <row r="7" spans="2:15" ht="13.5" thickBot="1">
      <c r="B7" s="142" t="s">
        <v>902</v>
      </c>
      <c r="C7" s="1400">
        <v>5</v>
      </c>
      <c r="D7" s="1381">
        <f>C7*8</f>
        <v>40</v>
      </c>
      <c r="E7" s="1400"/>
    </row>
    <row r="8" spans="2:15" ht="13.5" thickBot="1">
      <c r="B8" s="1091"/>
      <c r="C8" s="1382" t="s">
        <v>3</v>
      </c>
      <c r="D8" s="1380">
        <f>SUM(D4:D7)</f>
        <v>304</v>
      </c>
      <c r="E8" s="1400"/>
      <c r="I8" s="2596" t="s">
        <v>572</v>
      </c>
      <c r="J8" s="2597"/>
      <c r="K8" s="2597"/>
      <c r="L8" s="2597"/>
      <c r="M8" s="2598"/>
    </row>
    <row r="9" spans="2:15" ht="13.5" thickBot="1">
      <c r="B9" s="1383"/>
      <c r="C9" s="1384" t="s">
        <v>4</v>
      </c>
      <c r="D9" s="1385">
        <f>D8/(52*40)</f>
        <v>0.14615384615384616</v>
      </c>
      <c r="E9" s="1482"/>
      <c r="I9" s="1478" t="s">
        <v>277</v>
      </c>
      <c r="J9" s="1479">
        <v>5</v>
      </c>
      <c r="K9" s="1483"/>
      <c r="L9" s="1484" t="s">
        <v>133</v>
      </c>
      <c r="M9" s="1485">
        <f>J9*365</f>
        <v>1825</v>
      </c>
    </row>
    <row r="10" spans="2:15" ht="13.5" thickBot="1">
      <c r="F10" s="985" t="s">
        <v>816</v>
      </c>
      <c r="I10" s="1091"/>
      <c r="M10" s="1401"/>
    </row>
    <row r="11" spans="2:15" ht="26.25" thickBot="1">
      <c r="B11" s="1402"/>
      <c r="C11" s="1486"/>
      <c r="D11" s="1486" t="s">
        <v>41</v>
      </c>
      <c r="E11" s="1486"/>
      <c r="F11" s="1487"/>
      <c r="G11" s="1488" t="s">
        <v>278</v>
      </c>
      <c r="I11" s="1489"/>
      <c r="J11" s="1490"/>
      <c r="K11" s="1404" t="s">
        <v>5</v>
      </c>
      <c r="L11" s="1404" t="s">
        <v>6</v>
      </c>
      <c r="M11" s="1405" t="s">
        <v>7</v>
      </c>
    </row>
    <row r="12" spans="2:15">
      <c r="B12" s="1402" t="s">
        <v>29</v>
      </c>
      <c r="C12" s="1406"/>
      <c r="D12" s="1492"/>
      <c r="E12" s="1386"/>
      <c r="F12" s="1406"/>
      <c r="G12" s="1407"/>
      <c r="I12" s="1091" t="s">
        <v>29</v>
      </c>
      <c r="J12" s="1187"/>
      <c r="K12" s="1400"/>
      <c r="L12" s="1400"/>
      <c r="M12" s="1380"/>
    </row>
    <row r="13" spans="2:15">
      <c r="B13" s="1345" t="s">
        <v>421</v>
      </c>
      <c r="C13" s="1408"/>
      <c r="D13" s="1409">
        <f>85899*(1+D41)</f>
        <v>92496.84919424048</v>
      </c>
      <c r="E13" s="1387"/>
      <c r="F13" s="1313"/>
      <c r="G13" s="484" t="str">
        <f>Med_Int_Spec!G14</f>
        <v>FY16 UFR, Weighted Average, Program Function Manager</v>
      </c>
      <c r="I13" s="1091" t="str">
        <f>B13</f>
        <v xml:space="preserve">  Management Supervision</v>
      </c>
      <c r="J13" s="1410"/>
      <c r="K13" s="1411">
        <f>D13</f>
        <v>92496.84919424048</v>
      </c>
      <c r="L13" s="1412">
        <f>C46</f>
        <v>0.1</v>
      </c>
      <c r="M13" s="1413">
        <f>K13*L13</f>
        <v>9249.6849194240476</v>
      </c>
      <c r="N13" s="1414"/>
      <c r="O13" s="1415"/>
    </row>
    <row r="14" spans="2:15">
      <c r="B14" s="1345" t="s">
        <v>402</v>
      </c>
      <c r="C14" s="1408"/>
      <c r="D14" s="1409">
        <f>50000*(1+D41)</f>
        <v>53840.469152283775</v>
      </c>
      <c r="E14" s="1387">
        <v>60923</v>
      </c>
      <c r="F14" s="1313"/>
      <c r="G14" s="1416" t="s">
        <v>908</v>
      </c>
      <c r="I14" s="1091" t="str">
        <f>B14</f>
        <v xml:space="preserve">  Specialty Site Manager</v>
      </c>
      <c r="J14" s="1410"/>
      <c r="K14" s="1411">
        <f>E14</f>
        <v>60923</v>
      </c>
      <c r="L14" s="1412">
        <f>C47</f>
        <v>1</v>
      </c>
      <c r="M14" s="1413">
        <f>K14*L14</f>
        <v>60923</v>
      </c>
      <c r="N14" s="1414"/>
      <c r="O14" s="1415"/>
    </row>
    <row r="15" spans="2:15">
      <c r="B15" s="1345" t="s">
        <v>30</v>
      </c>
      <c r="C15" s="1408"/>
      <c r="D15" s="1409"/>
      <c r="E15" s="1387"/>
      <c r="F15" s="1313"/>
      <c r="G15" s="1417"/>
      <c r="I15" s="1091" t="s">
        <v>31</v>
      </c>
      <c r="J15" s="1410"/>
      <c r="K15" s="1411"/>
      <c r="L15" s="1412"/>
      <c r="M15" s="1413"/>
      <c r="N15" s="1414"/>
      <c r="O15" s="1415"/>
    </row>
    <row r="16" spans="2:15">
      <c r="B16" s="1345" t="s">
        <v>125</v>
      </c>
      <c r="C16" s="1408"/>
      <c r="D16" s="1409">
        <f>'FY15 Salary Benchmark'!C13*(1+D41)</f>
        <v>72789.28066227409</v>
      </c>
      <c r="E16" s="1387"/>
      <c r="F16" s="1313"/>
      <c r="G16" s="1401" t="s">
        <v>453</v>
      </c>
      <c r="I16" s="1091" t="str">
        <f>B20</f>
        <v xml:space="preserve">  DC Evening Supervisor (DC III)</v>
      </c>
      <c r="J16" s="1410"/>
      <c r="K16" s="1209">
        <f>D20</f>
        <v>41516.800000000003</v>
      </c>
      <c r="L16" s="1412">
        <f>C53</f>
        <v>1</v>
      </c>
      <c r="M16" s="1413">
        <f>K16*L16</f>
        <v>41516.800000000003</v>
      </c>
      <c r="N16" s="1414"/>
      <c r="O16" s="1415"/>
    </row>
    <row r="17" spans="2:15">
      <c r="B17" s="1388" t="s">
        <v>47</v>
      </c>
      <c r="C17" s="1418"/>
      <c r="D17" s="1524">
        <f>Chart!C14</f>
        <v>60923.199999999997</v>
      </c>
      <c r="F17" s="1313"/>
      <c r="G17" s="49" t="s">
        <v>886</v>
      </c>
      <c r="I17" s="1091" t="str">
        <f>B21</f>
        <v xml:space="preserve">  Direct Care III</v>
      </c>
      <c r="J17" s="1410"/>
      <c r="K17" s="1209">
        <f>D20</f>
        <v>41516.800000000003</v>
      </c>
      <c r="L17" s="1412">
        <f>C54</f>
        <v>1.75</v>
      </c>
      <c r="M17" s="1413">
        <f>L17*K17</f>
        <v>72654.400000000009</v>
      </c>
      <c r="N17" s="1414"/>
      <c r="O17" s="1415"/>
    </row>
    <row r="18" spans="2:15">
      <c r="B18" s="1345" t="s">
        <v>126</v>
      </c>
      <c r="C18" s="1408"/>
      <c r="D18" s="1523">
        <f>Chart!C18</f>
        <v>57449.599999999999</v>
      </c>
      <c r="F18" s="1313"/>
      <c r="G18" s="49" t="s">
        <v>886</v>
      </c>
      <c r="I18" s="1091" t="str">
        <f>B22</f>
        <v xml:space="preserve">  Direct Care</v>
      </c>
      <c r="J18" s="1410"/>
      <c r="K18" s="1209">
        <f>D22</f>
        <v>32198.400000000001</v>
      </c>
      <c r="L18" s="1412">
        <f>C55</f>
        <v>8.25</v>
      </c>
      <c r="M18" s="1413">
        <f>K18*L18</f>
        <v>265636.8</v>
      </c>
      <c r="N18" s="1414"/>
      <c r="O18" s="1415"/>
    </row>
    <row r="19" spans="2:15">
      <c r="B19" s="1345" t="s">
        <v>31</v>
      </c>
      <c r="C19" s="1408"/>
      <c r="D19" s="1409"/>
      <c r="E19" s="1387"/>
      <c r="F19" s="1313"/>
      <c r="G19" s="991"/>
      <c r="I19" s="1389" t="str">
        <f>B23</f>
        <v xml:space="preserve">  Relief</v>
      </c>
      <c r="J19" s="1410"/>
      <c r="K19" s="1209">
        <f>D23</f>
        <v>32198.400000000001</v>
      </c>
      <c r="L19" s="1412">
        <f>C56</f>
        <v>1.54</v>
      </c>
      <c r="M19" s="1413">
        <f>K19*L19</f>
        <v>49585.536</v>
      </c>
      <c r="N19" s="1414"/>
      <c r="O19" s="1415"/>
    </row>
    <row r="20" spans="2:15">
      <c r="B20" s="1345" t="s">
        <v>909</v>
      </c>
      <c r="C20" s="1408"/>
      <c r="D20" s="1523">
        <f>Chart!C6</f>
        <v>41516.800000000003</v>
      </c>
      <c r="F20" s="1496"/>
      <c r="G20" s="49" t="s">
        <v>886</v>
      </c>
      <c r="I20" s="1419" t="s">
        <v>13</v>
      </c>
      <c r="J20" s="1420"/>
      <c r="K20" s="1420"/>
      <c r="L20" s="1135">
        <f>SUM(L13:L19)</f>
        <v>13.64</v>
      </c>
      <c r="M20" s="1421">
        <f>SUM(M13:M19)</f>
        <v>499566.22091942409</v>
      </c>
      <c r="N20" s="1414"/>
      <c r="O20" s="1415"/>
    </row>
    <row r="21" spans="2:15">
      <c r="B21" s="1345" t="s">
        <v>875</v>
      </c>
      <c r="C21" s="1408"/>
      <c r="D21" s="1523">
        <f>Chart!C6</f>
        <v>41516.800000000003</v>
      </c>
      <c r="F21" s="1496"/>
      <c r="G21" s="49" t="s">
        <v>886</v>
      </c>
      <c r="I21" s="1091"/>
      <c r="M21" s="1401"/>
      <c r="N21" s="1414"/>
      <c r="O21" s="1415"/>
    </row>
    <row r="22" spans="2:15">
      <c r="B22" s="1345" t="str">
        <f>'Med_Int_Spec (FY21)'!B21</f>
        <v xml:space="preserve">  Direct Care</v>
      </c>
      <c r="C22" s="1408"/>
      <c r="D22" s="1523">
        <f>Chart!C4</f>
        <v>32198.400000000001</v>
      </c>
      <c r="F22" s="1313"/>
      <c r="G22" s="49" t="s">
        <v>886</v>
      </c>
      <c r="I22" s="848" t="s">
        <v>15</v>
      </c>
      <c r="L22" s="1398" t="s">
        <v>16</v>
      </c>
      <c r="M22" s="1401"/>
      <c r="N22" s="1414"/>
      <c r="O22" s="1415"/>
    </row>
    <row r="23" spans="2:15">
      <c r="B23" s="1345" t="s">
        <v>349</v>
      </c>
      <c r="C23" s="1408"/>
      <c r="D23" s="1523">
        <f>D22</f>
        <v>32198.400000000001</v>
      </c>
      <c r="F23" s="1313"/>
      <c r="G23" s="49" t="s">
        <v>984</v>
      </c>
      <c r="I23" s="1091" t="str">
        <f>B27</f>
        <v xml:space="preserve">  Tax and Fringe</v>
      </c>
      <c r="K23" s="1207">
        <f>D27</f>
        <v>0.224</v>
      </c>
      <c r="M23" s="1422">
        <f>K23*M20</f>
        <v>111902.83348595099</v>
      </c>
      <c r="N23" s="1414"/>
      <c r="O23" s="1415"/>
    </row>
    <row r="24" spans="2:15">
      <c r="B24" s="1345"/>
      <c r="C24" s="1313"/>
      <c r="D24" s="1409"/>
      <c r="E24" s="1387"/>
      <c r="F24" s="1313"/>
      <c r="G24" s="1401"/>
      <c r="I24" s="1419" t="s">
        <v>18</v>
      </c>
      <c r="J24" s="1420"/>
      <c r="K24" s="1420"/>
      <c r="L24" s="1423"/>
      <c r="M24" s="1424">
        <f>M20+M23</f>
        <v>611469.05440537503</v>
      </c>
      <c r="N24" s="1414"/>
      <c r="O24" s="1415"/>
    </row>
    <row r="25" spans="2:15">
      <c r="B25" s="1345"/>
      <c r="C25" s="1313"/>
      <c r="D25" s="1409"/>
      <c r="E25" s="1387"/>
      <c r="F25" s="1313"/>
      <c r="G25" s="1401"/>
      <c r="I25" s="1091"/>
      <c r="L25" s="1092"/>
      <c r="M25" s="1413"/>
      <c r="N25" s="1414"/>
      <c r="O25" s="1415"/>
    </row>
    <row r="26" spans="2:15">
      <c r="B26" s="1345"/>
      <c r="C26" s="1313"/>
      <c r="D26" s="1499" t="s">
        <v>42</v>
      </c>
      <c r="E26" s="1390"/>
      <c r="F26" s="1313"/>
      <c r="G26" s="1401"/>
      <c r="I26" s="1489" t="s">
        <v>328</v>
      </c>
      <c r="J26" s="1500"/>
      <c r="K26" s="1491" t="s">
        <v>19</v>
      </c>
      <c r="L26" s="1501" t="s">
        <v>20</v>
      </c>
      <c r="M26" s="1502" t="s">
        <v>7</v>
      </c>
      <c r="N26" s="1414"/>
      <c r="O26" s="1415"/>
    </row>
    <row r="27" spans="2:15">
      <c r="B27" s="1345" t="s">
        <v>434</v>
      </c>
      <c r="C27" s="1313"/>
      <c r="D27" s="1522">
        <f>'Integrated Team (FY21)'!E32</f>
        <v>0.224</v>
      </c>
      <c r="F27" s="1313"/>
      <c r="G27" s="1432" t="s">
        <v>978</v>
      </c>
      <c r="I27" s="1091" t="str">
        <f>B31</f>
        <v xml:space="preserve">  Psychologist</v>
      </c>
      <c r="K27" s="1358">
        <f>D31</f>
        <v>135.32</v>
      </c>
      <c r="L27" s="1429">
        <f>C31*52</f>
        <v>52</v>
      </c>
      <c r="M27" s="1422">
        <f>K27*L27</f>
        <v>7036.6399999999994</v>
      </c>
      <c r="N27" s="1414"/>
      <c r="O27" s="1415"/>
    </row>
    <row r="28" spans="2:15">
      <c r="B28" s="1345"/>
      <c r="C28" s="1430"/>
      <c r="D28" s="1430"/>
      <c r="E28" s="1392"/>
      <c r="F28" s="1430"/>
      <c r="G28" s="1401"/>
      <c r="I28" s="1419" t="s">
        <v>21</v>
      </c>
      <c r="J28" s="1420"/>
      <c r="K28" s="1420"/>
      <c r="L28" s="1420"/>
      <c r="M28" s="1424">
        <f>SUM(M27:M27)</f>
        <v>7036.6399999999994</v>
      </c>
      <c r="N28" s="1414"/>
      <c r="O28" s="1415"/>
    </row>
    <row r="29" spans="2:15">
      <c r="B29" s="1345"/>
      <c r="C29" s="1430"/>
      <c r="D29" s="1430"/>
      <c r="E29" s="1392"/>
      <c r="F29" s="1430"/>
      <c r="G29" s="1401"/>
      <c r="I29" s="1091" t="str">
        <f>B40</f>
        <v>PFLMA Trust Contribution</v>
      </c>
      <c r="L29" s="1213">
        <f>D40</f>
        <v>3.7000000000000002E-3</v>
      </c>
      <c r="M29" s="1422">
        <f>M20*L29</f>
        <v>1848.3950174018692</v>
      </c>
      <c r="N29" s="1414"/>
      <c r="O29" s="1415"/>
    </row>
    <row r="30" spans="2:15">
      <c r="B30" s="1345"/>
      <c r="C30" s="1503"/>
      <c r="D30" s="1504" t="s">
        <v>328</v>
      </c>
      <c r="E30" s="1393"/>
      <c r="F30" s="1503"/>
      <c r="G30" s="1401"/>
      <c r="I30" s="1091" t="str">
        <f>B34</f>
        <v xml:space="preserve">  Staff Training</v>
      </c>
      <c r="L30" s="1092">
        <f>D34</f>
        <v>277.77888799999999</v>
      </c>
      <c r="M30" s="1098">
        <f>L30*L20</f>
        <v>3788.9040323200002</v>
      </c>
      <c r="N30" s="1414"/>
      <c r="O30" s="1145"/>
    </row>
    <row r="31" spans="2:15">
      <c r="B31" s="1345" t="s">
        <v>125</v>
      </c>
      <c r="C31" s="1408">
        <v>1</v>
      </c>
      <c r="D31" s="1305">
        <f>'Integrated Team (FY21)'!E35</f>
        <v>135.32</v>
      </c>
      <c r="E31" s="1394"/>
      <c r="F31" s="1496"/>
      <c r="G31" s="1432" t="str">
        <f>'Integrated Team (FY21)'!H35</f>
        <v>BLS /OES Massachusetts Median 2018</v>
      </c>
      <c r="I31" s="1091" t="s">
        <v>435</v>
      </c>
      <c r="L31" s="1358"/>
      <c r="M31" s="1359">
        <f>D35</f>
        <v>6191.6539525126345</v>
      </c>
      <c r="N31" s="1414"/>
      <c r="O31" s="1415"/>
    </row>
    <row r="32" spans="2:15">
      <c r="B32" s="1345"/>
      <c r="C32" s="1433"/>
      <c r="E32" s="933"/>
      <c r="F32" s="1433"/>
      <c r="G32" s="1401"/>
      <c r="I32" s="1091" t="str">
        <f>B37</f>
        <v xml:space="preserve">  Meals / Food***</v>
      </c>
      <c r="L32" s="1358">
        <f>D37</f>
        <v>8.16</v>
      </c>
      <c r="M32" s="1359">
        <f>L32*M9</f>
        <v>14892</v>
      </c>
      <c r="N32" s="1414"/>
      <c r="O32" s="1415"/>
    </row>
    <row r="33" spans="2:15" ht="25.5">
      <c r="B33" s="1345"/>
      <c r="C33" s="1433"/>
      <c r="E33" s="933"/>
      <c r="F33" s="1433"/>
      <c r="G33" s="1401"/>
      <c r="I33" s="1395" t="str">
        <f>B36</f>
        <v xml:space="preserve">  Program Supplies &amp; Materials</v>
      </c>
      <c r="L33" s="1434">
        <f>D36</f>
        <v>642.72053101483573</v>
      </c>
      <c r="M33" s="1359">
        <f>L33*L20</f>
        <v>8766.7080430423593</v>
      </c>
      <c r="N33" s="1414"/>
      <c r="O33" s="1415"/>
    </row>
    <row r="34" spans="2:15">
      <c r="B34" s="1505" t="str">
        <f>Med_Int_Spec!B32</f>
        <v xml:space="preserve">  Staff Training</v>
      </c>
      <c r="C34" s="1506"/>
      <c r="D34" s="1507">
        <f>'Med_Int_Spec (FY21)'!D33</f>
        <v>277.77888799999999</v>
      </c>
      <c r="E34" s="948"/>
      <c r="F34" s="1506"/>
      <c r="G34" s="1401" t="str">
        <f>Med_Int_Spec!G32</f>
        <v>Avg of the FY15 CBFS data per FTE.</v>
      </c>
      <c r="I34" s="1091"/>
      <c r="L34" s="1358"/>
      <c r="M34" s="1435">
        <f>SUM(M29:M33)</f>
        <v>35487.661045276865</v>
      </c>
      <c r="N34" s="1414"/>
      <c r="O34" s="1415"/>
    </row>
    <row r="35" spans="2:15">
      <c r="B35" s="1345" t="s">
        <v>435</v>
      </c>
      <c r="C35" s="1313"/>
      <c r="D35" s="1436">
        <f>Med_Int_Spec!D33</f>
        <v>6191.6539525126345</v>
      </c>
      <c r="E35" s="1396"/>
      <c r="F35" s="1496"/>
      <c r="G35" s="1401" t="str">
        <f>Med_Int_Spec!G33</f>
        <v>Benchmark: 101 CMR 420: allocation for van, 1 van / 2 GLEs</v>
      </c>
      <c r="I35" s="1091"/>
      <c r="L35" s="1092"/>
      <c r="M35" s="1440"/>
      <c r="N35" s="1414"/>
      <c r="O35" s="1415"/>
    </row>
    <row r="36" spans="2:15">
      <c r="B36" s="1345" t="s">
        <v>454</v>
      </c>
      <c r="C36" s="1313"/>
      <c r="D36" s="1206">
        <f>'Integrated Team (FY21)'!E44</f>
        <v>642.72053101483573</v>
      </c>
      <c r="E36" s="892"/>
      <c r="F36" s="1496"/>
      <c r="G36" s="1401" t="str">
        <f>'Integrated Team (FY21)'!H44</f>
        <v>Program Supplies &amp; Materials (33E) per FTE.</v>
      </c>
      <c r="I36" s="1419" t="s">
        <v>23</v>
      </c>
      <c r="J36" s="1420"/>
      <c r="K36" s="1420"/>
      <c r="L36" s="1420"/>
      <c r="M36" s="1437">
        <f>SUM(M24,M28,M34)</f>
        <v>653993.35545065196</v>
      </c>
      <c r="N36" s="1414"/>
      <c r="O36" s="1415"/>
    </row>
    <row r="37" spans="2:15">
      <c r="B37" s="1345" t="s">
        <v>792</v>
      </c>
      <c r="C37" s="1313"/>
      <c r="D37" s="1507">
        <v>8.16</v>
      </c>
      <c r="E37" s="948"/>
      <c r="G37" s="1438" t="s">
        <v>599</v>
      </c>
      <c r="I37" s="1091"/>
      <c r="L37" s="1439"/>
      <c r="M37" s="1440"/>
      <c r="N37" s="1414"/>
      <c r="O37" s="1415"/>
    </row>
    <row r="38" spans="2:15">
      <c r="B38" s="1345"/>
      <c r="C38" s="1313"/>
      <c r="D38" s="1313"/>
      <c r="E38" s="1378"/>
      <c r="F38" s="1313"/>
      <c r="G38" s="1401"/>
      <c r="I38" s="1091" t="str">
        <f>B39</f>
        <v xml:space="preserve">  Admin. Allocation</v>
      </c>
      <c r="K38" s="1441">
        <f>D39</f>
        <v>0.12</v>
      </c>
      <c r="M38" s="1422">
        <f>K38*M36</f>
        <v>78479.202654078239</v>
      </c>
      <c r="N38" s="1414"/>
      <c r="O38" s="1415"/>
    </row>
    <row r="39" spans="2:15" ht="13.5" thickBot="1">
      <c r="B39" s="1345" t="s">
        <v>437</v>
      </c>
      <c r="C39" s="1313"/>
      <c r="D39" s="1428">
        <f>'Integrated Team (FY21)'!E46</f>
        <v>0.12</v>
      </c>
      <c r="E39" s="1391"/>
      <c r="F39" s="1313"/>
      <c r="G39" s="484" t="s">
        <v>472</v>
      </c>
      <c r="I39" s="1443" t="s">
        <v>25</v>
      </c>
      <c r="J39" s="1474"/>
      <c r="K39" s="1474"/>
      <c r="L39" s="1474"/>
      <c r="M39" s="1445">
        <f>SUM(M36:M38)</f>
        <v>732472.55810473021</v>
      </c>
      <c r="N39" s="1414"/>
      <c r="O39" s="1415"/>
    </row>
    <row r="40" spans="2:15" ht="14.25" thickTop="1" thickBot="1">
      <c r="B40" s="1345" t="s">
        <v>788</v>
      </c>
      <c r="D40" s="1521">
        <f>Chart!C32</f>
        <v>3.7000000000000002E-3</v>
      </c>
      <c r="E40" s="1391"/>
      <c r="F40" s="1313"/>
      <c r="G40" s="484" t="s">
        <v>782</v>
      </c>
      <c r="I40" s="1091" t="str">
        <f>B41</f>
        <v>CAF rate</v>
      </c>
      <c r="K40" s="1525">
        <f>D42</f>
        <v>1.7780248869661817E-2</v>
      </c>
      <c r="M40" s="1448">
        <f>M39+(M39*K40)-(M20*K40)</f>
        <v>736613.6907432063</v>
      </c>
      <c r="N40" s="1449"/>
    </row>
    <row r="41" spans="2:15" ht="13.5" thickTop="1">
      <c r="B41" s="1345" t="s">
        <v>37</v>
      </c>
      <c r="C41" s="1313"/>
      <c r="D41" s="1428">
        <f>'Med_Int_Spec (FY21)'!D40</f>
        <v>7.6809383045675458E-2</v>
      </c>
      <c r="E41" s="1391"/>
      <c r="F41" s="1313"/>
      <c r="G41" s="1446" t="s">
        <v>781</v>
      </c>
      <c r="I41" s="1091"/>
      <c r="M41" s="1462"/>
      <c r="N41" s="1414"/>
    </row>
    <row r="42" spans="2:15" ht="13.5" thickBot="1">
      <c r="B42" s="1091" t="s">
        <v>37</v>
      </c>
      <c r="D42" s="1521">
        <f>Chart!C31</f>
        <v>1.7780248869661817E-2</v>
      </c>
      <c r="E42" s="1391"/>
      <c r="G42" s="1401" t="s">
        <v>780</v>
      </c>
      <c r="I42" s="1383" t="s">
        <v>28</v>
      </c>
      <c r="J42" s="1168"/>
      <c r="K42" s="1168"/>
      <c r="L42" s="1452"/>
      <c r="M42" s="1759">
        <f>M40/M9</f>
        <v>403.62394013326372</v>
      </c>
      <c r="N42" s="1414"/>
      <c r="O42" s="1092"/>
    </row>
    <row r="43" spans="2:15">
      <c r="B43" s="1345"/>
      <c r="C43" s="1313"/>
      <c r="D43" s="1428"/>
      <c r="E43" s="1428"/>
      <c r="F43" s="1313" t="s">
        <v>815</v>
      </c>
      <c r="G43" s="1401"/>
      <c r="J43" s="1454"/>
      <c r="L43" s="1439" t="s">
        <v>783</v>
      </c>
      <c r="M43" s="1513">
        <v>395.91</v>
      </c>
      <c r="N43" s="1414"/>
      <c r="O43" s="1092"/>
    </row>
    <row r="44" spans="2:15">
      <c r="B44" s="1351" t="s">
        <v>35</v>
      </c>
      <c r="C44" s="1511" t="s">
        <v>424</v>
      </c>
      <c r="D44" s="1511" t="s">
        <v>425</v>
      </c>
      <c r="E44" s="1512" t="s">
        <v>426</v>
      </c>
      <c r="F44" s="1511" t="s">
        <v>424</v>
      </c>
      <c r="G44" s="1512" t="s">
        <v>426</v>
      </c>
      <c r="J44" s="1454"/>
      <c r="L44" s="1439"/>
      <c r="M44" s="1513">
        <f>M42-M43</f>
        <v>7.7139401332636908</v>
      </c>
      <c r="N44" s="1145">
        <f>M44/M43</f>
        <v>1.948407500003458E-2</v>
      </c>
      <c r="O44" s="1092"/>
    </row>
    <row r="45" spans="2:15">
      <c r="B45" s="1091" t="s">
        <v>29</v>
      </c>
      <c r="E45" s="1451"/>
      <c r="F45" s="1450"/>
      <c r="G45" s="1451"/>
      <c r="J45" s="1454"/>
      <c r="L45" s="1439"/>
      <c r="M45" s="1513"/>
    </row>
    <row r="46" spans="2:15" ht="13.5" thickBot="1">
      <c r="B46" s="1091" t="s">
        <v>421</v>
      </c>
      <c r="C46" s="1408">
        <v>0.1</v>
      </c>
      <c r="D46" s="1408">
        <v>0.1</v>
      </c>
      <c r="E46" s="1453">
        <v>0.1</v>
      </c>
      <c r="F46" s="1408">
        <v>0.1</v>
      </c>
      <c r="G46" s="1453">
        <v>0.1</v>
      </c>
      <c r="I46" s="1397"/>
      <c r="J46" s="1454"/>
      <c r="L46" s="1439"/>
      <c r="M46" s="1513"/>
    </row>
    <row r="47" spans="2:15" ht="13.5" thickBot="1">
      <c r="B47" s="1091" t="s">
        <v>402</v>
      </c>
      <c r="C47" s="1408">
        <v>1</v>
      </c>
      <c r="D47" s="1408">
        <v>1.6</v>
      </c>
      <c r="E47" s="1453">
        <v>2.2000000000000002</v>
      </c>
      <c r="F47" s="1408">
        <v>1</v>
      </c>
      <c r="G47" s="1453">
        <v>2.2000000000000002</v>
      </c>
      <c r="I47" s="2592" t="s">
        <v>573</v>
      </c>
      <c r="J47" s="2593"/>
      <c r="K47" s="2593"/>
      <c r="L47" s="2593"/>
      <c r="M47" s="2594"/>
    </row>
    <row r="48" spans="2:15">
      <c r="B48" s="1091" t="s">
        <v>30</v>
      </c>
      <c r="C48" s="1408"/>
      <c r="D48" s="1408"/>
      <c r="E48" s="1453"/>
      <c r="F48" s="1455"/>
      <c r="G48" s="1453"/>
      <c r="I48" s="1478" t="s">
        <v>277</v>
      </c>
      <c r="J48" s="1479">
        <v>8</v>
      </c>
      <c r="K48" s="1483"/>
      <c r="L48" s="1484" t="s">
        <v>133</v>
      </c>
      <c r="M48" s="1485">
        <f>J48*365</f>
        <v>2920</v>
      </c>
    </row>
    <row r="49" spans="2:14">
      <c r="B49" s="1091" t="s">
        <v>125</v>
      </c>
      <c r="C49" s="1408"/>
      <c r="D49" s="1408"/>
      <c r="E49" s="1453"/>
      <c r="F49" s="1408">
        <v>0.25</v>
      </c>
      <c r="G49" s="1453">
        <v>0.5</v>
      </c>
      <c r="I49" s="1489"/>
      <c r="J49" s="1490"/>
      <c r="K49" s="1404" t="s">
        <v>5</v>
      </c>
      <c r="L49" s="1404" t="s">
        <v>6</v>
      </c>
      <c r="M49" s="1405" t="s">
        <v>7</v>
      </c>
    </row>
    <row r="50" spans="2:14">
      <c r="B50" s="1091" t="s">
        <v>47</v>
      </c>
      <c r="C50" s="1408"/>
      <c r="D50" s="1408"/>
      <c r="E50" s="1453"/>
      <c r="F50" s="1418">
        <v>0.5</v>
      </c>
      <c r="G50" s="1456">
        <v>0.75</v>
      </c>
      <c r="I50" s="1091" t="str">
        <f>B45</f>
        <v>Management</v>
      </c>
      <c r="J50" s="1187"/>
      <c r="K50" s="1400"/>
      <c r="L50" s="1400"/>
      <c r="M50" s="1380"/>
    </row>
    <row r="51" spans="2:14">
      <c r="B51" s="1091" t="s">
        <v>126</v>
      </c>
      <c r="C51" s="1408"/>
      <c r="D51" s="1408"/>
      <c r="E51" s="1453"/>
      <c r="F51" s="1408">
        <v>0.2</v>
      </c>
      <c r="G51" s="1453">
        <v>0.4</v>
      </c>
      <c r="I51" s="1091" t="str">
        <f>B46</f>
        <v xml:space="preserve">  Management Supervision</v>
      </c>
      <c r="J51" s="1410"/>
      <c r="K51" s="1411">
        <f>D13</f>
        <v>92496.84919424048</v>
      </c>
      <c r="L51" s="1412">
        <f>D46</f>
        <v>0.1</v>
      </c>
      <c r="M51" s="1413">
        <f>K51*L51</f>
        <v>9249.6849194240476</v>
      </c>
      <c r="N51" s="1410"/>
    </row>
    <row r="52" spans="2:14">
      <c r="B52" s="1091" t="s">
        <v>31</v>
      </c>
      <c r="C52" s="1457"/>
      <c r="D52" s="1457"/>
      <c r="E52" s="1514"/>
      <c r="F52" s="1457"/>
      <c r="G52" s="1401"/>
      <c r="I52" s="1091" t="str">
        <f>B47</f>
        <v xml:space="preserve">  Specialty Site Manager</v>
      </c>
      <c r="J52" s="1410"/>
      <c r="K52" s="1411">
        <f>E14</f>
        <v>60923</v>
      </c>
      <c r="L52" s="1412">
        <f>D47</f>
        <v>1.6</v>
      </c>
      <c r="M52" s="1413">
        <f>K52*L52</f>
        <v>97476.800000000003</v>
      </c>
      <c r="N52" s="1410"/>
    </row>
    <row r="53" spans="2:14">
      <c r="B53" s="1091" t="str">
        <f>B20</f>
        <v xml:space="preserve">  DC Evening Supervisor (DC III)</v>
      </c>
      <c r="C53" s="1408">
        <v>1</v>
      </c>
      <c r="D53" s="1408">
        <v>1.25</v>
      </c>
      <c r="E53" s="1453">
        <v>1.5</v>
      </c>
      <c r="F53" s="1455"/>
      <c r="G53" s="1453"/>
      <c r="I53" s="1091" t="str">
        <f>B52</f>
        <v>Direct Care</v>
      </c>
      <c r="J53" s="1410"/>
      <c r="K53" s="1411"/>
      <c r="L53" s="1412"/>
      <c r="M53" s="1413"/>
      <c r="N53" s="1410"/>
    </row>
    <row r="54" spans="2:14">
      <c r="B54" s="1091" t="s">
        <v>910</v>
      </c>
      <c r="C54" s="1408">
        <v>1.75</v>
      </c>
      <c r="D54" s="1408">
        <v>1.75</v>
      </c>
      <c r="E54" s="1453">
        <v>1.75</v>
      </c>
      <c r="F54" s="1408">
        <v>1</v>
      </c>
      <c r="G54" s="1453">
        <v>1.25</v>
      </c>
      <c r="I54" s="1091" t="str">
        <f>B53</f>
        <v xml:space="preserve">  DC Evening Supervisor (DC III)</v>
      </c>
      <c r="J54" s="1410"/>
      <c r="K54" s="1209">
        <f>D20</f>
        <v>41516.800000000003</v>
      </c>
      <c r="L54" s="1412">
        <f>D53</f>
        <v>1.25</v>
      </c>
      <c r="M54" s="1413">
        <f>K54*L54</f>
        <v>51896</v>
      </c>
      <c r="N54" s="1410"/>
    </row>
    <row r="55" spans="2:14">
      <c r="B55" s="1091" t="str">
        <f>B22</f>
        <v xml:space="preserve">  Direct Care</v>
      </c>
      <c r="C55" s="1408">
        <v>8.25</v>
      </c>
      <c r="D55" s="1408">
        <v>9.35</v>
      </c>
      <c r="E55" s="1453">
        <v>10.45</v>
      </c>
      <c r="F55" s="1408">
        <v>6</v>
      </c>
      <c r="G55" s="1453">
        <v>7.95</v>
      </c>
      <c r="I55" s="1091" t="str">
        <f>I17</f>
        <v xml:space="preserve">  Direct Care III</v>
      </c>
      <c r="J55" s="1410"/>
      <c r="K55" s="1209">
        <f>D21</f>
        <v>41516.800000000003</v>
      </c>
      <c r="L55" s="1412">
        <f>D54</f>
        <v>1.75</v>
      </c>
      <c r="M55" s="1413">
        <f>L55*K55</f>
        <v>72654.400000000009</v>
      </c>
      <c r="N55" s="1410"/>
    </row>
    <row r="56" spans="2:14">
      <c r="B56" s="1091" t="s">
        <v>349</v>
      </c>
      <c r="C56" s="1408">
        <v>1.54</v>
      </c>
      <c r="D56" s="1408">
        <v>1.71</v>
      </c>
      <c r="E56" s="1453">
        <v>1.88</v>
      </c>
      <c r="F56" s="1408">
        <f>SUM(F54:F55)*$D$9</f>
        <v>1.0230769230769232</v>
      </c>
      <c r="G56" s="1455">
        <f>SUM(G54:G55)*$D$9</f>
        <v>1.3446153846153845</v>
      </c>
      <c r="I56" s="1091" t="str">
        <f>B55</f>
        <v xml:space="preserve">  Direct Care</v>
      </c>
      <c r="J56" s="1460"/>
      <c r="K56" s="1209">
        <f>D22</f>
        <v>32198.400000000001</v>
      </c>
      <c r="L56" s="1412">
        <f>D55</f>
        <v>9.35</v>
      </c>
      <c r="M56" s="1461">
        <f>K56*L56</f>
        <v>301055.03999999998</v>
      </c>
      <c r="N56" s="1410"/>
    </row>
    <row r="57" spans="2:14" ht="13.5" thickBot="1">
      <c r="B57" s="1383" t="s">
        <v>125</v>
      </c>
      <c r="C57" s="1458">
        <v>2</v>
      </c>
      <c r="D57" s="1458">
        <v>4</v>
      </c>
      <c r="E57" s="1459">
        <v>8</v>
      </c>
      <c r="F57" s="1458">
        <v>2</v>
      </c>
      <c r="G57" s="1459">
        <v>4</v>
      </c>
      <c r="I57" s="1389" t="str">
        <f>B56</f>
        <v xml:space="preserve">  Relief</v>
      </c>
      <c r="J57" s="1410"/>
      <c r="K57" s="1209">
        <f>D23</f>
        <v>32198.400000000001</v>
      </c>
      <c r="L57" s="1412">
        <f>D56</f>
        <v>1.71</v>
      </c>
      <c r="M57" s="1413">
        <f>K57*L57</f>
        <v>55059.264000000003</v>
      </c>
      <c r="N57" s="1410"/>
    </row>
    <row r="58" spans="2:14">
      <c r="I58" s="1419" t="s">
        <v>13</v>
      </c>
      <c r="J58" s="1420"/>
      <c r="K58" s="1420"/>
      <c r="L58" s="1135">
        <f>SUM(L51:L57)</f>
        <v>15.760000000000002</v>
      </c>
      <c r="M58" s="1421">
        <f>SUM(M51:M57)</f>
        <v>587391.18891942408</v>
      </c>
      <c r="N58" s="1410"/>
    </row>
    <row r="59" spans="2:14">
      <c r="B59" s="2600" t="s">
        <v>597</v>
      </c>
      <c r="C59" s="2600"/>
      <c r="D59" s="2600"/>
      <c r="E59" s="2600"/>
      <c r="F59" s="2600"/>
      <c r="G59" s="2600"/>
      <c r="I59" s="1091" t="s">
        <v>15</v>
      </c>
      <c r="L59" s="985" t="s">
        <v>16</v>
      </c>
      <c r="M59" s="1401"/>
      <c r="N59" s="1410"/>
    </row>
    <row r="60" spans="2:14">
      <c r="B60" s="2600"/>
      <c r="C60" s="2600"/>
      <c r="D60" s="2600"/>
      <c r="E60" s="2600"/>
      <c r="F60" s="2600"/>
      <c r="G60" s="2600"/>
      <c r="I60" s="1091" t="str">
        <f>B27</f>
        <v xml:space="preserve">  Tax and Fringe</v>
      </c>
      <c r="K60" s="1207">
        <f>D27</f>
        <v>0.224</v>
      </c>
      <c r="M60" s="1422">
        <f>K60*M58</f>
        <v>131575.62631795098</v>
      </c>
      <c r="N60" s="1410"/>
    </row>
    <row r="61" spans="2:14">
      <c r="I61" s="1419" t="s">
        <v>18</v>
      </c>
      <c r="J61" s="1420"/>
      <c r="K61" s="1420"/>
      <c r="L61" s="1423"/>
      <c r="M61" s="1424">
        <f>M58+M60</f>
        <v>718966.81523737509</v>
      </c>
      <c r="N61" s="1410"/>
    </row>
    <row r="62" spans="2:14">
      <c r="I62" s="1091"/>
      <c r="L62" s="1092"/>
      <c r="M62" s="1413"/>
      <c r="N62" s="1410"/>
    </row>
    <row r="63" spans="2:14">
      <c r="E63" s="985">
        <v>11.1</v>
      </c>
      <c r="F63" s="985">
        <v>12.2</v>
      </c>
      <c r="G63" s="985">
        <v>9.1999999999999993</v>
      </c>
      <c r="I63" s="1403" t="s">
        <v>328</v>
      </c>
      <c r="J63" s="1425"/>
      <c r="K63" s="1404" t="s">
        <v>19</v>
      </c>
      <c r="L63" s="1426" t="s">
        <v>20</v>
      </c>
      <c r="M63" s="1427" t="s">
        <v>7</v>
      </c>
      <c r="N63" s="1410"/>
    </row>
    <row r="64" spans="2:14">
      <c r="E64" s="1412">
        <f>E63-D54</f>
        <v>9.35</v>
      </c>
      <c r="F64" s="1412">
        <f>F63-E54</f>
        <v>10.45</v>
      </c>
      <c r="G64" s="1412">
        <f>9.2-G54</f>
        <v>7.9499999999999993</v>
      </c>
      <c r="I64" s="1091" t="str">
        <f>B31</f>
        <v xml:space="preserve">  Psychologist</v>
      </c>
      <c r="K64" s="1358">
        <f>D31</f>
        <v>135.32</v>
      </c>
      <c r="L64" s="1429">
        <f>D57*52</f>
        <v>208</v>
      </c>
      <c r="M64" s="1422">
        <f>K64*L64</f>
        <v>28146.559999999998</v>
      </c>
      <c r="N64" s="1410"/>
    </row>
    <row r="65" spans="9:14">
      <c r="I65" s="1419" t="s">
        <v>21</v>
      </c>
      <c r="J65" s="1420"/>
      <c r="K65" s="1420"/>
      <c r="L65" s="1420"/>
      <c r="M65" s="1424">
        <f>SUM(M64:M64)</f>
        <v>28146.559999999998</v>
      </c>
      <c r="N65" s="1410"/>
    </row>
    <row r="66" spans="9:14">
      <c r="I66" s="1091" t="str">
        <f>B40</f>
        <v>PFLMA Trust Contribution</v>
      </c>
      <c r="L66" s="1213">
        <f>D40</f>
        <v>3.7000000000000002E-3</v>
      </c>
      <c r="M66" s="1422">
        <f>M58*L66</f>
        <v>2173.3473990018692</v>
      </c>
    </row>
    <row r="67" spans="9:14">
      <c r="I67" s="1091" t="str">
        <f>B34</f>
        <v xml:space="preserve">  Staff Training</v>
      </c>
      <c r="L67" s="1092">
        <f>D34</f>
        <v>277.77888799999999</v>
      </c>
      <c r="M67" s="1098">
        <f>L67*L58</f>
        <v>4377.7952748800008</v>
      </c>
      <c r="N67" s="1410"/>
    </row>
    <row r="68" spans="9:14">
      <c r="I68" s="1091" t="str">
        <f>B35</f>
        <v xml:space="preserve">  Transportation</v>
      </c>
      <c r="L68" s="1358"/>
      <c r="M68" s="1359">
        <f>D35</f>
        <v>6191.6539525126345</v>
      </c>
      <c r="N68" s="1410"/>
    </row>
    <row r="69" spans="9:14">
      <c r="I69" s="1091" t="str">
        <f>B37</f>
        <v xml:space="preserve">  Meals / Food***</v>
      </c>
      <c r="L69" s="1358">
        <f>D37</f>
        <v>8.16</v>
      </c>
      <c r="M69" s="1359">
        <f>L69*M48</f>
        <v>23827.200000000001</v>
      </c>
      <c r="N69" s="1410"/>
    </row>
    <row r="70" spans="9:14" ht="26.25" thickBot="1">
      <c r="I70" s="1395" t="str">
        <f>B36</f>
        <v xml:space="preserve">  Program Supplies &amp; Materials</v>
      </c>
      <c r="L70" s="1358">
        <f>D36</f>
        <v>642.72053101483573</v>
      </c>
      <c r="M70" s="1527">
        <f>L70*L58</f>
        <v>10129.275568793812</v>
      </c>
      <c r="N70" s="1410"/>
    </row>
    <row r="71" spans="9:14" ht="13.5" thickTop="1">
      <c r="I71" s="1091"/>
      <c r="L71" s="1358"/>
      <c r="M71" s="1526">
        <f>SUM(M66:M70)</f>
        <v>46699.272195188321</v>
      </c>
      <c r="N71" s="1410"/>
    </row>
    <row r="72" spans="9:14">
      <c r="I72" s="1419" t="s">
        <v>23</v>
      </c>
      <c r="J72" s="1420"/>
      <c r="K72" s="1420"/>
      <c r="L72" s="1420"/>
      <c r="M72" s="1437">
        <f>SUM(M61,M65,M71)</f>
        <v>793812.64743256336</v>
      </c>
      <c r="N72" s="1410"/>
    </row>
    <row r="73" spans="9:14">
      <c r="I73" s="1091" t="str">
        <f>B39</f>
        <v xml:space="preserve">  Admin. Allocation</v>
      </c>
      <c r="K73" s="1441">
        <f>D39</f>
        <v>0.12</v>
      </c>
      <c r="M73" s="1422">
        <f>K73*M72</f>
        <v>95257.517691907604</v>
      </c>
      <c r="N73" s="1410"/>
    </row>
    <row r="74" spans="9:14" ht="13.5" thickBot="1">
      <c r="I74" s="1443" t="s">
        <v>25</v>
      </c>
      <c r="J74" s="1474"/>
      <c r="K74" s="1474"/>
      <c r="L74" s="1474"/>
      <c r="M74" s="1445">
        <f>SUM(M72:M73)</f>
        <v>889070.16512447095</v>
      </c>
      <c r="N74" s="1410"/>
    </row>
    <row r="75" spans="9:14" ht="13.5" thickTop="1">
      <c r="I75" s="1091" t="str">
        <f>B42</f>
        <v>CAF rate</v>
      </c>
      <c r="K75" s="1525">
        <f>D42</f>
        <v>1.7780248869661817E-2</v>
      </c>
      <c r="M75" s="1462">
        <f>M74+(M74*K75)-(M58*K75)</f>
        <v>894434.09240014141</v>
      </c>
      <c r="N75" s="1410"/>
    </row>
    <row r="76" spans="9:14" ht="13.5" thickBot="1">
      <c r="I76" s="848" t="s">
        <v>28</v>
      </c>
      <c r="J76" s="1475"/>
      <c r="K76" s="1475"/>
      <c r="L76" s="1476"/>
      <c r="M76" s="1166">
        <f>M75/M48</f>
        <v>306.31304534251416</v>
      </c>
    </row>
    <row r="77" spans="9:14" ht="15.75" thickBot="1">
      <c r="I77" s="1464"/>
      <c r="J77" s="1465"/>
      <c r="K77" s="1466"/>
      <c r="L77" s="1467"/>
      <c r="M77" s="1516"/>
      <c r="N77" s="1528">
        <f>M79/M78</f>
        <v>3.2643513274160277E-2</v>
      </c>
    </row>
    <row r="78" spans="9:14">
      <c r="I78" s="1397"/>
      <c r="J78" s="1454"/>
      <c r="L78" s="985" t="s">
        <v>783</v>
      </c>
      <c r="M78" s="1513">
        <v>296.63</v>
      </c>
    </row>
    <row r="79" spans="9:14">
      <c r="I79" s="1397"/>
      <c r="J79" s="1454"/>
      <c r="L79" s="1439"/>
      <c r="M79" s="1513">
        <f>M76-M78</f>
        <v>9.6830453425141627</v>
      </c>
    </row>
    <row r="80" spans="9:14">
      <c r="I80" s="1397"/>
      <c r="J80" s="1454"/>
      <c r="L80" s="1439"/>
      <c r="M80" s="1513"/>
    </row>
    <row r="81" spans="9:13">
      <c r="I81" s="1397"/>
      <c r="J81" s="1454"/>
      <c r="L81" s="1439"/>
      <c r="M81" s="1513"/>
    </row>
    <row r="82" spans="9:13" ht="13.5" thickBot="1"/>
    <row r="83" spans="9:13" ht="13.5" thickBot="1">
      <c r="I83" s="2592" t="s">
        <v>574</v>
      </c>
      <c r="J83" s="2593"/>
      <c r="K83" s="2593"/>
      <c r="L83" s="2593"/>
      <c r="M83" s="2594"/>
    </row>
    <row r="84" spans="9:13">
      <c r="I84" s="1478" t="s">
        <v>277</v>
      </c>
      <c r="J84" s="1479">
        <v>11</v>
      </c>
      <c r="K84" s="1483"/>
      <c r="L84" s="1484" t="s">
        <v>133</v>
      </c>
      <c r="M84" s="1485">
        <f>J84*365</f>
        <v>4015</v>
      </c>
    </row>
    <row r="85" spans="9:13">
      <c r="I85" s="1489"/>
      <c r="J85" s="1490"/>
      <c r="K85" s="1404" t="s">
        <v>5</v>
      </c>
      <c r="L85" s="1404" t="s">
        <v>6</v>
      </c>
      <c r="M85" s="1405" t="s">
        <v>7</v>
      </c>
    </row>
    <row r="86" spans="9:13">
      <c r="I86" s="1091" t="str">
        <f>B45</f>
        <v>Management</v>
      </c>
      <c r="J86" s="1187"/>
      <c r="K86" s="1400"/>
      <c r="L86" s="1400"/>
      <c r="M86" s="1380"/>
    </row>
    <row r="87" spans="9:13">
      <c r="I87" s="1091" t="str">
        <f>B46</f>
        <v xml:space="preserve">  Management Supervision</v>
      </c>
      <c r="J87" s="1410"/>
      <c r="K87" s="1411">
        <f>D13</f>
        <v>92496.84919424048</v>
      </c>
      <c r="L87" s="1412">
        <f>E46</f>
        <v>0.1</v>
      </c>
      <c r="M87" s="1413">
        <f>K87*L87</f>
        <v>9249.6849194240476</v>
      </c>
    </row>
    <row r="88" spans="9:13">
      <c r="I88" s="1091" t="str">
        <f>B47</f>
        <v xml:space="preserve">  Specialty Site Manager</v>
      </c>
      <c r="J88" s="1410"/>
      <c r="K88" s="1411">
        <f>E14</f>
        <v>60923</v>
      </c>
      <c r="L88" s="1412">
        <f>E47</f>
        <v>2.2000000000000002</v>
      </c>
      <c r="M88" s="1413">
        <f>K88*L88</f>
        <v>134030.6</v>
      </c>
    </row>
    <row r="89" spans="9:13">
      <c r="I89" s="1091" t="str">
        <f>B52</f>
        <v>Direct Care</v>
      </c>
      <c r="J89" s="1410"/>
      <c r="K89" s="1411"/>
      <c r="L89" s="1412"/>
      <c r="M89" s="1413"/>
    </row>
    <row r="90" spans="9:13">
      <c r="I90" s="1091" t="str">
        <f>B53</f>
        <v xml:space="preserve">  DC Evening Supervisor (DC III)</v>
      </c>
      <c r="J90" s="1410"/>
      <c r="K90" s="1209">
        <f>D20</f>
        <v>41516.800000000003</v>
      </c>
      <c r="L90" s="1412">
        <f>E53</f>
        <v>1.5</v>
      </c>
      <c r="M90" s="1413">
        <f>K90*L90</f>
        <v>62275.200000000004</v>
      </c>
    </row>
    <row r="91" spans="9:13">
      <c r="I91" s="1091" t="str">
        <f>I55</f>
        <v xml:space="preserve">  Direct Care III</v>
      </c>
      <c r="J91" s="1410"/>
      <c r="K91" s="1209">
        <f>D21</f>
        <v>41516.800000000003</v>
      </c>
      <c r="L91" s="1412">
        <f>E54</f>
        <v>1.75</v>
      </c>
      <c r="M91" s="1413">
        <f>L91*K91</f>
        <v>72654.400000000009</v>
      </c>
    </row>
    <row r="92" spans="9:13">
      <c r="I92" s="1091" t="str">
        <f>B55</f>
        <v xml:space="preserve">  Direct Care</v>
      </c>
      <c r="J92" s="1460"/>
      <c r="K92" s="1209">
        <f>D22</f>
        <v>32198.400000000001</v>
      </c>
      <c r="L92" s="1412">
        <f>E55</f>
        <v>10.45</v>
      </c>
      <c r="M92" s="1461">
        <f>K92*L92</f>
        <v>336473.27999999997</v>
      </c>
    </row>
    <row r="93" spans="9:13">
      <c r="I93" s="1389" t="str">
        <f>B56</f>
        <v xml:space="preserve">  Relief</v>
      </c>
      <c r="J93" s="1410"/>
      <c r="K93" s="1209">
        <f>D23</f>
        <v>32198.400000000001</v>
      </c>
      <c r="L93" s="1412">
        <f>E56</f>
        <v>1.88</v>
      </c>
      <c r="M93" s="1413">
        <f>K93*L93</f>
        <v>60532.991999999998</v>
      </c>
    </row>
    <row r="94" spans="9:13">
      <c r="I94" s="1419" t="s">
        <v>13</v>
      </c>
      <c r="J94" s="1431"/>
      <c r="K94" s="1431"/>
      <c r="L94" s="1135">
        <f>SUM(L87:L93)</f>
        <v>17.88</v>
      </c>
      <c r="M94" s="1421">
        <f>SUM(M87:M93)</f>
        <v>675216.15691942407</v>
      </c>
    </row>
    <row r="95" spans="9:13">
      <c r="I95" s="848" t="s">
        <v>15</v>
      </c>
      <c r="L95" s="1398" t="s">
        <v>16</v>
      </c>
      <c r="M95" s="1401"/>
    </row>
    <row r="96" spans="9:13">
      <c r="I96" s="1091" t="str">
        <f>B27</f>
        <v xml:space="preserve">  Tax and Fringe</v>
      </c>
      <c r="K96" s="1207">
        <f>K60</f>
        <v>0.224</v>
      </c>
      <c r="M96" s="1422">
        <f>K96*M94</f>
        <v>151248.41914995099</v>
      </c>
    </row>
    <row r="97" spans="9:15">
      <c r="I97" s="1419" t="s">
        <v>18</v>
      </c>
      <c r="J97" s="1420"/>
      <c r="K97" s="1420"/>
      <c r="L97" s="1423"/>
      <c r="M97" s="1424">
        <f>M94+M96</f>
        <v>826464.57606937503</v>
      </c>
    </row>
    <row r="98" spans="9:15">
      <c r="I98" s="1091"/>
      <c r="L98" s="1092"/>
      <c r="M98" s="1413"/>
    </row>
    <row r="99" spans="9:15">
      <c r="I99" s="1403" t="s">
        <v>328</v>
      </c>
      <c r="J99" s="1425"/>
      <c r="K99" s="1404" t="s">
        <v>19</v>
      </c>
      <c r="L99" s="1426" t="s">
        <v>20</v>
      </c>
      <c r="M99" s="1427" t="s">
        <v>7</v>
      </c>
    </row>
    <row r="100" spans="9:15">
      <c r="I100" s="1091" t="str">
        <f>B31</f>
        <v xml:space="preserve">  Psychologist</v>
      </c>
      <c r="K100" s="1358">
        <f>D31</f>
        <v>135.32</v>
      </c>
      <c r="L100" s="1429">
        <f>E57*52</f>
        <v>416</v>
      </c>
      <c r="M100" s="1422">
        <f>K100*L100</f>
        <v>56293.119999999995</v>
      </c>
    </row>
    <row r="101" spans="9:15">
      <c r="I101" s="1419" t="s">
        <v>21</v>
      </c>
      <c r="J101" s="1420"/>
      <c r="K101" s="1420"/>
      <c r="L101" s="1420"/>
      <c r="M101" s="1424">
        <f>SUM(M100:M100)</f>
        <v>56293.119999999995</v>
      </c>
    </row>
    <row r="102" spans="9:15">
      <c r="I102" s="1091" t="str">
        <f>B40</f>
        <v>PFLMA Trust Contribution</v>
      </c>
      <c r="L102" s="1213">
        <f>D40</f>
        <v>3.7000000000000002E-3</v>
      </c>
      <c r="M102" s="1422">
        <f>M94*L102</f>
        <v>2498.2997806018693</v>
      </c>
    </row>
    <row r="103" spans="9:15">
      <c r="I103" s="1091" t="str">
        <f>B34</f>
        <v xml:space="preserve">  Staff Training</v>
      </c>
      <c r="L103" s="1092">
        <f>D34</f>
        <v>277.77888799999999</v>
      </c>
      <c r="M103" s="1098">
        <f>L103*L94</f>
        <v>4966.68651744</v>
      </c>
    </row>
    <row r="104" spans="9:15">
      <c r="I104" s="1091" t="str">
        <f>B35</f>
        <v xml:space="preserve">  Transportation</v>
      </c>
      <c r="L104" s="1358"/>
      <c r="M104" s="1359">
        <f>D35</f>
        <v>6191.6539525126345</v>
      </c>
    </row>
    <row r="105" spans="9:15">
      <c r="I105" s="1091" t="str">
        <f>B37</f>
        <v xml:space="preserve">  Meals / Food***</v>
      </c>
      <c r="L105" s="1358">
        <f>D37</f>
        <v>8.16</v>
      </c>
      <c r="M105" s="1359">
        <f>L105*M84</f>
        <v>32762.400000000001</v>
      </c>
    </row>
    <row r="106" spans="9:15" ht="25.5">
      <c r="I106" s="1395" t="str">
        <f>B36</f>
        <v xml:space="preserve">  Program Supplies &amp; Materials</v>
      </c>
      <c r="L106" s="1434">
        <f>D36</f>
        <v>642.72053101483573</v>
      </c>
      <c r="M106" s="1359">
        <f>L106*L94</f>
        <v>11491.843094545262</v>
      </c>
    </row>
    <row r="107" spans="9:15">
      <c r="I107" s="1091"/>
      <c r="L107" s="1358"/>
      <c r="M107" s="1435">
        <f>SUM(M102:M106)</f>
        <v>57910.88334509977</v>
      </c>
    </row>
    <row r="108" spans="9:15">
      <c r="I108" s="1419" t="s">
        <v>23</v>
      </c>
      <c r="J108" s="1420"/>
      <c r="K108" s="1420"/>
      <c r="L108" s="1420"/>
      <c r="M108" s="1437">
        <f>SUM(M97,M101,M107)</f>
        <v>940668.57941447478</v>
      </c>
    </row>
    <row r="109" spans="9:15">
      <c r="I109" s="1091" t="str">
        <f>B39</f>
        <v xml:space="preserve">  Admin. Allocation</v>
      </c>
      <c r="K109" s="1441">
        <f>D39</f>
        <v>0.12</v>
      </c>
      <c r="M109" s="1422">
        <f>K109*M108</f>
        <v>112880.22952973697</v>
      </c>
    </row>
    <row r="110" spans="9:15" ht="13.5" thickBot="1">
      <c r="I110" s="1443" t="s">
        <v>25</v>
      </c>
      <c r="J110" s="1474"/>
      <c r="K110" s="1474"/>
      <c r="L110" s="1474"/>
      <c r="M110" s="1445">
        <f>SUM(M108:M109)</f>
        <v>1053548.8089442118</v>
      </c>
    </row>
    <row r="111" spans="9:15" ht="13.5" thickTop="1">
      <c r="I111" s="1091" t="str">
        <f>B42</f>
        <v>CAF rate</v>
      </c>
      <c r="K111" s="1525">
        <f>D42</f>
        <v>1.7780248869661817E-2</v>
      </c>
      <c r="M111" s="1462">
        <f>M110+(M110*K111)-(M94*K111)</f>
        <v>1060275.6576527318</v>
      </c>
    </row>
    <row r="112" spans="9:15" ht="13.5" thickBot="1">
      <c r="I112" s="1473" t="s">
        <v>28</v>
      </c>
      <c r="J112" s="1475"/>
      <c r="K112" s="1475"/>
      <c r="L112" s="1476"/>
      <c r="M112" s="1166">
        <f>M111/M84</f>
        <v>264.07861958972148</v>
      </c>
      <c r="O112" s="1092"/>
    </row>
    <row r="113" spans="9:14">
      <c r="J113" s="1454"/>
      <c r="L113" s="985" t="s">
        <v>783</v>
      </c>
      <c r="M113" s="1513">
        <v>252.78</v>
      </c>
    </row>
    <row r="114" spans="9:14">
      <c r="J114" s="1454"/>
      <c r="L114" s="1439"/>
      <c r="M114" s="1513">
        <f>M112-M113</f>
        <v>11.298619589721483</v>
      </c>
      <c r="N114" s="1145">
        <f>M114/M113</f>
        <v>4.4697442795005468E-2</v>
      </c>
    </row>
    <row r="115" spans="9:14" ht="15.75" customHeight="1">
      <c r="J115" s="1454"/>
      <c r="L115" s="1439"/>
      <c r="M115" s="1513"/>
    </row>
    <row r="117" spans="9:14" ht="15.75" thickBot="1">
      <c r="I117" s="2591" t="s">
        <v>814</v>
      </c>
      <c r="J117" s="2591"/>
      <c r="K117" s="2591"/>
      <c r="L117" s="2591"/>
      <c r="M117" s="2591"/>
    </row>
    <row r="118" spans="9:14" ht="13.5" thickBot="1">
      <c r="I118" s="2592" t="s">
        <v>575</v>
      </c>
      <c r="J118" s="2593"/>
      <c r="K118" s="2593"/>
      <c r="L118" s="2593"/>
      <c r="M118" s="2594"/>
    </row>
    <row r="119" spans="9:14">
      <c r="I119" s="1478" t="s">
        <v>277</v>
      </c>
      <c r="J119" s="1479">
        <v>5</v>
      </c>
      <c r="K119" s="1483"/>
      <c r="L119" s="1484" t="s">
        <v>133</v>
      </c>
      <c r="M119" s="1485">
        <f>J119*365</f>
        <v>1825</v>
      </c>
    </row>
    <row r="120" spans="9:14">
      <c r="I120" s="1489"/>
      <c r="J120" s="1490"/>
      <c r="K120" s="1491" t="s">
        <v>5</v>
      </c>
      <c r="L120" s="1491" t="s">
        <v>6</v>
      </c>
      <c r="M120" s="1381" t="s">
        <v>7</v>
      </c>
    </row>
    <row r="121" spans="9:14">
      <c r="I121" s="1091" t="str">
        <f t="shared" ref="I121:I127" si="0">B12</f>
        <v>Management</v>
      </c>
      <c r="J121" s="1187"/>
      <c r="K121" s="1400"/>
      <c r="L121" s="1400"/>
      <c r="M121" s="1380"/>
    </row>
    <row r="122" spans="9:14">
      <c r="I122" s="1091" t="str">
        <f t="shared" si="0"/>
        <v xml:space="preserve">  Management Supervision</v>
      </c>
      <c r="J122" s="1410"/>
      <c r="K122" s="1411">
        <f>D13</f>
        <v>92496.84919424048</v>
      </c>
      <c r="L122" s="1412">
        <f>F46</f>
        <v>0.1</v>
      </c>
      <c r="M122" s="1413">
        <f>K122*L122</f>
        <v>9249.6849194240476</v>
      </c>
    </row>
    <row r="123" spans="9:14">
      <c r="I123" s="1091" t="str">
        <f t="shared" si="0"/>
        <v xml:space="preserve">  Specialty Site Manager</v>
      </c>
      <c r="J123" s="1410"/>
      <c r="K123" s="1411">
        <f>E14</f>
        <v>60923</v>
      </c>
      <c r="L123" s="1412">
        <f>F47</f>
        <v>1</v>
      </c>
      <c r="M123" s="1413">
        <f>K123*L123</f>
        <v>60923</v>
      </c>
    </row>
    <row r="124" spans="9:14">
      <c r="I124" s="1091" t="str">
        <f t="shared" si="0"/>
        <v>Medical and Clinical</v>
      </c>
      <c r="J124" s="1410"/>
      <c r="K124" s="1411"/>
      <c r="L124" s="1412"/>
      <c r="M124" s="1413"/>
    </row>
    <row r="125" spans="9:14">
      <c r="I125" s="1091" t="str">
        <f t="shared" si="0"/>
        <v xml:space="preserve">  Psychologist</v>
      </c>
      <c r="J125" s="1410"/>
      <c r="K125" s="1411">
        <f>D16</f>
        <v>72789.28066227409</v>
      </c>
      <c r="L125" s="1412">
        <f>F49</f>
        <v>0.25</v>
      </c>
      <c r="M125" s="1413">
        <f>K125*L125</f>
        <v>18197.320165568522</v>
      </c>
    </row>
    <row r="126" spans="9:14">
      <c r="I126" s="1091" t="str">
        <f t="shared" si="0"/>
        <v xml:space="preserve">  LPHA</v>
      </c>
      <c r="J126" s="1460"/>
      <c r="K126" s="1210">
        <f>D17</f>
        <v>60923.199999999997</v>
      </c>
      <c r="L126" s="1412">
        <f>F50</f>
        <v>0.5</v>
      </c>
      <c r="M126" s="1461">
        <f>K126*L126</f>
        <v>30461.599999999999</v>
      </c>
    </row>
    <row r="127" spans="9:14" ht="19.5" customHeight="1">
      <c r="I127" s="1091" t="str">
        <f t="shared" si="0"/>
        <v xml:space="preserve">  LPN</v>
      </c>
      <c r="J127" s="1410"/>
      <c r="K127" s="1209">
        <f>D18</f>
        <v>57449.599999999999</v>
      </c>
      <c r="L127" s="1412">
        <f>F51</f>
        <v>0.2</v>
      </c>
      <c r="M127" s="1413">
        <f>K127*L127</f>
        <v>11489.92</v>
      </c>
    </row>
    <row r="128" spans="9:14">
      <c r="I128" s="1091" t="str">
        <f>I91</f>
        <v xml:space="preserve">  Direct Care III</v>
      </c>
      <c r="J128" s="1410"/>
      <c r="K128" s="1209">
        <f>D21</f>
        <v>41516.800000000003</v>
      </c>
      <c r="L128" s="1412">
        <f>F54</f>
        <v>1</v>
      </c>
      <c r="M128" s="1413">
        <f>L128*K128</f>
        <v>41516.800000000003</v>
      </c>
    </row>
    <row r="129" spans="9:13">
      <c r="I129" s="1091" t="str">
        <f>B22</f>
        <v xml:space="preserve">  Direct Care</v>
      </c>
      <c r="J129" s="1410"/>
      <c r="K129" s="1209">
        <f>D22</f>
        <v>32198.400000000001</v>
      </c>
      <c r="L129" s="1412">
        <f>F55</f>
        <v>6</v>
      </c>
      <c r="M129" s="1413">
        <f>K129*L129</f>
        <v>193190.40000000002</v>
      </c>
    </row>
    <row r="130" spans="9:13">
      <c r="I130" s="1091" t="str">
        <f>B23</f>
        <v xml:space="preserve">  Relief</v>
      </c>
      <c r="J130" s="1410"/>
      <c r="K130" s="1209">
        <f>D23</f>
        <v>32198.400000000001</v>
      </c>
      <c r="L130" s="1412">
        <f>F56</f>
        <v>1.0230769230769232</v>
      </c>
      <c r="M130" s="1413">
        <f>K130*L130</f>
        <v>32941.44000000001</v>
      </c>
    </row>
    <row r="131" spans="9:13">
      <c r="I131" s="1493" t="s">
        <v>13</v>
      </c>
      <c r="J131" s="1431"/>
      <c r="K131" s="1431"/>
      <c r="L131" s="1494">
        <f>SUM(L122:L130)</f>
        <v>10.073076923076924</v>
      </c>
      <c r="M131" s="1495">
        <f>SUM(M122:M130)</f>
        <v>397970.16508499259</v>
      </c>
    </row>
    <row r="132" spans="9:13">
      <c r="I132" s="1091" t="s">
        <v>15</v>
      </c>
      <c r="L132" s="985" t="s">
        <v>16</v>
      </c>
      <c r="M132" s="1401"/>
    </row>
    <row r="133" spans="9:13">
      <c r="I133" s="1091" t="str">
        <f>B27</f>
        <v xml:space="preserve">  Tax and Fringe</v>
      </c>
      <c r="K133" s="1207">
        <f>K96</f>
        <v>0.224</v>
      </c>
      <c r="M133" s="1422">
        <f>K133*M131</f>
        <v>89145.31697903834</v>
      </c>
    </row>
    <row r="134" spans="9:13" ht="15.75" customHeight="1">
      <c r="I134" s="1493" t="s">
        <v>18</v>
      </c>
      <c r="J134" s="1431"/>
      <c r="K134" s="1431"/>
      <c r="L134" s="1497"/>
      <c r="M134" s="1498">
        <f>M131+M133</f>
        <v>487115.48206403095</v>
      </c>
    </row>
    <row r="135" spans="9:13">
      <c r="I135" s="1091"/>
      <c r="L135" s="1092"/>
      <c r="M135" s="1413"/>
    </row>
    <row r="136" spans="9:13">
      <c r="I136" s="1489" t="s">
        <v>328</v>
      </c>
      <c r="J136" s="1500"/>
      <c r="K136" s="1491" t="s">
        <v>19</v>
      </c>
      <c r="L136" s="1501" t="s">
        <v>2</v>
      </c>
      <c r="M136" s="1502" t="s">
        <v>7</v>
      </c>
    </row>
    <row r="137" spans="9:13">
      <c r="I137" s="1091" t="str">
        <f>B31</f>
        <v xml:space="preserve">  Psychologist</v>
      </c>
      <c r="K137" s="1358">
        <f>D31</f>
        <v>135.32</v>
      </c>
      <c r="L137" s="1429">
        <f>52*F57</f>
        <v>104</v>
      </c>
      <c r="M137" s="1422">
        <f>K137*L137</f>
        <v>14073.279999999999</v>
      </c>
    </row>
    <row r="138" spans="9:13">
      <c r="I138" s="1493" t="s">
        <v>21</v>
      </c>
      <c r="J138" s="1431"/>
      <c r="K138" s="1431"/>
      <c r="L138" s="1431"/>
      <c r="M138" s="1498">
        <f>SUM(M137:M137)</f>
        <v>14073.279999999999</v>
      </c>
    </row>
    <row r="139" spans="9:13">
      <c r="I139" s="1091" t="str">
        <f>B40</f>
        <v>PFLMA Trust Contribution</v>
      </c>
      <c r="L139" s="1213">
        <f>D40</f>
        <v>3.7000000000000002E-3</v>
      </c>
      <c r="M139" s="1422">
        <f>M131*L139</f>
        <v>1472.4896108144726</v>
      </c>
    </row>
    <row r="140" spans="9:13">
      <c r="I140" s="1091" t="str">
        <f>B34</f>
        <v xml:space="preserve">  Staff Training</v>
      </c>
      <c r="L140" s="1092">
        <f>D34</f>
        <v>277.77888799999999</v>
      </c>
      <c r="M140" s="1098">
        <f>L140*L131</f>
        <v>2798.0881064307691</v>
      </c>
    </row>
    <row r="141" spans="9:13">
      <c r="I141" s="1091" t="str">
        <f>B35</f>
        <v xml:space="preserve">  Transportation</v>
      </c>
      <c r="L141" s="1358"/>
      <c r="M141" s="1359">
        <f>D35</f>
        <v>6191.6539525126345</v>
      </c>
    </row>
    <row r="142" spans="9:13">
      <c r="I142" s="1091" t="str">
        <f>B37</f>
        <v xml:space="preserve">  Meals / Food***</v>
      </c>
      <c r="L142" s="1358">
        <f>D37</f>
        <v>8.16</v>
      </c>
      <c r="M142" s="1359">
        <f>L142*M119</f>
        <v>14892</v>
      </c>
    </row>
    <row r="143" spans="9:13">
      <c r="I143" s="1091" t="str">
        <f>B36</f>
        <v xml:space="preserve">  Program Supplies &amp; Materials</v>
      </c>
      <c r="L143" s="1434">
        <f>D36</f>
        <v>642.72053101483573</v>
      </c>
      <c r="M143" s="1359">
        <f>L143*L131</f>
        <v>6474.173348953288</v>
      </c>
    </row>
    <row r="144" spans="9:13">
      <c r="I144" s="1091"/>
      <c r="L144" s="1358"/>
      <c r="M144" s="1508">
        <f>SUM(M139:M143)</f>
        <v>31828.405018711164</v>
      </c>
    </row>
    <row r="145" spans="9:14">
      <c r="I145" s="1091"/>
      <c r="L145" s="1092"/>
      <c r="M145" s="1440"/>
    </row>
    <row r="146" spans="9:14">
      <c r="I146" s="1493" t="s">
        <v>23</v>
      </c>
      <c r="J146" s="1431"/>
      <c r="K146" s="1431"/>
      <c r="L146" s="1431"/>
      <c r="M146" s="1509">
        <f>SUM(M134,M138,M144)</f>
        <v>533017.16708274209</v>
      </c>
    </row>
    <row r="147" spans="9:14">
      <c r="I147" s="1091"/>
      <c r="M147" s="1401"/>
    </row>
    <row r="148" spans="9:14">
      <c r="I148" s="1091" t="str">
        <f>B39</f>
        <v xml:space="preserve">  Admin. Allocation</v>
      </c>
      <c r="K148" s="1441">
        <f>D39</f>
        <v>0.12</v>
      </c>
      <c r="M148" s="1422">
        <f>K148*M146</f>
        <v>63962.060049929045</v>
      </c>
    </row>
    <row r="149" spans="9:14">
      <c r="I149" s="1091"/>
      <c r="M149" s="1468"/>
    </row>
    <row r="150" spans="9:14" ht="13.5" thickBot="1">
      <c r="I150" s="1510" t="s">
        <v>25</v>
      </c>
      <c r="J150" s="1444"/>
      <c r="K150" s="1444"/>
      <c r="L150" s="1444"/>
      <c r="M150" s="1472">
        <f>SUM(M146:M148)</f>
        <v>596979.22713267116</v>
      </c>
    </row>
    <row r="151" spans="9:14" ht="13.5" thickTop="1">
      <c r="I151" s="1091"/>
      <c r="M151" s="1401"/>
    </row>
    <row r="152" spans="9:14">
      <c r="I152" s="1091" t="str">
        <f>B42</f>
        <v>CAF rate</v>
      </c>
      <c r="K152" s="1525">
        <f>D42</f>
        <v>1.7780248869661817E-2</v>
      </c>
      <c r="M152" s="1462">
        <f>M150+(M150*K152)-(M131*K152)</f>
        <v>600517.65778319689</v>
      </c>
    </row>
    <row r="153" spans="9:14">
      <c r="I153" s="1091"/>
      <c r="K153" s="1447"/>
      <c r="M153" s="1462"/>
    </row>
    <row r="154" spans="9:14">
      <c r="I154" s="1091"/>
      <c r="M154" s="1515"/>
    </row>
    <row r="155" spans="9:14" ht="13.5" thickBot="1">
      <c r="I155" s="1091" t="s">
        <v>28</v>
      </c>
      <c r="J155" s="1168"/>
      <c r="K155" s="1168"/>
      <c r="L155" s="1452"/>
      <c r="M155" s="1166">
        <f>M152/M119</f>
        <v>329.05077138805308</v>
      </c>
    </row>
    <row r="156" spans="9:14" ht="13.5" thickBot="1">
      <c r="I156" s="1464"/>
      <c r="J156" s="1469"/>
      <c r="K156" s="1168"/>
      <c r="L156" s="1452"/>
      <c r="M156" s="1517"/>
    </row>
    <row r="157" spans="9:14">
      <c r="J157" s="1454"/>
      <c r="L157" s="1439" t="s">
        <v>783</v>
      </c>
      <c r="M157" s="1513">
        <v>321.33</v>
      </c>
    </row>
    <row r="158" spans="9:14">
      <c r="J158" s="1454"/>
      <c r="L158" s="1439"/>
      <c r="M158" s="1513">
        <f>M155-M157</f>
        <v>7.7207713880530946</v>
      </c>
      <c r="N158" s="1145">
        <f>M158/M157</f>
        <v>2.4027546099191159E-2</v>
      </c>
    </row>
    <row r="160" spans="9:14" ht="13.5" thickBot="1"/>
    <row r="161" spans="9:13" ht="13.5" thickBot="1">
      <c r="I161" s="2592" t="s">
        <v>576</v>
      </c>
      <c r="J161" s="2593"/>
      <c r="K161" s="2593"/>
      <c r="L161" s="2593"/>
      <c r="M161" s="2594"/>
    </row>
    <row r="162" spans="9:13">
      <c r="I162" s="1478" t="s">
        <v>277</v>
      </c>
      <c r="J162" s="1479">
        <v>11</v>
      </c>
      <c r="K162" s="1483"/>
      <c r="L162" s="1484" t="s">
        <v>133</v>
      </c>
      <c r="M162" s="1485">
        <f>J162*365</f>
        <v>4015</v>
      </c>
    </row>
    <row r="163" spans="9:13">
      <c r="I163" s="1489"/>
      <c r="J163" s="1490"/>
      <c r="K163" s="1491" t="s">
        <v>5</v>
      </c>
      <c r="L163" s="1491" t="s">
        <v>6</v>
      </c>
      <c r="M163" s="1381" t="s">
        <v>7</v>
      </c>
    </row>
    <row r="164" spans="9:13">
      <c r="I164" s="1091" t="str">
        <f t="shared" ref="I164:I173" si="1">I121</f>
        <v>Management</v>
      </c>
      <c r="J164" s="1187"/>
      <c r="K164" s="1400"/>
      <c r="L164" s="1400"/>
      <c r="M164" s="1380"/>
    </row>
    <row r="165" spans="9:13">
      <c r="I165" s="1091" t="str">
        <f t="shared" si="1"/>
        <v xml:space="preserve">  Management Supervision</v>
      </c>
      <c r="J165" s="1410"/>
      <c r="K165" s="1411">
        <f>K122</f>
        <v>92496.84919424048</v>
      </c>
      <c r="L165" s="1412">
        <f>G46</f>
        <v>0.1</v>
      </c>
      <c r="M165" s="1413">
        <f>K165*L165</f>
        <v>9249.6849194240476</v>
      </c>
    </row>
    <row r="166" spans="9:13">
      <c r="I166" s="1091" t="str">
        <f t="shared" si="1"/>
        <v xml:space="preserve">  Specialty Site Manager</v>
      </c>
      <c r="J166" s="1410"/>
      <c r="K166" s="1411">
        <f>K123</f>
        <v>60923</v>
      </c>
      <c r="L166" s="1412">
        <f>G47</f>
        <v>2.2000000000000002</v>
      </c>
      <c r="M166" s="1413">
        <f>K166*L166</f>
        <v>134030.6</v>
      </c>
    </row>
    <row r="167" spans="9:13">
      <c r="I167" s="1091" t="str">
        <f t="shared" si="1"/>
        <v>Medical and Clinical</v>
      </c>
      <c r="J167" s="1410"/>
      <c r="K167" s="1411"/>
      <c r="L167" s="1412"/>
      <c r="M167" s="1413"/>
    </row>
    <row r="168" spans="9:13">
      <c r="I168" s="1091" t="str">
        <f t="shared" si="1"/>
        <v xml:space="preserve">  Psychologist</v>
      </c>
      <c r="J168" s="1410"/>
      <c r="K168" s="1411">
        <f t="shared" ref="K168:K173" si="2">K125</f>
        <v>72789.28066227409</v>
      </c>
      <c r="L168" s="1412">
        <f>G49</f>
        <v>0.5</v>
      </c>
      <c r="M168" s="1413">
        <f t="shared" ref="M168:M173" si="3">K168*L168</f>
        <v>36394.640331137045</v>
      </c>
    </row>
    <row r="169" spans="9:13" ht="12" customHeight="1">
      <c r="I169" s="1399" t="str">
        <f t="shared" si="1"/>
        <v xml:space="preserve">  LPHA</v>
      </c>
      <c r="J169" s="1460"/>
      <c r="K169" s="1209">
        <f t="shared" si="2"/>
        <v>60923.199999999997</v>
      </c>
      <c r="L169" s="1412">
        <f>G50</f>
        <v>0.75</v>
      </c>
      <c r="M169" s="1461">
        <f t="shared" si="3"/>
        <v>45692.399999999994</v>
      </c>
    </row>
    <row r="170" spans="9:13">
      <c r="I170" s="1091" t="str">
        <f t="shared" si="1"/>
        <v xml:space="preserve">  LPN</v>
      </c>
      <c r="J170" s="1410"/>
      <c r="K170" s="1209">
        <f t="shared" si="2"/>
        <v>57449.599999999999</v>
      </c>
      <c r="L170" s="1412">
        <f>G51</f>
        <v>0.4</v>
      </c>
      <c r="M170" s="1413">
        <f t="shared" si="3"/>
        <v>22979.84</v>
      </c>
    </row>
    <row r="171" spans="9:13">
      <c r="I171" s="1091" t="str">
        <f t="shared" si="1"/>
        <v xml:space="preserve">  Direct Care III</v>
      </c>
      <c r="J171" s="1410"/>
      <c r="K171" s="1209">
        <f t="shared" si="2"/>
        <v>41516.800000000003</v>
      </c>
      <c r="L171" s="1412">
        <f>G54</f>
        <v>1.25</v>
      </c>
      <c r="M171" s="1413">
        <f t="shared" si="3"/>
        <v>51896</v>
      </c>
    </row>
    <row r="172" spans="9:13">
      <c r="I172" s="1091" t="str">
        <f t="shared" si="1"/>
        <v xml:space="preserve">  Direct Care</v>
      </c>
      <c r="J172" s="1410"/>
      <c r="K172" s="1209">
        <f t="shared" si="2"/>
        <v>32198.400000000001</v>
      </c>
      <c r="L172" s="1412">
        <f>G55</f>
        <v>7.95</v>
      </c>
      <c r="M172" s="1413">
        <f t="shared" si="3"/>
        <v>255977.28000000003</v>
      </c>
    </row>
    <row r="173" spans="9:13">
      <c r="I173" s="1389" t="str">
        <f t="shared" si="1"/>
        <v xml:space="preserve">  Relief</v>
      </c>
      <c r="J173" s="1410"/>
      <c r="K173" s="1209">
        <f t="shared" si="2"/>
        <v>32198.400000000001</v>
      </c>
      <c r="L173" s="1412">
        <f>G56</f>
        <v>1.3446153846153845</v>
      </c>
      <c r="M173" s="1413">
        <f t="shared" si="3"/>
        <v>43294.464</v>
      </c>
    </row>
    <row r="174" spans="9:13">
      <c r="I174" s="1493" t="s">
        <v>13</v>
      </c>
      <c r="J174" s="1431"/>
      <c r="K174" s="1431"/>
      <c r="L174" s="1494">
        <f>SUM(L165:L173)</f>
        <v>14.494615384615384</v>
      </c>
      <c r="M174" s="1495">
        <f>SUM(M165:M173)</f>
        <v>599514.90925056115</v>
      </c>
    </row>
    <row r="175" spans="9:13">
      <c r="I175" s="1091" t="s">
        <v>15</v>
      </c>
      <c r="L175" s="985" t="s">
        <v>16</v>
      </c>
      <c r="M175" s="1401"/>
    </row>
    <row r="176" spans="9:13">
      <c r="I176" s="1091" t="s">
        <v>17</v>
      </c>
      <c r="K176" s="1207">
        <f>K133</f>
        <v>0.224</v>
      </c>
      <c r="M176" s="1422">
        <f>K176*M174</f>
        <v>134291.3396721257</v>
      </c>
    </row>
    <row r="177" spans="9:13">
      <c r="I177" s="1493" t="s">
        <v>18</v>
      </c>
      <c r="J177" s="1431"/>
      <c r="K177" s="1431"/>
      <c r="L177" s="1497"/>
      <c r="M177" s="1498">
        <f>M174+M176</f>
        <v>733806.24892268679</v>
      </c>
    </row>
    <row r="178" spans="9:13">
      <c r="I178" s="1091"/>
      <c r="L178" s="1092"/>
      <c r="M178" s="1413"/>
    </row>
    <row r="179" spans="9:13">
      <c r="I179" s="1489" t="s">
        <v>328</v>
      </c>
      <c r="J179" s="1500"/>
      <c r="K179" s="1491" t="s">
        <v>19</v>
      </c>
      <c r="L179" s="1501" t="s">
        <v>20</v>
      </c>
      <c r="M179" s="1502" t="s">
        <v>7</v>
      </c>
    </row>
    <row r="180" spans="9:13">
      <c r="I180" s="1091" t="str">
        <f>B31</f>
        <v xml:space="preserve">  Psychologist</v>
      </c>
      <c r="K180" s="1358">
        <f>D31</f>
        <v>135.32</v>
      </c>
      <c r="L180" s="1429">
        <f>G57*52</f>
        <v>208</v>
      </c>
      <c r="M180" s="1422">
        <f>K180*L180</f>
        <v>28146.559999999998</v>
      </c>
    </row>
    <row r="181" spans="9:13">
      <c r="I181" s="1493" t="s">
        <v>21</v>
      </c>
      <c r="J181" s="1431"/>
      <c r="K181" s="1431"/>
      <c r="L181" s="1431"/>
      <c r="M181" s="1498">
        <f>SUM(M180:M180)</f>
        <v>28146.559999999998</v>
      </c>
    </row>
    <row r="182" spans="9:13">
      <c r="I182" s="1091" t="str">
        <f>B40</f>
        <v>PFLMA Trust Contribution</v>
      </c>
      <c r="L182" s="1442">
        <f>D40</f>
        <v>3.7000000000000002E-3</v>
      </c>
      <c r="M182" s="1422">
        <f>L182*M174</f>
        <v>2218.2051642270762</v>
      </c>
    </row>
    <row r="183" spans="9:13">
      <c r="I183" s="1091" t="str">
        <f>I140</f>
        <v xml:space="preserve">  Staff Training</v>
      </c>
      <c r="L183" s="1092">
        <f>L140</f>
        <v>277.77888799999999</v>
      </c>
      <c r="M183" s="1422">
        <f>L183*L174</f>
        <v>4026.2981435261536</v>
      </c>
    </row>
    <row r="184" spans="9:13">
      <c r="I184" s="1395" t="str">
        <f>B35</f>
        <v xml:space="preserve">  Transportation</v>
      </c>
      <c r="L184" s="1358"/>
      <c r="M184" s="1422">
        <f>D35</f>
        <v>6191.6539525126345</v>
      </c>
    </row>
    <row r="185" spans="9:13">
      <c r="I185" s="1395" t="s">
        <v>792</v>
      </c>
      <c r="L185" s="1358">
        <v>8.16</v>
      </c>
      <c r="M185" s="1098">
        <f>L185*M162</f>
        <v>32762.400000000001</v>
      </c>
    </row>
    <row r="186" spans="9:13" ht="25.5">
      <c r="I186" s="1395" t="str">
        <f>B36</f>
        <v xml:space="preserve">  Program Supplies &amp; Materials</v>
      </c>
      <c r="L186" s="1434">
        <f>D36</f>
        <v>642.72053101483573</v>
      </c>
      <c r="M186" s="1359">
        <f>L186*L174</f>
        <v>9315.9868968558076</v>
      </c>
    </row>
    <row r="187" spans="9:13">
      <c r="I187" s="1091"/>
      <c r="L187" s="1358"/>
      <c r="M187" s="1518">
        <f>SUM(M182:M186)</f>
        <v>54514.544157121672</v>
      </c>
    </row>
    <row r="188" spans="9:13">
      <c r="I188" s="1091"/>
      <c r="L188" s="1092"/>
      <c r="M188" s="1359"/>
    </row>
    <row r="189" spans="9:13">
      <c r="I189" s="1493" t="s">
        <v>23</v>
      </c>
      <c r="J189" s="1431"/>
      <c r="K189" s="1431"/>
      <c r="L189" s="1431"/>
      <c r="M189" s="1508">
        <f>SUM(M177,M181,M187)</f>
        <v>816467.35307980853</v>
      </c>
    </row>
    <row r="190" spans="9:13">
      <c r="I190" s="1091"/>
      <c r="M190" s="1440"/>
    </row>
    <row r="191" spans="9:13">
      <c r="I191" s="1091" t="str">
        <f>B39</f>
        <v xml:space="preserve">  Admin. Allocation</v>
      </c>
      <c r="K191" s="1441">
        <f>D39</f>
        <v>0.12</v>
      </c>
      <c r="M191" s="1463">
        <f>K191*M189</f>
        <v>97976.082369577023</v>
      </c>
    </row>
    <row r="192" spans="9:13">
      <c r="I192" s="1091"/>
      <c r="M192" s="1470"/>
    </row>
    <row r="193" spans="9:14" ht="13.5" thickBot="1">
      <c r="I193" s="1510" t="s">
        <v>25</v>
      </c>
      <c r="J193" s="1444"/>
      <c r="K193" s="1444"/>
      <c r="L193" s="1444"/>
      <c r="M193" s="1529">
        <f>SUM(M189:M191)</f>
        <v>914443.43544938555</v>
      </c>
    </row>
    <row r="194" spans="9:14" ht="13.5" thickTop="1">
      <c r="I194" s="1091"/>
      <c r="M194" s="1471"/>
    </row>
    <row r="195" spans="9:14" ht="13.5" thickBot="1">
      <c r="I195" s="1091" t="str">
        <f>B42</f>
        <v>CAF rate</v>
      </c>
      <c r="K195" s="1525">
        <f>D42</f>
        <v>1.7780248869661817E-2</v>
      </c>
      <c r="M195" s="1472">
        <f>M193+(M193*K195)-(M174*K195)</f>
        <v>920042.94302135648</v>
      </c>
    </row>
    <row r="196" spans="9:14" ht="13.5" thickTop="1">
      <c r="I196" s="1091"/>
      <c r="M196" s="1401"/>
    </row>
    <row r="197" spans="9:14" ht="13.5" thickBot="1">
      <c r="I197" s="1091" t="s">
        <v>28</v>
      </c>
      <c r="J197" s="1168"/>
      <c r="K197" s="1168"/>
      <c r="L197" s="1452"/>
      <c r="M197" s="1760">
        <f>M195/M162</f>
        <v>229.15141793807135</v>
      </c>
    </row>
    <row r="198" spans="9:14" ht="13.5" thickBot="1">
      <c r="I198" s="1464"/>
      <c r="J198" s="1469"/>
      <c r="K198" s="1168"/>
      <c r="L198" s="1452"/>
      <c r="M198" s="1519"/>
    </row>
    <row r="199" spans="9:14">
      <c r="L199" s="985" t="s">
        <v>783</v>
      </c>
      <c r="M199" s="1513">
        <v>220.32</v>
      </c>
    </row>
    <row r="200" spans="9:14">
      <c r="L200" s="1439"/>
      <c r="M200" s="1520">
        <f>M197-M199</f>
        <v>8.831417938071354</v>
      </c>
      <c r="N200" s="1145">
        <f>M200/M199</f>
        <v>4.008450407621348E-2</v>
      </c>
    </row>
  </sheetData>
  <mergeCells count="9">
    <mergeCell ref="B1:G1"/>
    <mergeCell ref="I1:M1"/>
    <mergeCell ref="I8:M8"/>
    <mergeCell ref="I47:M47"/>
    <mergeCell ref="I161:M161"/>
    <mergeCell ref="I117:M117"/>
    <mergeCell ref="I83:M83"/>
    <mergeCell ref="B59:G60"/>
    <mergeCell ref="I118:M118"/>
  </mergeCells>
  <pageMargins left="0.25" right="0.25" top="0" bottom="0" header="0.3" footer="0"/>
  <pageSetup scale="61" fitToHeight="0" orientation="portrait" r:id="rId1"/>
  <headerFooter>
    <oddFooter>&amp;R&amp;P of &amp;N</oddFooter>
  </headerFooter>
  <rowBreaks count="3" manualBreakCount="3">
    <brk id="45" min="8" max="13" man="1"/>
    <brk id="115" min="8" max="13" man="1"/>
    <brk id="158" min="8" max="1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79998168889431442"/>
  </sheetPr>
  <dimension ref="A1:LM513"/>
  <sheetViews>
    <sheetView topLeftCell="A14" zoomScale="80" zoomScaleNormal="80" workbookViewId="0">
      <selection activeCell="L48" sqref="L48:N49"/>
    </sheetView>
  </sheetViews>
  <sheetFormatPr defaultColWidth="9.42578125" defaultRowHeight="12.75"/>
  <cols>
    <col min="1" max="1" width="9.42578125" style="8" customWidth="1"/>
    <col min="2" max="2" width="23.5703125" style="8" customWidth="1"/>
    <col min="3" max="4" width="12.42578125" style="8" customWidth="1"/>
    <col min="5" max="5" width="14.42578125" style="8" customWidth="1"/>
    <col min="6" max="6" width="10.5703125" style="8" customWidth="1"/>
    <col min="7" max="7" width="66.5703125" style="8" customWidth="1"/>
    <col min="8" max="8" width="8.5703125" style="8" customWidth="1"/>
    <col min="9" max="9" width="44.42578125" style="8" customWidth="1"/>
    <col min="10" max="10" width="9.42578125" style="8"/>
    <col min="11" max="12" width="11" style="8" customWidth="1"/>
    <col min="13" max="13" width="13" style="8" customWidth="1"/>
    <col min="14" max="14" width="22.5703125" style="8" customWidth="1"/>
    <col min="15" max="15" width="48.42578125" style="255" customWidth="1"/>
    <col min="16" max="16" width="9.42578125" style="255"/>
    <col min="17" max="17" width="13.5703125" style="255" customWidth="1"/>
    <col min="18" max="18" width="10.5703125" style="255" customWidth="1"/>
    <col min="19" max="19" width="15.42578125" style="255" bestFit="1" customWidth="1"/>
    <col min="20" max="20" width="10.5703125" style="255" customWidth="1"/>
    <col min="21" max="21" width="15.5703125" style="255" customWidth="1"/>
    <col min="22" max="325" width="9.42578125" style="255"/>
    <col min="326" max="16384" width="9.42578125" style="8"/>
  </cols>
  <sheetData>
    <row r="1" spans="1:14" ht="13.5" thickBot="1">
      <c r="A1" s="253"/>
      <c r="B1" s="2554" t="s">
        <v>546</v>
      </c>
      <c r="C1" s="2554"/>
      <c r="D1" s="2554"/>
      <c r="E1" s="2554"/>
      <c r="F1" s="2554"/>
      <c r="G1" s="2554"/>
      <c r="H1" s="253"/>
      <c r="I1" s="2554" t="s">
        <v>380</v>
      </c>
      <c r="J1" s="2554"/>
      <c r="K1" s="2554"/>
      <c r="L1" s="2554"/>
      <c r="M1" s="2554"/>
      <c r="N1" s="253"/>
    </row>
    <row r="2" spans="1:14" ht="13.5" thickBot="1">
      <c r="A2" s="253"/>
      <c r="B2" s="254"/>
      <c r="C2" s="253"/>
      <c r="D2" s="253"/>
      <c r="E2" s="253"/>
      <c r="F2" s="253"/>
      <c r="G2" s="253"/>
      <c r="H2" s="253"/>
      <c r="I2" s="253"/>
      <c r="J2" s="253"/>
      <c r="K2" s="253"/>
      <c r="L2" s="253"/>
      <c r="M2" s="253"/>
      <c r="N2" s="253"/>
    </row>
    <row r="3" spans="1:14">
      <c r="A3" s="253"/>
      <c r="B3" s="138" t="s">
        <v>0</v>
      </c>
      <c r="C3" s="139" t="s">
        <v>1</v>
      </c>
      <c r="D3" s="163" t="s">
        <v>2</v>
      </c>
      <c r="E3" s="253"/>
      <c r="F3" s="253"/>
      <c r="G3" s="253"/>
      <c r="H3" s="253"/>
      <c r="I3" s="253"/>
      <c r="J3" s="253"/>
      <c r="K3" s="253"/>
      <c r="L3" s="253"/>
      <c r="M3" s="253"/>
      <c r="N3" s="253"/>
    </row>
    <row r="4" spans="1:14">
      <c r="A4" s="253"/>
      <c r="B4" s="140" t="s">
        <v>370</v>
      </c>
      <c r="C4" s="141">
        <v>10</v>
      </c>
      <c r="D4" s="164">
        <f>C4*8</f>
        <v>80</v>
      </c>
      <c r="E4" s="253"/>
      <c r="F4" s="253"/>
      <c r="G4" s="253"/>
      <c r="H4" s="253"/>
      <c r="I4" s="253"/>
      <c r="J4" s="253"/>
      <c r="K4" s="253"/>
      <c r="L4" s="253"/>
      <c r="M4" s="253"/>
      <c r="N4" s="253"/>
    </row>
    <row r="5" spans="1:14">
      <c r="A5" s="253"/>
      <c r="B5" s="140" t="s">
        <v>378</v>
      </c>
      <c r="C5" s="141">
        <v>10</v>
      </c>
      <c r="D5" s="164">
        <f>C5*8</f>
        <v>80</v>
      </c>
      <c r="E5" s="253"/>
      <c r="F5" s="253"/>
      <c r="G5" s="253"/>
      <c r="H5" s="253"/>
      <c r="I5" s="253"/>
      <c r="J5" s="253"/>
      <c r="K5" s="253"/>
      <c r="L5" s="253"/>
      <c r="M5" s="253"/>
      <c r="N5" s="253"/>
    </row>
    <row r="6" spans="1:14">
      <c r="A6" s="253"/>
      <c r="B6" s="140" t="s">
        <v>372</v>
      </c>
      <c r="C6" s="141">
        <v>10</v>
      </c>
      <c r="D6" s="164">
        <f>C6*8</f>
        <v>80</v>
      </c>
      <c r="E6" s="253"/>
      <c r="F6" s="253"/>
      <c r="G6" s="253"/>
      <c r="H6" s="253"/>
      <c r="I6" s="253"/>
      <c r="J6" s="253"/>
      <c r="K6" s="253"/>
      <c r="L6" s="253"/>
      <c r="M6" s="253"/>
      <c r="N6" s="253"/>
    </row>
    <row r="7" spans="1:14" ht="13.5" thickBot="1">
      <c r="A7" s="253"/>
      <c r="B7" s="142" t="s">
        <v>14</v>
      </c>
      <c r="C7" s="141">
        <v>10</v>
      </c>
      <c r="D7" s="165">
        <f>C7*8</f>
        <v>80</v>
      </c>
      <c r="E7" s="253"/>
      <c r="F7" s="253"/>
      <c r="G7" s="253"/>
      <c r="H7" s="253"/>
      <c r="I7" s="253"/>
      <c r="J7" s="253"/>
      <c r="K7" s="253"/>
      <c r="L7" s="253"/>
      <c r="M7" s="253"/>
      <c r="N7" s="253"/>
    </row>
    <row r="8" spans="1:14" ht="13.5" thickBot="1">
      <c r="A8" s="253"/>
      <c r="B8" s="140"/>
      <c r="C8" s="143" t="s">
        <v>3</v>
      </c>
      <c r="D8" s="164">
        <f>SUM(D4:D7)</f>
        <v>320</v>
      </c>
      <c r="E8" s="253"/>
      <c r="F8" s="253"/>
      <c r="G8" s="253"/>
      <c r="H8" s="253"/>
      <c r="I8" s="2588" t="s">
        <v>572</v>
      </c>
      <c r="J8" s="2589"/>
      <c r="K8" s="2589"/>
      <c r="L8" s="2589"/>
      <c r="M8" s="2590"/>
      <c r="N8" s="253"/>
    </row>
    <row r="9" spans="1:14" ht="13.5" thickBot="1">
      <c r="A9" s="253"/>
      <c r="B9" s="144"/>
      <c r="C9" s="145" t="s">
        <v>4</v>
      </c>
      <c r="D9" s="166">
        <f>D8/(52*40)</f>
        <v>0.15384615384615385</v>
      </c>
      <c r="E9" s="253"/>
      <c r="F9" s="253"/>
      <c r="G9" s="253"/>
      <c r="H9" s="253"/>
      <c r="I9" s="146" t="s">
        <v>277</v>
      </c>
      <c r="J9" s="147">
        <v>5</v>
      </c>
      <c r="K9" s="148"/>
      <c r="L9" s="149" t="s">
        <v>133</v>
      </c>
      <c r="M9" s="150">
        <f>J9*365</f>
        <v>1825</v>
      </c>
      <c r="N9" s="253"/>
    </row>
    <row r="10" spans="1:14" ht="13.5" thickBot="1">
      <c r="A10" s="253"/>
      <c r="B10" s="253"/>
      <c r="C10" s="253"/>
      <c r="D10" s="253"/>
      <c r="E10" s="253"/>
      <c r="F10" s="253"/>
      <c r="G10" s="253"/>
      <c r="H10" s="253"/>
      <c r="I10" s="104"/>
      <c r="J10" s="72"/>
      <c r="K10" s="72"/>
      <c r="L10" s="72"/>
      <c r="M10" s="105"/>
      <c r="N10" s="253"/>
    </row>
    <row r="11" spans="1:14" ht="25.5">
      <c r="A11" s="253"/>
      <c r="B11" s="42"/>
      <c r="C11" s="153" t="s">
        <v>35</v>
      </c>
      <c r="D11" s="153" t="s">
        <v>41</v>
      </c>
      <c r="E11" s="856"/>
      <c r="F11" s="856"/>
      <c r="G11" s="259" t="s">
        <v>278</v>
      </c>
      <c r="H11" s="253"/>
      <c r="I11" s="106"/>
      <c r="J11" s="53"/>
      <c r="K11" s="54" t="s">
        <v>5</v>
      </c>
      <c r="L11" s="54" t="s">
        <v>6</v>
      </c>
      <c r="M11" s="107" t="s">
        <v>7</v>
      </c>
      <c r="N11" s="253"/>
    </row>
    <row r="12" spans="1:14">
      <c r="A12" s="253"/>
      <c r="B12" s="171" t="s">
        <v>29</v>
      </c>
      <c r="C12" s="45"/>
      <c r="D12" s="82"/>
      <c r="E12" s="50"/>
      <c r="F12" s="50"/>
      <c r="G12" s="260"/>
      <c r="H12" s="253"/>
      <c r="I12" s="100" t="s">
        <v>29</v>
      </c>
      <c r="J12" s="55"/>
      <c r="K12" s="56"/>
      <c r="L12" s="56"/>
      <c r="M12" s="108"/>
      <c r="N12" s="253"/>
    </row>
    <row r="13" spans="1:14">
      <c r="A13" s="253"/>
      <c r="B13" s="48" t="s">
        <v>421</v>
      </c>
      <c r="C13" s="85">
        <v>0.1</v>
      </c>
      <c r="D13" s="46">
        <f>85899*(1+D36)</f>
        <v>92496.84919424048</v>
      </c>
      <c r="E13" s="50"/>
      <c r="F13" s="50"/>
      <c r="G13" s="49" t="str">
        <f>Med_Int_Spec!G14</f>
        <v>FY16 UFR, Weighted Average, Program Function Manager</v>
      </c>
      <c r="H13" s="253"/>
      <c r="I13" s="109" t="str">
        <f>B13</f>
        <v xml:space="preserve">  Management Supervision</v>
      </c>
      <c r="J13" s="57"/>
      <c r="K13" s="58">
        <f>D13</f>
        <v>92496.84919424048</v>
      </c>
      <c r="L13" s="59">
        <f>C41</f>
        <v>0.1</v>
      </c>
      <c r="M13" s="110">
        <f>K13*L13</f>
        <v>9249.6849194240476</v>
      </c>
      <c r="N13" s="253"/>
    </row>
    <row r="14" spans="1:14">
      <c r="A14" s="253"/>
      <c r="B14" s="48" t="s">
        <v>402</v>
      </c>
      <c r="C14" s="85"/>
      <c r="D14" s="46">
        <f>50000*(1+D36)</f>
        <v>53840.469152283775</v>
      </c>
      <c r="E14" s="50"/>
      <c r="F14" s="50"/>
      <c r="G14" s="2612" t="s">
        <v>605</v>
      </c>
      <c r="H14" s="253"/>
      <c r="I14" s="109" t="str">
        <f>B14</f>
        <v xml:space="preserve">  Specialty Site Manager</v>
      </c>
      <c r="J14" s="57"/>
      <c r="K14" s="58">
        <f>D14</f>
        <v>53840.469152283775</v>
      </c>
      <c r="L14" s="59">
        <f>C42</f>
        <v>1</v>
      </c>
      <c r="M14" s="110">
        <f>K14*L14</f>
        <v>53840.469152283775</v>
      </c>
      <c r="N14" s="253"/>
    </row>
    <row r="15" spans="1:14">
      <c r="A15" s="253"/>
      <c r="B15" s="44" t="s">
        <v>31</v>
      </c>
      <c r="C15" s="85"/>
      <c r="D15" s="46"/>
      <c r="E15" s="50"/>
      <c r="F15" s="50"/>
      <c r="G15" s="2612"/>
      <c r="H15" s="253"/>
      <c r="I15" s="111" t="s">
        <v>31</v>
      </c>
      <c r="J15" s="57"/>
      <c r="K15" s="58"/>
      <c r="L15" s="59"/>
      <c r="M15" s="110"/>
      <c r="N15" s="253"/>
    </row>
    <row r="16" spans="1:14">
      <c r="A16" s="253"/>
      <c r="B16" s="48" t="s">
        <v>124</v>
      </c>
      <c r="C16" s="85">
        <v>1</v>
      </c>
      <c r="D16" s="46">
        <f>41906*(1+D36)</f>
        <v>45124.774005912077</v>
      </c>
      <c r="E16" s="325"/>
      <c r="F16" s="325"/>
      <c r="G16" s="260" t="s">
        <v>469</v>
      </c>
      <c r="H16" s="253"/>
      <c r="I16" s="109" t="str">
        <f>B16</f>
        <v xml:space="preserve">  DC Evening Supervisor</v>
      </c>
      <c r="J16" s="57"/>
      <c r="K16" s="58">
        <f>D16</f>
        <v>45124.774005912077</v>
      </c>
      <c r="L16" s="59">
        <f>C48</f>
        <v>1</v>
      </c>
      <c r="M16" s="110">
        <f>K16*L16</f>
        <v>45124.774005912077</v>
      </c>
      <c r="N16" s="253"/>
    </row>
    <row r="17" spans="1:14">
      <c r="A17" s="253"/>
      <c r="B17" s="48" t="s">
        <v>129</v>
      </c>
      <c r="C17" s="85">
        <v>10</v>
      </c>
      <c r="D17" s="46">
        <f>Med_Int_Spec!D20</f>
        <v>35063.449294968901</v>
      </c>
      <c r="E17" s="50"/>
      <c r="F17" s="50"/>
      <c r="G17" s="260" t="str">
        <f>Med_Int_Spec!G20</f>
        <v>FY15 UFR, Weighted Average, average of DC I + II + III</v>
      </c>
      <c r="H17" s="253"/>
      <c r="I17" s="109" t="str">
        <f>B17</f>
        <v xml:space="preserve">  DC Blended (DC I + II + III)</v>
      </c>
      <c r="J17" s="57"/>
      <c r="K17" s="58">
        <f>D17</f>
        <v>35063.449294968901</v>
      </c>
      <c r="L17" s="59">
        <f>C49</f>
        <v>10</v>
      </c>
      <c r="M17" s="110">
        <f>K17*L17</f>
        <v>350634.49294968904</v>
      </c>
      <c r="N17" s="253"/>
    </row>
    <row r="18" spans="1:14">
      <c r="A18" s="253"/>
      <c r="B18" s="48" t="s">
        <v>49</v>
      </c>
      <c r="C18" s="85">
        <f>C17*D9</f>
        <v>1.5384615384615385</v>
      </c>
      <c r="D18" s="46">
        <f>D17*0.873</f>
        <v>30610.39123450785</v>
      </c>
      <c r="E18" s="50"/>
      <c r="F18" s="50"/>
      <c r="G18" s="260"/>
      <c r="H18" s="253"/>
      <c r="I18" s="288" t="str">
        <f>B18</f>
        <v xml:space="preserve">  Relief</v>
      </c>
      <c r="J18" s="57"/>
      <c r="K18" s="58">
        <f>D18</f>
        <v>30610.39123450785</v>
      </c>
      <c r="L18" s="59">
        <f>C50</f>
        <v>1.5384615384615385</v>
      </c>
      <c r="M18" s="110">
        <f>K18*L18</f>
        <v>47092.909591550539</v>
      </c>
      <c r="N18" s="253"/>
    </row>
    <row r="19" spans="1:14">
      <c r="A19" s="253"/>
      <c r="B19" s="48"/>
      <c r="C19" s="45"/>
      <c r="D19" s="46"/>
      <c r="E19" s="50"/>
      <c r="F19" s="50"/>
      <c r="G19" s="260"/>
      <c r="H19" s="253"/>
      <c r="I19" s="114" t="s">
        <v>13</v>
      </c>
      <c r="J19" s="3"/>
      <c r="K19" s="3"/>
      <c r="L19" s="64">
        <f>SUM(L13:L18)</f>
        <v>13.638461538461538</v>
      </c>
      <c r="M19" s="115">
        <f>SUM(M13:M18)</f>
        <v>505942.33061885944</v>
      </c>
      <c r="N19" s="253"/>
    </row>
    <row r="20" spans="1:14">
      <c r="A20" s="253"/>
      <c r="B20" s="48"/>
      <c r="C20" s="45"/>
      <c r="D20" s="46"/>
      <c r="E20" s="45"/>
      <c r="F20" s="45"/>
      <c r="G20" s="260"/>
      <c r="H20" s="253"/>
      <c r="I20" s="104"/>
      <c r="J20" s="72"/>
      <c r="K20" s="72"/>
      <c r="L20" s="72"/>
      <c r="M20" s="116"/>
      <c r="N20" s="253"/>
    </row>
    <row r="21" spans="1:14">
      <c r="A21" s="253"/>
      <c r="B21" s="81"/>
      <c r="C21" s="45"/>
      <c r="D21" s="82" t="s">
        <v>42</v>
      </c>
      <c r="E21" s="45"/>
      <c r="F21" s="45"/>
      <c r="G21" s="260"/>
      <c r="H21" s="253"/>
      <c r="I21" s="100" t="s">
        <v>15</v>
      </c>
      <c r="J21" s="72"/>
      <c r="K21" s="72"/>
      <c r="L21" s="4" t="s">
        <v>16</v>
      </c>
      <c r="M21" s="105"/>
      <c r="N21" s="253"/>
    </row>
    <row r="22" spans="1:14">
      <c r="A22" s="253"/>
      <c r="B22" s="81" t="s">
        <v>434</v>
      </c>
      <c r="C22" s="45"/>
      <c r="D22" s="88" t="e">
        <f>'Integrated Team (FY21)'!#REF!</f>
        <v>#REF!</v>
      </c>
      <c r="E22" s="50"/>
      <c r="F22" s="50"/>
      <c r="G22" s="260" t="str">
        <f>Med_Int_Spec!G25</f>
        <v>Avg of the FY15 data.</v>
      </c>
      <c r="H22" s="253"/>
      <c r="I22" s="104" t="str">
        <f>B22</f>
        <v xml:space="preserve">  Tax and Fringe</v>
      </c>
      <c r="J22" s="72"/>
      <c r="K22" s="65" t="e">
        <f>D22</f>
        <v>#REF!</v>
      </c>
      <c r="L22" s="72"/>
      <c r="M22" s="117" t="e">
        <f>K22*M19</f>
        <v>#REF!</v>
      </c>
      <c r="N22" s="253"/>
    </row>
    <row r="23" spans="1:14">
      <c r="A23" s="253"/>
      <c r="B23" s="81"/>
      <c r="C23" s="51"/>
      <c r="D23" s="51"/>
      <c r="E23" s="51"/>
      <c r="F23" s="51"/>
      <c r="G23" s="260"/>
      <c r="H23" s="253"/>
      <c r="I23" s="114" t="s">
        <v>18</v>
      </c>
      <c r="J23" s="3"/>
      <c r="K23" s="3"/>
      <c r="L23" s="63"/>
      <c r="M23" s="118" t="e">
        <f>M19+M22</f>
        <v>#REF!</v>
      </c>
      <c r="N23" s="253"/>
    </row>
    <row r="24" spans="1:14">
      <c r="A24" s="253"/>
      <c r="B24" s="171"/>
      <c r="C24" s="51"/>
      <c r="D24" s="51"/>
      <c r="E24" s="51"/>
      <c r="F24" s="51"/>
      <c r="G24" s="260"/>
      <c r="H24" s="253"/>
      <c r="I24" s="100"/>
      <c r="J24" s="4"/>
      <c r="K24" s="4"/>
      <c r="L24" s="66"/>
      <c r="M24" s="119"/>
      <c r="N24" s="253"/>
    </row>
    <row r="25" spans="1:14">
      <c r="A25" s="253"/>
      <c r="B25" s="48"/>
      <c r="C25" s="296"/>
      <c r="D25" s="294" t="s">
        <v>328</v>
      </c>
      <c r="E25" s="296"/>
      <c r="F25" s="296"/>
      <c r="G25" s="260"/>
      <c r="H25" s="253"/>
      <c r="I25" s="106" t="s">
        <v>328</v>
      </c>
      <c r="J25" s="5"/>
      <c r="K25" s="54" t="s">
        <v>19</v>
      </c>
      <c r="L25" s="67" t="s">
        <v>20</v>
      </c>
      <c r="M25" s="120" t="s">
        <v>7</v>
      </c>
      <c r="N25" s="253"/>
    </row>
    <row r="26" spans="1:14">
      <c r="A26" s="253"/>
      <c r="B26" s="48" t="s">
        <v>125</v>
      </c>
      <c r="C26" s="85"/>
      <c r="D26" s="263">
        <f>'Integrated Team (FY21)'!E35</f>
        <v>135.32</v>
      </c>
      <c r="E26" s="325"/>
      <c r="F26" s="325"/>
      <c r="G26" s="320" t="str">
        <f>'Integrated Team (FY21)'!H35</f>
        <v>BLS /OES Massachusetts Median 2018</v>
      </c>
      <c r="H26" s="253"/>
      <c r="I26" s="109" t="str">
        <f>B26</f>
        <v xml:space="preserve">  Psychologist</v>
      </c>
      <c r="J26" s="4"/>
      <c r="K26" s="68">
        <f>D26</f>
        <v>135.32</v>
      </c>
      <c r="L26" s="69">
        <f>52</f>
        <v>52</v>
      </c>
      <c r="M26" s="117">
        <f>K26*L26</f>
        <v>7036.6399999999994</v>
      </c>
      <c r="N26" s="253"/>
    </row>
    <row r="27" spans="1:14">
      <c r="A27" s="253"/>
      <c r="B27" s="81"/>
      <c r="C27" s="52"/>
      <c r="D27" s="253"/>
      <c r="E27" s="52"/>
      <c r="F27" s="52"/>
      <c r="G27" s="260"/>
      <c r="H27" s="253"/>
      <c r="I27" s="114" t="s">
        <v>21</v>
      </c>
      <c r="J27" s="70"/>
      <c r="K27" s="70"/>
      <c r="L27" s="70"/>
      <c r="M27" s="118">
        <f>SUM(M26:M26)</f>
        <v>7036.6399999999994</v>
      </c>
      <c r="N27" s="253"/>
    </row>
    <row r="28" spans="1:14">
      <c r="A28" s="253"/>
      <c r="B28" s="81"/>
      <c r="C28" s="52"/>
      <c r="D28" s="253"/>
      <c r="E28" s="52"/>
      <c r="F28" s="52"/>
      <c r="G28" s="260"/>
      <c r="H28" s="253"/>
      <c r="I28" s="100"/>
      <c r="J28" s="72"/>
      <c r="K28" s="72"/>
      <c r="L28" s="72"/>
      <c r="M28" s="151"/>
      <c r="N28" s="253"/>
    </row>
    <row r="29" spans="1:14">
      <c r="A29" s="253"/>
      <c r="B29" s="806" t="str">
        <f>Med_Int_Spec!B32</f>
        <v xml:space="preserve">  Staff Training</v>
      </c>
      <c r="C29" s="807"/>
      <c r="D29" s="808">
        <f>Med_Int_Spec!D32</f>
        <v>360</v>
      </c>
      <c r="E29" s="807"/>
      <c r="F29" s="807"/>
      <c r="G29" s="809" t="str">
        <f>Med_Int_Spec!G32</f>
        <v>Avg of the FY15 CBFS data per FTE.</v>
      </c>
      <c r="H29" s="253"/>
      <c r="I29" s="909" t="str">
        <f>B29</f>
        <v xml:space="preserve">  Staff Training</v>
      </c>
      <c r="J29" s="933"/>
      <c r="K29" s="933"/>
      <c r="L29" s="899">
        <f>D29</f>
        <v>360</v>
      </c>
      <c r="M29" s="900">
        <f>L29*L19</f>
        <v>4909.8461538461534</v>
      </c>
      <c r="N29" s="253"/>
    </row>
    <row r="30" spans="1:14">
      <c r="A30" s="253"/>
      <c r="B30" s="81" t="s">
        <v>435</v>
      </c>
      <c r="C30" s="45"/>
      <c r="D30" s="366">
        <f>Med_Int_Spec!D33</f>
        <v>6191.6539525126345</v>
      </c>
      <c r="E30" s="325"/>
      <c r="F30" s="325"/>
      <c r="G30" s="264" t="str">
        <f>Med_Int_Spec!G33</f>
        <v>Benchmark: 101 CMR 420: allocation for van, 1 van / 2 GLEs</v>
      </c>
      <c r="H30" s="253"/>
      <c r="I30" s="109" t="s">
        <v>435</v>
      </c>
      <c r="J30" s="72"/>
      <c r="K30" s="72"/>
      <c r="L30" s="122"/>
      <c r="M30" s="290">
        <f>D30</f>
        <v>6191.6539525126345</v>
      </c>
      <c r="N30" s="253"/>
    </row>
    <row r="31" spans="1:14">
      <c r="A31" s="253"/>
      <c r="B31" s="81" t="s">
        <v>454</v>
      </c>
      <c r="C31" s="45"/>
      <c r="D31" s="89">
        <f>'Integrated Team (FY21)'!E44</f>
        <v>642.72053101483573</v>
      </c>
      <c r="E31" s="325"/>
      <c r="F31" s="325"/>
      <c r="G31" s="260" t="str">
        <f>'Integrated Team (FY21)'!H44</f>
        <v>Program Supplies &amp; Materials (33E) per FTE.</v>
      </c>
      <c r="H31" s="253"/>
      <c r="I31" s="109" t="str">
        <f>B32</f>
        <v xml:space="preserve">  Meals / Food***</v>
      </c>
      <c r="J31" s="72"/>
      <c r="K31" s="72"/>
      <c r="L31" s="910">
        <v>0</v>
      </c>
      <c r="M31" s="290">
        <f>L31*M9</f>
        <v>0</v>
      </c>
      <c r="N31" s="253"/>
    </row>
    <row r="32" spans="1:14">
      <c r="A32" s="253"/>
      <c r="B32" s="582" t="s">
        <v>792</v>
      </c>
      <c r="C32" s="175"/>
      <c r="D32" s="89">
        <v>8.16</v>
      </c>
      <c r="G32" s="604" t="s">
        <v>599</v>
      </c>
      <c r="H32" s="253"/>
      <c r="I32" s="291" t="str">
        <f>B31</f>
        <v xml:space="preserve">  Program Supplies &amp; Materials</v>
      </c>
      <c r="J32" s="72"/>
      <c r="K32" s="72"/>
      <c r="L32" s="170">
        <f>D31</f>
        <v>642.72053101483573</v>
      </c>
      <c r="M32" s="290">
        <f>L32*L19</f>
        <v>8765.7192422254138</v>
      </c>
      <c r="N32" s="253"/>
    </row>
    <row r="33" spans="1:325">
      <c r="A33" s="253"/>
      <c r="B33" s="81"/>
      <c r="C33" s="45"/>
      <c r="D33" s="45"/>
      <c r="E33" s="45"/>
      <c r="F33" s="45"/>
      <c r="G33" s="260"/>
      <c r="H33" s="253"/>
      <c r="I33" s="104"/>
      <c r="J33" s="72"/>
      <c r="K33" s="72"/>
      <c r="L33" s="185"/>
      <c r="M33" s="124">
        <f>SUM(M29:M32)</f>
        <v>19867.2193485842</v>
      </c>
      <c r="N33" s="253"/>
    </row>
    <row r="34" spans="1:325">
      <c r="A34" s="253"/>
      <c r="B34" s="81" t="s">
        <v>437</v>
      </c>
      <c r="C34" s="45"/>
      <c r="D34" s="88">
        <f>'Integrated Team (FY21)'!E46</f>
        <v>0.12</v>
      </c>
      <c r="E34" s="45"/>
      <c r="F34" s="45"/>
      <c r="G34" s="83" t="s">
        <v>472</v>
      </c>
      <c r="H34" s="253"/>
      <c r="I34" s="104"/>
      <c r="J34" s="72"/>
      <c r="K34" s="72"/>
      <c r="L34" s="66"/>
      <c r="M34" s="125"/>
      <c r="N34" s="253"/>
    </row>
    <row r="35" spans="1:325">
      <c r="A35" s="253"/>
      <c r="B35" s="859" t="s">
        <v>788</v>
      </c>
      <c r="D35" s="88">
        <v>7.4999999999999997E-3</v>
      </c>
      <c r="E35" s="45"/>
      <c r="F35" s="45"/>
      <c r="G35" s="388" t="s">
        <v>782</v>
      </c>
      <c r="H35" s="253"/>
      <c r="I35" s="114" t="s">
        <v>23</v>
      </c>
      <c r="J35" s="3"/>
      <c r="K35" s="3"/>
      <c r="L35" s="3"/>
      <c r="M35" s="126" t="e">
        <f>SUM(M23,M27,M33)</f>
        <v>#REF!</v>
      </c>
      <c r="N35" s="253"/>
    </row>
    <row r="36" spans="1:325">
      <c r="A36" s="253"/>
      <c r="B36" s="81" t="s">
        <v>37</v>
      </c>
      <c r="C36" s="45"/>
      <c r="D36" s="389">
        <f>'Med_Int_Spec (FY21)'!D40</f>
        <v>7.6809383045675458E-2</v>
      </c>
      <c r="E36" s="45"/>
      <c r="F36" s="45"/>
      <c r="G36" s="302" t="s">
        <v>781</v>
      </c>
      <c r="H36" s="253"/>
      <c r="I36" s="104"/>
      <c r="J36" s="72"/>
      <c r="K36" s="72"/>
      <c r="L36" s="73"/>
      <c r="M36" s="127"/>
      <c r="N36" s="253"/>
    </row>
    <row r="37" spans="1:325">
      <c r="A37" s="253"/>
      <c r="B37" s="894" t="s">
        <v>37</v>
      </c>
      <c r="D37" s="880">
        <v>2.5000000000000001E-2</v>
      </c>
      <c r="E37" s="253"/>
      <c r="F37" s="253"/>
      <c r="G37" s="260" t="s">
        <v>780</v>
      </c>
      <c r="I37" s="104" t="str">
        <f>B34</f>
        <v xml:space="preserve">  Admin. Allocation</v>
      </c>
      <c r="J37" s="72"/>
      <c r="K37" s="187">
        <v>0.10979999999999999</v>
      </c>
      <c r="L37" s="72"/>
      <c r="M37" s="117" t="e">
        <f>K37*M35</f>
        <v>#REF!</v>
      </c>
      <c r="N37" s="253"/>
    </row>
    <row r="38" spans="1:325">
      <c r="A38" s="253"/>
      <c r="B38" s="81"/>
      <c r="C38" s="45"/>
      <c r="D38" s="389"/>
      <c r="E38" s="45"/>
      <c r="F38" s="45" t="s">
        <v>815</v>
      </c>
      <c r="G38" s="260"/>
      <c r="H38" s="253"/>
      <c r="I38" s="865" t="str">
        <f>B35</f>
        <v>PFLMA Trust Contribution</v>
      </c>
      <c r="J38" s="72"/>
      <c r="K38" s="908">
        <f>D35</f>
        <v>7.4999999999999997E-3</v>
      </c>
      <c r="L38" s="72"/>
      <c r="M38" s="905">
        <f>K38*M19</f>
        <v>3794.5674796414455</v>
      </c>
      <c r="N38" s="253"/>
      <c r="LM38" s="8"/>
    </row>
    <row r="39" spans="1:325" ht="13.5" thickBot="1">
      <c r="A39" s="253"/>
      <c r="B39" s="394" t="s">
        <v>35</v>
      </c>
      <c r="C39" s="257" t="s">
        <v>424</v>
      </c>
      <c r="D39" s="257" t="s">
        <v>425</v>
      </c>
      <c r="E39" s="605" t="s">
        <v>426</v>
      </c>
      <c r="F39" s="257" t="s">
        <v>424</v>
      </c>
      <c r="G39" s="605" t="s">
        <v>426</v>
      </c>
      <c r="H39" s="253"/>
      <c r="I39" s="129" t="s">
        <v>25</v>
      </c>
      <c r="J39" s="74"/>
      <c r="K39" s="74"/>
      <c r="L39" s="74"/>
      <c r="M39" s="130" t="e">
        <f>SUM(M35:M38)</f>
        <v>#REF!</v>
      </c>
      <c r="N39" s="253"/>
    </row>
    <row r="40" spans="1:325" ht="13.5" thickTop="1">
      <c r="A40" s="253"/>
      <c r="B40" s="344" t="s">
        <v>29</v>
      </c>
      <c r="C40" s="253"/>
      <c r="D40" s="253"/>
      <c r="E40" s="606"/>
      <c r="F40" s="944"/>
      <c r="G40" s="606"/>
      <c r="H40" s="253"/>
      <c r="I40" s="104"/>
      <c r="J40" s="72"/>
      <c r="K40" s="72"/>
      <c r="L40" s="151"/>
      <c r="M40" s="260"/>
      <c r="N40" s="253"/>
    </row>
    <row r="41" spans="1:325">
      <c r="A41" s="253"/>
      <c r="B41" s="265" t="s">
        <v>421</v>
      </c>
      <c r="C41" s="85">
        <v>0.1</v>
      </c>
      <c r="D41" s="85">
        <v>0.1</v>
      </c>
      <c r="E41" s="607">
        <v>0.1</v>
      </c>
      <c r="F41" s="85">
        <v>0.1</v>
      </c>
      <c r="G41" s="607">
        <v>0.1</v>
      </c>
      <c r="I41" s="104"/>
      <c r="J41" s="72"/>
      <c r="K41" s="72"/>
      <c r="L41" s="72"/>
      <c r="M41" s="105"/>
      <c r="N41" s="253"/>
    </row>
    <row r="42" spans="1:325">
      <c r="A42" s="253"/>
      <c r="B42" s="265" t="s">
        <v>402</v>
      </c>
      <c r="C42" s="85">
        <v>1</v>
      </c>
      <c r="D42" s="85">
        <v>1.6</v>
      </c>
      <c r="E42" s="607">
        <v>2.2000000000000002</v>
      </c>
      <c r="F42" s="85">
        <v>1</v>
      </c>
      <c r="G42" s="607">
        <v>2.2000000000000002</v>
      </c>
      <c r="I42" s="104" t="str">
        <f>B36</f>
        <v>CAF rate</v>
      </c>
      <c r="J42" s="72"/>
      <c r="K42" s="131">
        <f>D37</f>
        <v>2.5000000000000001E-2</v>
      </c>
      <c r="L42" s="72"/>
      <c r="M42" s="132" t="e">
        <f>M39*(1+K42)</f>
        <v>#REF!</v>
      </c>
      <c r="N42" s="253"/>
    </row>
    <row r="43" spans="1:325" ht="13.5" thickBot="1">
      <c r="A43" s="253"/>
      <c r="B43" s="265" t="s">
        <v>30</v>
      </c>
      <c r="C43" s="85"/>
      <c r="D43" s="85"/>
      <c r="E43" s="607"/>
      <c r="F43" s="928"/>
      <c r="G43" s="607"/>
      <c r="H43" s="253"/>
      <c r="I43" s="804" t="str">
        <f>B32</f>
        <v xml:space="preserve">  Meals / Food***</v>
      </c>
      <c r="J43" s="805"/>
      <c r="K43" s="597">
        <f>D32</f>
        <v>8.16</v>
      </c>
      <c r="L43" s="801"/>
      <c r="M43" s="810">
        <f>K43*M9</f>
        <v>14892</v>
      </c>
      <c r="N43" s="253"/>
    </row>
    <row r="44" spans="1:325" ht="13.5" thickTop="1">
      <c r="A44" s="253"/>
      <c r="B44" s="265" t="s">
        <v>125</v>
      </c>
      <c r="C44" s="85"/>
      <c r="D44" s="85"/>
      <c r="E44" s="607"/>
      <c r="F44" s="85">
        <v>0.25</v>
      </c>
      <c r="G44" s="607">
        <v>0.5</v>
      </c>
      <c r="H44" s="253"/>
      <c r="I44" s="104"/>
      <c r="J44" s="72"/>
      <c r="K44" s="574"/>
      <c r="L44" s="72"/>
      <c r="M44" s="132" t="e">
        <f>M42+M43</f>
        <v>#REF!</v>
      </c>
      <c r="N44" s="253"/>
    </row>
    <row r="45" spans="1:325">
      <c r="A45" s="253"/>
      <c r="B45" s="265" t="s">
        <v>47</v>
      </c>
      <c r="C45" s="85"/>
      <c r="D45" s="85"/>
      <c r="E45" s="607"/>
      <c r="F45" s="381">
        <v>0.5</v>
      </c>
      <c r="G45" s="946">
        <v>0.75</v>
      </c>
      <c r="H45" s="253"/>
      <c r="I45" s="104"/>
      <c r="J45" s="72"/>
      <c r="K45" s="72"/>
      <c r="L45" s="72"/>
      <c r="M45" s="136"/>
      <c r="N45" s="253"/>
      <c r="LI45" s="8"/>
      <c r="LJ45" s="8"/>
      <c r="LK45" s="8"/>
      <c r="LL45" s="8"/>
      <c r="LM45" s="8"/>
    </row>
    <row r="46" spans="1:325" ht="13.5" thickBot="1">
      <c r="A46" s="253"/>
      <c r="B46" s="265" t="s">
        <v>126</v>
      </c>
      <c r="C46" s="85"/>
      <c r="D46" s="85"/>
      <c r="E46" s="607"/>
      <c r="F46" s="85">
        <v>0.2</v>
      </c>
      <c r="G46" s="607">
        <v>0.4</v>
      </c>
      <c r="H46" s="260"/>
      <c r="I46" s="104"/>
      <c r="J46" s="72"/>
      <c r="K46" s="72"/>
      <c r="L46" s="73"/>
      <c r="M46" s="568"/>
      <c r="N46" s="253"/>
      <c r="LI46" s="8"/>
      <c r="LJ46" s="8"/>
      <c r="LK46" s="8"/>
      <c r="LL46" s="8"/>
      <c r="LM46" s="8"/>
    </row>
    <row r="47" spans="1:325" ht="13.5" thickBot="1">
      <c r="A47" s="253"/>
      <c r="B47" s="344" t="s">
        <v>31</v>
      </c>
      <c r="C47" s="412"/>
      <c r="D47" s="412"/>
      <c r="E47" s="608"/>
      <c r="F47" s="945"/>
      <c r="G47" s="608"/>
      <c r="H47" s="253"/>
      <c r="I47" s="584" t="s">
        <v>28</v>
      </c>
      <c r="J47" s="358"/>
      <c r="K47" s="359"/>
      <c r="L47" s="360"/>
      <c r="M47" s="577" t="e">
        <f>M44/M9</f>
        <v>#REF!</v>
      </c>
      <c r="N47" s="253"/>
    </row>
    <row r="48" spans="1:325">
      <c r="A48" s="253"/>
      <c r="B48" s="265" t="s">
        <v>124</v>
      </c>
      <c r="C48" s="85">
        <v>1</v>
      </c>
      <c r="D48" s="85">
        <v>1.25</v>
      </c>
      <c r="E48" s="607">
        <v>1.5</v>
      </c>
      <c r="F48" s="928"/>
      <c r="G48" s="607"/>
      <c r="H48" s="253"/>
      <c r="I48" s="72"/>
      <c r="J48" s="410"/>
      <c r="K48" s="72"/>
      <c r="L48" s="72" t="s">
        <v>783</v>
      </c>
      <c r="M48" s="929">
        <v>395.91</v>
      </c>
      <c r="N48" s="253"/>
    </row>
    <row r="49" spans="1:14">
      <c r="A49" s="253"/>
      <c r="B49" s="265" t="s">
        <v>129</v>
      </c>
      <c r="C49" s="85">
        <v>10</v>
      </c>
      <c r="D49" s="85">
        <v>11.1</v>
      </c>
      <c r="E49" s="607">
        <v>12.2</v>
      </c>
      <c r="F49" s="85">
        <v>7</v>
      </c>
      <c r="G49" s="607">
        <v>9.1999999999999993</v>
      </c>
      <c r="H49" s="253"/>
      <c r="I49" s="72"/>
      <c r="J49" s="410"/>
      <c r="K49" s="72"/>
      <c r="L49" s="73"/>
      <c r="M49" s="929" t="e">
        <f>M47-M48</f>
        <v>#REF!</v>
      </c>
      <c r="N49" s="943" t="e">
        <f>M49/M48</f>
        <v>#REF!</v>
      </c>
    </row>
    <row r="50" spans="1:14" ht="13.5" thickBot="1">
      <c r="A50" s="253"/>
      <c r="B50" s="265" t="s">
        <v>349</v>
      </c>
      <c r="C50" s="85">
        <v>1.5384615384615385</v>
      </c>
      <c r="D50" s="85">
        <f>D49*D9</f>
        <v>1.7076923076923078</v>
      </c>
      <c r="E50" s="607">
        <f>E49*D9</f>
        <v>1.8769230769230769</v>
      </c>
      <c r="F50" s="85">
        <f>F49*D9</f>
        <v>1.0769230769230771</v>
      </c>
      <c r="G50" s="607">
        <f>G49*D9</f>
        <v>1.4153846153846155</v>
      </c>
      <c r="H50" s="253"/>
      <c r="I50" s="363"/>
      <c r="J50" s="410"/>
      <c r="K50" s="72"/>
      <c r="L50" s="73"/>
      <c r="M50" s="411"/>
      <c r="N50" s="253"/>
    </row>
    <row r="51" spans="1:14" ht="13.5" thickBot="1">
      <c r="A51" s="253"/>
      <c r="B51" s="342" t="s">
        <v>125</v>
      </c>
      <c r="C51" s="393">
        <v>2</v>
      </c>
      <c r="D51" s="393">
        <v>4</v>
      </c>
      <c r="E51" s="609">
        <v>8</v>
      </c>
      <c r="F51" s="393">
        <f>F25</f>
        <v>0</v>
      </c>
      <c r="G51" s="609">
        <v>4</v>
      </c>
      <c r="H51" s="253"/>
      <c r="I51" s="2607" t="s">
        <v>573</v>
      </c>
      <c r="J51" s="2608"/>
      <c r="K51" s="2608"/>
      <c r="L51" s="2608"/>
      <c r="M51" s="2609"/>
      <c r="N51" s="253"/>
    </row>
    <row r="52" spans="1:14">
      <c r="A52" s="253"/>
      <c r="B52" s="253"/>
      <c r="C52" s="85"/>
      <c r="D52" s="85"/>
      <c r="E52" s="85"/>
      <c r="F52" s="85"/>
      <c r="G52" s="928"/>
      <c r="H52" s="253"/>
      <c r="I52" s="146" t="s">
        <v>277</v>
      </c>
      <c r="J52" s="147">
        <v>8</v>
      </c>
      <c r="K52" s="148"/>
      <c r="L52" s="149" t="s">
        <v>133</v>
      </c>
      <c r="M52" s="150">
        <f>J52*365</f>
        <v>2920</v>
      </c>
      <c r="N52" s="253"/>
    </row>
    <row r="53" spans="1:14">
      <c r="A53" s="253"/>
      <c r="B53" s="253"/>
      <c r="C53" s="253"/>
      <c r="D53" s="253"/>
      <c r="E53" s="253"/>
      <c r="F53" s="253"/>
      <c r="G53" s="253"/>
      <c r="H53" s="253"/>
      <c r="I53" s="106"/>
      <c r="J53" s="53"/>
      <c r="K53" s="54" t="s">
        <v>5</v>
      </c>
      <c r="L53" s="54" t="s">
        <v>6</v>
      </c>
      <c r="M53" s="107" t="s">
        <v>7</v>
      </c>
      <c r="N53" s="253"/>
    </row>
    <row r="54" spans="1:14" ht="13.5" thickBot="1">
      <c r="A54" s="253"/>
      <c r="B54" s="253"/>
      <c r="C54" s="253"/>
      <c r="D54" s="253"/>
      <c r="E54" s="253"/>
      <c r="F54" s="253"/>
      <c r="G54" s="253"/>
      <c r="H54" s="253"/>
      <c r="I54" s="111" t="str">
        <f>B40</f>
        <v>Management</v>
      </c>
      <c r="J54" s="55"/>
      <c r="K54" s="56"/>
      <c r="L54" s="56"/>
      <c r="M54" s="108"/>
      <c r="N54" s="253"/>
    </row>
    <row r="55" spans="1:14" ht="25.5">
      <c r="A55" s="253"/>
      <c r="B55" s="42"/>
      <c r="C55" s="153" t="s">
        <v>35</v>
      </c>
      <c r="D55" s="153" t="s">
        <v>41</v>
      </c>
      <c r="E55" s="856"/>
      <c r="F55" s="856"/>
      <c r="G55" s="259" t="s">
        <v>278</v>
      </c>
      <c r="H55" s="253"/>
      <c r="I55" s="109" t="str">
        <f>B41</f>
        <v xml:space="preserve">  Management Supervision</v>
      </c>
      <c r="J55" s="57"/>
      <c r="K55" s="58">
        <f>D13</f>
        <v>92496.84919424048</v>
      </c>
      <c r="L55" s="59">
        <f>D41</f>
        <v>0.1</v>
      </c>
      <c r="M55" s="110">
        <f>K55*L55</f>
        <v>9249.6849194240476</v>
      </c>
      <c r="N55" s="253"/>
    </row>
    <row r="56" spans="1:14">
      <c r="A56" s="253"/>
      <c r="B56" s="171" t="s">
        <v>29</v>
      </c>
      <c r="C56" s="45"/>
      <c r="D56" s="82"/>
      <c r="E56" s="925"/>
      <c r="F56" s="925"/>
      <c r="G56" s="260"/>
      <c r="H56" s="253"/>
      <c r="I56" s="109" t="str">
        <f>B42</f>
        <v xml:space="preserve">  Specialty Site Manager</v>
      </c>
      <c r="J56" s="57"/>
      <c r="K56" s="58">
        <f>D14</f>
        <v>53840.469152283775</v>
      </c>
      <c r="L56" s="59">
        <f>D42</f>
        <v>1.6</v>
      </c>
      <c r="M56" s="110">
        <f>K56*L56</f>
        <v>86144.750643654043</v>
      </c>
      <c r="N56" s="253"/>
    </row>
    <row r="57" spans="1:14">
      <c r="A57" s="253"/>
      <c r="B57" s="48" t="s">
        <v>421</v>
      </c>
      <c r="C57" s="85">
        <v>0.1</v>
      </c>
      <c r="D57" s="46">
        <f>D13</f>
        <v>92496.84919424048</v>
      </c>
      <c r="E57" s="926"/>
      <c r="F57" s="926"/>
      <c r="G57" s="260" t="str">
        <f>G13</f>
        <v>FY16 UFR, Weighted Average, Program Function Manager</v>
      </c>
      <c r="H57" s="253"/>
      <c r="I57" s="111" t="str">
        <f>B47</f>
        <v>Direct Care</v>
      </c>
      <c r="J57" s="57"/>
      <c r="K57" s="58"/>
      <c r="L57" s="59"/>
      <c r="M57" s="110"/>
      <c r="N57" s="253"/>
    </row>
    <row r="58" spans="1:14">
      <c r="A58" s="253"/>
      <c r="B58" s="48" t="s">
        <v>402</v>
      </c>
      <c r="C58" s="85">
        <v>1</v>
      </c>
      <c r="D58" s="46" t="e">
        <f>'Integrated Team (FY21)'!#REF!</f>
        <v>#REF!</v>
      </c>
      <c r="E58" s="927"/>
      <c r="F58" s="927"/>
      <c r="G58" s="2612" t="s">
        <v>605</v>
      </c>
      <c r="H58" s="253"/>
      <c r="I58" s="109" t="str">
        <f>B48</f>
        <v xml:space="preserve">  DC Evening Supervisor</v>
      </c>
      <c r="J58" s="57"/>
      <c r="K58" s="58">
        <f>D16</f>
        <v>45124.774005912077</v>
      </c>
      <c r="L58" s="59">
        <f>D48</f>
        <v>1.25</v>
      </c>
      <c r="M58" s="110">
        <f>K58*L58</f>
        <v>56405.967507390094</v>
      </c>
      <c r="N58" s="253"/>
    </row>
    <row r="59" spans="1:14">
      <c r="A59" s="253"/>
      <c r="B59" s="44" t="s">
        <v>30</v>
      </c>
      <c r="C59" s="85"/>
      <c r="D59" s="46"/>
      <c r="E59" s="50"/>
      <c r="F59" s="50"/>
      <c r="G59" s="2612"/>
      <c r="H59" s="253"/>
      <c r="I59" s="109" t="str">
        <f>B49</f>
        <v xml:space="preserve">  DC Blended (DC I + II + III)</v>
      </c>
      <c r="J59" s="377"/>
      <c r="K59" s="58">
        <f>D17</f>
        <v>35063.449294968901</v>
      </c>
      <c r="L59" s="59">
        <f>D49</f>
        <v>11.1</v>
      </c>
      <c r="M59" s="379">
        <f>K59*L59</f>
        <v>389204.28717415477</v>
      </c>
      <c r="N59" s="253"/>
    </row>
    <row r="60" spans="1:14">
      <c r="A60" s="253"/>
      <c r="B60" s="48" t="s">
        <v>125</v>
      </c>
      <c r="C60" s="85">
        <v>0.25</v>
      </c>
      <c r="D60" s="46">
        <f>'FY15 Salary Benchmark'!C13*(1+D36)</f>
        <v>72789.28066227409</v>
      </c>
      <c r="E60" s="50"/>
      <c r="F60" s="50"/>
      <c r="G60" s="260" t="s">
        <v>453</v>
      </c>
      <c r="H60" s="253"/>
      <c r="I60" s="288" t="str">
        <f>B50</f>
        <v xml:space="preserve">  Relief</v>
      </c>
      <c r="J60" s="57"/>
      <c r="K60" s="58">
        <f>D18</f>
        <v>30610.39123450785</v>
      </c>
      <c r="L60" s="59">
        <f>D50</f>
        <v>1.7076923076923078</v>
      </c>
      <c r="M60" s="110">
        <f>K60*L60</f>
        <v>52273.129646621099</v>
      </c>
      <c r="N60" s="253"/>
    </row>
    <row r="61" spans="1:14">
      <c r="A61" s="253"/>
      <c r="B61" s="380" t="s">
        <v>47</v>
      </c>
      <c r="C61" s="381">
        <v>0.5</v>
      </c>
      <c r="D61" s="375" t="e">
        <f>'Integrated Team (FY21)'!#REF!</f>
        <v>#REF!</v>
      </c>
      <c r="E61" s="50"/>
      <c r="F61" s="50"/>
      <c r="G61" s="266" t="str">
        <f>'Integrated Team (FY21)'!H18</f>
        <v>BLS /OES Massachusetts Median 2018</v>
      </c>
      <c r="H61" s="253"/>
      <c r="I61" s="114" t="s">
        <v>13</v>
      </c>
      <c r="J61" s="3"/>
      <c r="K61" s="3"/>
      <c r="L61" s="64">
        <f>SUM(L55:L60)</f>
        <v>15.757692307692309</v>
      </c>
      <c r="M61" s="115">
        <f>SUM(M55:M60)</f>
        <v>593277.81989124406</v>
      </c>
      <c r="N61" s="253"/>
    </row>
    <row r="62" spans="1:14">
      <c r="A62" s="253"/>
      <c r="B62" s="48" t="s">
        <v>126</v>
      </c>
      <c r="C62" s="85">
        <v>0.2</v>
      </c>
      <c r="D62" s="46">
        <f>'FY15 Salary Benchmark'!C10*(1+D36)</f>
        <v>51700.782965485909</v>
      </c>
      <c r="E62" s="50"/>
      <c r="F62" s="50"/>
      <c r="G62" s="49" t="s">
        <v>447</v>
      </c>
      <c r="H62" s="253"/>
      <c r="I62" s="100" t="s">
        <v>15</v>
      </c>
      <c r="J62" s="72"/>
      <c r="K62" s="72"/>
      <c r="L62" s="4" t="s">
        <v>16</v>
      </c>
      <c r="M62" s="105"/>
      <c r="N62" s="253"/>
    </row>
    <row r="63" spans="1:14">
      <c r="A63" s="253"/>
      <c r="B63" s="44" t="s">
        <v>31</v>
      </c>
      <c r="C63" s="85"/>
      <c r="D63" s="46"/>
      <c r="E63" s="50"/>
      <c r="F63" s="50"/>
      <c r="G63" s="260"/>
      <c r="H63" s="253"/>
      <c r="I63" s="104" t="str">
        <f>B68</f>
        <v xml:space="preserve">  Tax and Fringe</v>
      </c>
      <c r="J63" s="72"/>
      <c r="K63" s="65" t="e">
        <f>D22</f>
        <v>#REF!</v>
      </c>
      <c r="L63" s="72"/>
      <c r="M63" s="117" t="e">
        <f>K63*M61</f>
        <v>#REF!</v>
      </c>
      <c r="N63" s="253"/>
    </row>
    <row r="64" spans="1:14">
      <c r="A64" s="253"/>
      <c r="B64" s="48" t="s">
        <v>129</v>
      </c>
      <c r="C64" s="85">
        <v>7</v>
      </c>
      <c r="D64" s="46">
        <f>D17</f>
        <v>35063.449294968901</v>
      </c>
      <c r="E64" s="50"/>
      <c r="F64" s="50"/>
      <c r="G64" s="49" t="str">
        <f>G17</f>
        <v>FY15 UFR, Weighted Average, average of DC I + II + III</v>
      </c>
      <c r="H64" s="253"/>
      <c r="I64" s="114" t="s">
        <v>18</v>
      </c>
      <c r="J64" s="3"/>
      <c r="K64" s="3"/>
      <c r="L64" s="63"/>
      <c r="M64" s="118" t="e">
        <f>M61+M63</f>
        <v>#REF!</v>
      </c>
      <c r="N64" s="253"/>
    </row>
    <row r="65" spans="1:325">
      <c r="A65" s="253"/>
      <c r="B65" s="48" t="s">
        <v>49</v>
      </c>
      <c r="C65" s="85">
        <f>C64*D9</f>
        <v>1.0769230769230771</v>
      </c>
      <c r="D65" s="46">
        <f>D64*0.873</f>
        <v>30610.39123450785</v>
      </c>
      <c r="E65" s="50"/>
      <c r="F65" s="50"/>
      <c r="G65" s="260"/>
      <c r="H65" s="253"/>
      <c r="I65" s="100"/>
      <c r="J65" s="4"/>
      <c r="K65" s="4"/>
      <c r="L65" s="66"/>
      <c r="M65" s="119"/>
      <c r="N65" s="253"/>
    </row>
    <row r="66" spans="1:325">
      <c r="A66" s="253"/>
      <c r="B66" s="81"/>
      <c r="C66" s="45"/>
      <c r="D66" s="82"/>
      <c r="E66" s="51"/>
      <c r="F66" s="51"/>
      <c r="G66" s="260"/>
      <c r="H66" s="253"/>
      <c r="I66" s="106" t="s">
        <v>328</v>
      </c>
      <c r="J66" s="5"/>
      <c r="K66" s="54" t="s">
        <v>19</v>
      </c>
      <c r="L66" s="67" t="s">
        <v>20</v>
      </c>
      <c r="M66" s="120" t="s">
        <v>7</v>
      </c>
      <c r="N66" s="253"/>
    </row>
    <row r="67" spans="1:325">
      <c r="A67" s="253"/>
      <c r="B67" s="81"/>
      <c r="C67" s="45"/>
      <c r="D67" s="82" t="s">
        <v>42</v>
      </c>
      <c r="E67" s="51"/>
      <c r="F67" s="51"/>
      <c r="G67" s="260"/>
      <c r="H67" s="253"/>
      <c r="I67" s="109" t="str">
        <f>B26</f>
        <v xml:space="preserve">  Psychologist</v>
      </c>
      <c r="J67" s="4"/>
      <c r="K67" s="68">
        <f>D26</f>
        <v>135.32</v>
      </c>
      <c r="L67" s="69">
        <f>D51*52</f>
        <v>208</v>
      </c>
      <c r="M67" s="117">
        <f>K67*L67</f>
        <v>28146.559999999998</v>
      </c>
      <c r="N67" s="253"/>
    </row>
    <row r="68" spans="1:325">
      <c r="A68" s="253"/>
      <c r="B68" s="81" t="s">
        <v>434</v>
      </c>
      <c r="C68" s="45"/>
      <c r="D68" s="88" t="e">
        <f>D22</f>
        <v>#REF!</v>
      </c>
      <c r="E68" s="52"/>
      <c r="F68" s="52"/>
      <c r="G68" s="260" t="str">
        <f>G22</f>
        <v>Avg of the FY15 data.</v>
      </c>
      <c r="H68" s="253"/>
      <c r="I68" s="114" t="s">
        <v>21</v>
      </c>
      <c r="J68" s="70"/>
      <c r="K68" s="70"/>
      <c r="L68" s="70"/>
      <c r="M68" s="118">
        <f>SUM(M67:M67)</f>
        <v>28146.559999999998</v>
      </c>
      <c r="N68" s="253"/>
    </row>
    <row r="69" spans="1:325">
      <c r="A69" s="253"/>
      <c r="B69" s="48"/>
      <c r="C69" s="52"/>
      <c r="D69" s="253"/>
      <c r="E69" s="52"/>
      <c r="F69" s="52"/>
      <c r="G69" s="260"/>
      <c r="H69" s="253"/>
      <c r="I69" s="804" t="str">
        <f>B74</f>
        <v xml:space="preserve">  Staff Training</v>
      </c>
      <c r="J69" s="801"/>
      <c r="K69" s="801"/>
      <c r="L69" s="802">
        <f>D74</f>
        <v>360</v>
      </c>
      <c r="M69" s="799">
        <f>L69*L61</f>
        <v>5672.7692307692314</v>
      </c>
      <c r="N69" s="253"/>
    </row>
    <row r="70" spans="1:325">
      <c r="A70" s="253"/>
      <c r="B70" s="48"/>
      <c r="C70" s="52"/>
      <c r="D70" s="253"/>
      <c r="E70" s="52"/>
      <c r="F70" s="52"/>
      <c r="G70" s="260"/>
      <c r="H70" s="253"/>
      <c r="I70" s="109" t="str">
        <f>B76</f>
        <v xml:space="preserve">  Transportation</v>
      </c>
      <c r="J70" s="72"/>
      <c r="K70" s="72"/>
      <c r="L70" s="122"/>
      <c r="M70" s="290"/>
      <c r="N70" s="253"/>
    </row>
    <row r="71" spans="1:325">
      <c r="A71" s="253"/>
      <c r="B71" s="48"/>
      <c r="C71" s="296"/>
      <c r="D71" s="294" t="s">
        <v>328</v>
      </c>
      <c r="E71" s="296"/>
      <c r="F71" s="296"/>
      <c r="G71" s="260"/>
      <c r="H71" s="253"/>
      <c r="I71" s="291" t="str">
        <f>B31</f>
        <v xml:space="preserve">  Program Supplies &amp; Materials</v>
      </c>
      <c r="J71" s="72"/>
      <c r="K71" s="72"/>
      <c r="L71" s="170">
        <f>D31</f>
        <v>642.72053101483573</v>
      </c>
      <c r="M71" s="290">
        <f>L71*L61</f>
        <v>10127.792367568394</v>
      </c>
      <c r="N71" s="253"/>
    </row>
    <row r="72" spans="1:325">
      <c r="A72" s="253"/>
      <c r="B72" s="48" t="str">
        <f>B26</f>
        <v xml:space="preserve">  Psychologist</v>
      </c>
      <c r="C72" s="85">
        <v>2</v>
      </c>
      <c r="D72" s="263">
        <f>D26</f>
        <v>135.32</v>
      </c>
      <c r="E72" s="325"/>
      <c r="F72" s="325"/>
      <c r="G72" s="320" t="str">
        <f>'Integrated Team (FY21)'!H35</f>
        <v>BLS /OES Massachusetts Median 2018</v>
      </c>
      <c r="H72" s="253"/>
      <c r="I72" s="104"/>
      <c r="J72" s="72"/>
      <c r="K72" s="72"/>
      <c r="L72" s="185">
        <f>SUM(L70:L71)</f>
        <v>642.72053101483573</v>
      </c>
      <c r="M72" s="124">
        <f>SUM(M69:M71)</f>
        <v>15800.561598337626</v>
      </c>
      <c r="N72" s="253"/>
    </row>
    <row r="73" spans="1:325">
      <c r="A73" s="253"/>
      <c r="B73" s="48"/>
      <c r="C73" s="52"/>
      <c r="D73" s="253"/>
      <c r="E73" s="52"/>
      <c r="F73" s="52"/>
      <c r="G73" s="260"/>
      <c r="H73" s="253"/>
      <c r="I73" s="104"/>
      <c r="J73" s="72"/>
      <c r="K73" s="72"/>
      <c r="L73" s="66"/>
      <c r="M73" s="125"/>
      <c r="N73" s="253"/>
    </row>
    <row r="74" spans="1:325">
      <c r="A74" s="253"/>
      <c r="B74" s="806" t="str">
        <f>B29</f>
        <v xml:space="preserve">  Staff Training</v>
      </c>
      <c r="C74" s="807"/>
      <c r="D74" s="808">
        <f>D29</f>
        <v>360</v>
      </c>
      <c r="E74" s="807"/>
      <c r="F74" s="807"/>
      <c r="G74" s="809" t="str">
        <f>G29</f>
        <v>Avg of the FY15 CBFS data per FTE.</v>
      </c>
      <c r="H74" s="274"/>
      <c r="I74" s="114" t="s">
        <v>23</v>
      </c>
      <c r="J74" s="3"/>
      <c r="K74" s="3"/>
      <c r="L74" s="3"/>
      <c r="M74" s="126" t="e">
        <f>SUM(M64,M68,M72)</f>
        <v>#REF!</v>
      </c>
      <c r="N74" s="253"/>
    </row>
    <row r="75" spans="1:325">
      <c r="A75" s="253"/>
      <c r="B75" s="368"/>
      <c r="C75" s="371"/>
      <c r="D75" s="369"/>
      <c r="E75" s="371"/>
      <c r="F75" s="371"/>
      <c r="G75" s="388"/>
      <c r="H75" s="253"/>
      <c r="I75" s="72"/>
      <c r="J75" s="72"/>
      <c r="K75" s="72"/>
      <c r="L75" s="105"/>
      <c r="M75" s="253"/>
      <c r="LM75" s="8"/>
    </row>
    <row r="76" spans="1:325">
      <c r="A76" s="253"/>
      <c r="B76" s="81" t="s">
        <v>435</v>
      </c>
      <c r="C76" s="45"/>
      <c r="D76" s="90">
        <f>D30</f>
        <v>6191.6539525126345</v>
      </c>
      <c r="E76" s="90"/>
      <c r="F76" s="90"/>
      <c r="G76" s="298" t="str">
        <f>G30</f>
        <v>Benchmark: 101 CMR 420: allocation for van, 1 van / 2 GLEs</v>
      </c>
      <c r="H76" s="253"/>
      <c r="I76" s="104" t="str">
        <f>B80</f>
        <v xml:space="preserve">  Admin. Allocation</v>
      </c>
      <c r="J76" s="72"/>
      <c r="K76" s="187">
        <f>D34</f>
        <v>0.12</v>
      </c>
      <c r="L76" s="72"/>
      <c r="M76" s="117" t="e">
        <f>K76*M74</f>
        <v>#REF!</v>
      </c>
      <c r="N76" s="253"/>
    </row>
    <row r="77" spans="1:325">
      <c r="A77" s="253"/>
      <c r="B77" s="81" t="s">
        <v>454</v>
      </c>
      <c r="C77" s="45"/>
      <c r="D77" s="299">
        <f>D31</f>
        <v>642.72053101483573</v>
      </c>
      <c r="E77" s="45"/>
      <c r="F77" s="45"/>
      <c r="G77" s="260" t="str">
        <f>G31</f>
        <v>Program Supplies &amp; Materials (33E) per FTE.</v>
      </c>
      <c r="H77" s="253"/>
      <c r="I77" s="865" t="str">
        <f>B35</f>
        <v>PFLMA Trust Contribution</v>
      </c>
      <c r="J77" s="72"/>
      <c r="K77" s="187">
        <f>D35</f>
        <v>7.4999999999999997E-3</v>
      </c>
      <c r="L77" s="72"/>
      <c r="M77" s="117">
        <f>K77*M61</f>
        <v>4449.5836491843302</v>
      </c>
      <c r="N77" s="253"/>
    </row>
    <row r="78" spans="1:325">
      <c r="A78" s="253"/>
      <c r="B78" s="582" t="s">
        <v>601</v>
      </c>
      <c r="C78" s="175"/>
      <c r="D78" s="911">
        <v>8.16</v>
      </c>
      <c r="G78" s="563" t="s">
        <v>599</v>
      </c>
      <c r="H78" s="253"/>
      <c r="I78" s="104"/>
      <c r="J78" s="72"/>
      <c r="K78" s="72"/>
      <c r="L78" s="72"/>
      <c r="M78" s="128"/>
      <c r="N78" s="253"/>
    </row>
    <row r="79" spans="1:325" ht="13.5" thickBot="1">
      <c r="A79" s="253"/>
      <c r="B79" s="81"/>
      <c r="C79" s="45"/>
      <c r="D79" s="45"/>
      <c r="E79" s="45"/>
      <c r="F79" s="45"/>
      <c r="G79" s="260"/>
      <c r="H79" s="253"/>
      <c r="I79" s="129" t="s">
        <v>25</v>
      </c>
      <c r="J79" s="74"/>
      <c r="K79" s="74"/>
      <c r="L79" s="74"/>
      <c r="M79" s="130" t="e">
        <f>SUM(M74:M77)</f>
        <v>#REF!</v>
      </c>
      <c r="N79" s="253"/>
    </row>
    <row r="80" spans="1:325" ht="13.5" thickTop="1">
      <c r="A80" s="253"/>
      <c r="B80" s="81" t="s">
        <v>437</v>
      </c>
      <c r="C80" s="45"/>
      <c r="D80" s="88">
        <f>D34</f>
        <v>0.12</v>
      </c>
      <c r="E80" s="45"/>
      <c r="F80" s="45"/>
      <c r="G80" s="83" t="str">
        <f>G34</f>
        <v>Benchmark to 101 CMR 414</v>
      </c>
      <c r="H80" s="253"/>
      <c r="I80" s="104"/>
      <c r="J80" s="72"/>
      <c r="K80" s="72"/>
      <c r="L80" s="72"/>
      <c r="M80" s="105"/>
      <c r="N80" s="253"/>
    </row>
    <row r="81" spans="1:325">
      <c r="A81" s="253"/>
      <c r="B81" s="81"/>
      <c r="C81" s="45"/>
      <c r="D81" s="45"/>
      <c r="E81" s="45"/>
      <c r="F81" s="45"/>
      <c r="G81" s="260"/>
      <c r="H81" s="253"/>
      <c r="I81" s="104" t="str">
        <f>B82</f>
        <v xml:space="preserve">  CAF</v>
      </c>
      <c r="J81" s="72"/>
      <c r="K81" s="883">
        <f>D37</f>
        <v>2.5000000000000001E-2</v>
      </c>
      <c r="L81" s="72"/>
      <c r="M81" s="132" t="e">
        <f>M79*(1+K81)</f>
        <v>#REF!</v>
      </c>
      <c r="N81" s="253"/>
    </row>
    <row r="82" spans="1:325" ht="13.5" thickBot="1">
      <c r="A82" s="253"/>
      <c r="B82" s="81" t="s">
        <v>438</v>
      </c>
      <c r="C82" s="45"/>
      <c r="D82" s="389">
        <v>0</v>
      </c>
      <c r="E82" s="45"/>
      <c r="F82" s="45"/>
      <c r="G82" s="260"/>
      <c r="H82" s="253"/>
      <c r="I82" s="909" t="str">
        <f>B78</f>
        <v>Meals / Food***</v>
      </c>
      <c r="J82" s="933"/>
      <c r="K82" s="877">
        <f>D78</f>
        <v>8.16</v>
      </c>
      <c r="L82" s="933"/>
      <c r="M82" s="934">
        <f>K82*M52</f>
        <v>23827.200000000001</v>
      </c>
      <c r="N82" s="253"/>
    </row>
    <row r="83" spans="1:325" ht="11.85" customHeight="1" thickTop="1">
      <c r="A83" s="253"/>
      <c r="B83" s="265"/>
      <c r="C83" s="253"/>
      <c r="D83" s="253"/>
      <c r="E83" s="253"/>
      <c r="F83" s="253"/>
      <c r="G83" s="260"/>
      <c r="H83" s="253"/>
      <c r="I83" s="104"/>
      <c r="J83" s="72"/>
      <c r="K83" s="131"/>
      <c r="L83" s="72"/>
      <c r="M83" s="132" t="e">
        <f>M81+M82</f>
        <v>#REF!</v>
      </c>
      <c r="N83" s="253"/>
    </row>
    <row r="84" spans="1:325">
      <c r="A84" s="253"/>
      <c r="B84" s="265"/>
      <c r="C84" s="253"/>
      <c r="D84" s="253"/>
      <c r="E84" s="253"/>
      <c r="F84" s="253"/>
      <c r="G84" s="260"/>
      <c r="H84" s="253"/>
      <c r="I84" s="104"/>
      <c r="J84" s="133"/>
      <c r="K84" s="72"/>
      <c r="L84" s="134"/>
      <c r="M84" s="135"/>
      <c r="N84" s="253"/>
    </row>
    <row r="85" spans="1:325">
      <c r="A85" s="253"/>
      <c r="B85" s="265"/>
      <c r="C85" s="253"/>
      <c r="D85" s="253"/>
      <c r="E85" s="253"/>
      <c r="F85" s="253"/>
      <c r="G85" s="260"/>
      <c r="H85" s="253"/>
      <c r="I85" s="104"/>
      <c r="J85" s="72"/>
      <c r="K85" s="72"/>
      <c r="L85" s="72"/>
      <c r="M85" s="136"/>
      <c r="N85" s="253"/>
    </row>
    <row r="86" spans="1:325" ht="13.5" thickBot="1">
      <c r="A86" s="253"/>
      <c r="B86" s="394" t="s">
        <v>35</v>
      </c>
      <c r="C86" s="390" t="s">
        <v>424</v>
      </c>
      <c r="D86" s="409"/>
      <c r="E86" s="391" t="s">
        <v>426</v>
      </c>
      <c r="F86" s="391"/>
      <c r="G86" s="260"/>
      <c r="H86" s="253"/>
      <c r="I86" s="104"/>
      <c r="J86" s="72"/>
      <c r="K86" s="72"/>
      <c r="L86" s="73"/>
      <c r="M86" s="568"/>
      <c r="N86" s="253"/>
    </row>
    <row r="87" spans="1:325" ht="13.5" thickBot="1">
      <c r="A87" s="253"/>
      <c r="B87" s="344" t="str">
        <f t="shared" ref="B87:B96" si="0">B56</f>
        <v>Management</v>
      </c>
      <c r="C87" s="253"/>
      <c r="E87" s="253"/>
      <c r="F87" s="253"/>
      <c r="G87" s="260"/>
      <c r="H87" s="253"/>
      <c r="I87" s="584" t="s">
        <v>600</v>
      </c>
      <c r="J87" s="358"/>
      <c r="K87" s="359"/>
      <c r="L87" s="360"/>
      <c r="M87" s="577" t="e">
        <f>M83/M52</f>
        <v>#REF!</v>
      </c>
      <c r="N87" s="253"/>
    </row>
    <row r="88" spans="1:325">
      <c r="A88" s="253"/>
      <c r="B88" s="265" t="str">
        <f t="shared" si="0"/>
        <v xml:space="preserve">  Management Supervision</v>
      </c>
      <c r="C88" s="85">
        <v>0.1</v>
      </c>
      <c r="D88" s="85"/>
      <c r="E88" s="85">
        <v>0.1</v>
      </c>
      <c r="F88" s="85"/>
      <c r="G88" s="260"/>
      <c r="H88" s="253"/>
      <c r="I88" s="363"/>
      <c r="J88" s="410"/>
      <c r="K88" s="72"/>
      <c r="L88" s="72" t="s">
        <v>783</v>
      </c>
      <c r="M88" s="929">
        <v>296.63</v>
      </c>
      <c r="N88" s="253"/>
    </row>
    <row r="89" spans="1:325">
      <c r="A89" s="253"/>
      <c r="B89" s="265" t="str">
        <f t="shared" si="0"/>
        <v xml:space="preserve">  Specialty Site Manager</v>
      </c>
      <c r="C89" s="85">
        <v>1</v>
      </c>
      <c r="D89" s="85"/>
      <c r="E89" s="85">
        <v>2.2000000000000002</v>
      </c>
      <c r="F89" s="85"/>
      <c r="G89" s="260"/>
      <c r="H89" s="253"/>
      <c r="I89" s="363"/>
      <c r="J89" s="410"/>
      <c r="K89" s="72"/>
      <c r="L89" s="73"/>
      <c r="M89" s="411" t="e">
        <f>M87-M88</f>
        <v>#REF!</v>
      </c>
      <c r="N89" s="939" t="e">
        <f>M89/M88</f>
        <v>#REF!</v>
      </c>
    </row>
    <row r="90" spans="1:325">
      <c r="A90" s="253"/>
      <c r="B90" s="344" t="str">
        <f t="shared" si="0"/>
        <v>Medical and Clinical</v>
      </c>
      <c r="C90" s="85"/>
      <c r="D90" s="85"/>
      <c r="E90" s="85"/>
      <c r="F90" s="85"/>
      <c r="G90" s="260"/>
      <c r="H90" s="253"/>
      <c r="I90" s="363"/>
      <c r="J90" s="410"/>
      <c r="K90" s="72"/>
      <c r="L90" s="73"/>
      <c r="M90" s="411"/>
      <c r="N90" s="253"/>
      <c r="LI90" s="8"/>
      <c r="LJ90" s="8"/>
      <c r="LK90" s="8"/>
      <c r="LL90" s="8"/>
      <c r="LM90" s="8"/>
    </row>
    <row r="91" spans="1:325">
      <c r="A91" s="253"/>
      <c r="B91" s="265" t="str">
        <f t="shared" si="0"/>
        <v xml:space="preserve">  Psychologist</v>
      </c>
      <c r="C91" s="85">
        <v>0.25</v>
      </c>
      <c r="D91" s="85"/>
      <c r="E91" s="85">
        <v>0.5</v>
      </c>
      <c r="F91" s="85"/>
      <c r="G91" s="260"/>
      <c r="H91" s="253"/>
      <c r="I91" s="363"/>
      <c r="J91" s="410"/>
      <c r="K91" s="72"/>
      <c r="L91" s="73"/>
      <c r="M91" s="411"/>
      <c r="N91" s="253"/>
      <c r="LI91" s="8"/>
      <c r="LJ91" s="8"/>
      <c r="LK91" s="8"/>
      <c r="LL91" s="8"/>
      <c r="LM91" s="8"/>
    </row>
    <row r="92" spans="1:325" ht="13.5" thickBot="1">
      <c r="A92" s="253"/>
      <c r="B92" s="265" t="str">
        <f t="shared" si="0"/>
        <v xml:space="preserve">  LPHA</v>
      </c>
      <c r="C92" s="381">
        <v>0.5</v>
      </c>
      <c r="D92" s="381"/>
      <c r="E92" s="381">
        <v>0.75</v>
      </c>
      <c r="F92" s="381"/>
      <c r="G92" s="260"/>
      <c r="H92" s="253"/>
      <c r="I92" s="253"/>
      <c r="J92" s="253"/>
      <c r="K92" s="253"/>
      <c r="L92" s="253"/>
      <c r="M92" s="253"/>
      <c r="N92" s="253"/>
      <c r="LI92" s="8"/>
      <c r="LJ92" s="8"/>
      <c r="LK92" s="8"/>
      <c r="LL92" s="8"/>
      <c r="LM92" s="8"/>
    </row>
    <row r="93" spans="1:325" ht="13.5" thickBot="1">
      <c r="A93" s="253"/>
      <c r="B93" s="265" t="str">
        <f t="shared" si="0"/>
        <v xml:space="preserve">  LPN</v>
      </c>
      <c r="C93" s="85">
        <v>0.2</v>
      </c>
      <c r="D93" s="85"/>
      <c r="E93" s="85">
        <v>0.4</v>
      </c>
      <c r="F93" s="85"/>
      <c r="G93" s="260"/>
      <c r="H93" s="253"/>
      <c r="I93" s="2607" t="s">
        <v>574</v>
      </c>
      <c r="J93" s="2608"/>
      <c r="K93" s="2608"/>
      <c r="L93" s="2608"/>
      <c r="M93" s="2609"/>
      <c r="N93" s="253"/>
      <c r="LI93" s="8"/>
      <c r="LJ93" s="8"/>
      <c r="LK93" s="8"/>
      <c r="LL93" s="8"/>
      <c r="LM93" s="8"/>
    </row>
    <row r="94" spans="1:325">
      <c r="A94" s="253"/>
      <c r="B94" s="344" t="str">
        <f t="shared" si="0"/>
        <v>Direct Care</v>
      </c>
      <c r="C94" s="85"/>
      <c r="D94" s="85"/>
      <c r="E94" s="85"/>
      <c r="F94" s="85"/>
      <c r="G94" s="260"/>
      <c r="H94" s="253"/>
      <c r="I94" s="146" t="s">
        <v>277</v>
      </c>
      <c r="J94" s="147">
        <v>11</v>
      </c>
      <c r="K94" s="148"/>
      <c r="L94" s="149" t="s">
        <v>133</v>
      </c>
      <c r="M94" s="150">
        <f>J94*365</f>
        <v>4015</v>
      </c>
      <c r="N94" s="253"/>
      <c r="LI94" s="8"/>
      <c r="LJ94" s="8"/>
      <c r="LK94" s="8"/>
      <c r="LL94" s="8"/>
      <c r="LM94" s="8"/>
    </row>
    <row r="95" spans="1:325">
      <c r="A95" s="253"/>
      <c r="B95" s="265" t="str">
        <f t="shared" si="0"/>
        <v xml:space="preserve">  DC Blended (DC I + II + III)</v>
      </c>
      <c r="C95" s="85">
        <v>7</v>
      </c>
      <c r="D95" s="85"/>
      <c r="E95" s="85">
        <v>9.1999999999999993</v>
      </c>
      <c r="F95" s="85"/>
      <c r="G95" s="260"/>
      <c r="H95" s="253"/>
      <c r="I95" s="106"/>
      <c r="J95" s="53"/>
      <c r="K95" s="54" t="s">
        <v>5</v>
      </c>
      <c r="L95" s="54" t="s">
        <v>6</v>
      </c>
      <c r="M95" s="107" t="s">
        <v>7</v>
      </c>
      <c r="N95" s="253"/>
      <c r="LI95" s="8"/>
      <c r="LJ95" s="8"/>
      <c r="LK95" s="8"/>
      <c r="LL95" s="8"/>
      <c r="LM95" s="8"/>
    </row>
    <row r="96" spans="1:325">
      <c r="A96" s="253"/>
      <c r="B96" s="265" t="str">
        <f t="shared" si="0"/>
        <v xml:space="preserve">  Relief</v>
      </c>
      <c r="C96" s="85">
        <f>C95*D9</f>
        <v>1.0769230769230771</v>
      </c>
      <c r="D96" s="85"/>
      <c r="E96" s="85">
        <f>E95*D9</f>
        <v>1.4153846153846155</v>
      </c>
      <c r="F96" s="85"/>
      <c r="G96" s="260"/>
      <c r="H96" s="253"/>
      <c r="I96" s="111" t="str">
        <f>B40</f>
        <v>Management</v>
      </c>
      <c r="J96" s="55"/>
      <c r="K96" s="56"/>
      <c r="L96" s="56"/>
      <c r="M96" s="108"/>
      <c r="N96" s="253"/>
      <c r="LI96" s="8"/>
      <c r="LJ96" s="8"/>
      <c r="LK96" s="8"/>
      <c r="LL96" s="8"/>
      <c r="LM96" s="8"/>
    </row>
    <row r="97" spans="1:325">
      <c r="A97" s="253"/>
      <c r="B97" s="265"/>
      <c r="C97" s="253"/>
      <c r="D97" s="253"/>
      <c r="E97" s="253"/>
      <c r="F97" s="253"/>
      <c r="G97" s="260"/>
      <c r="H97" s="253"/>
      <c r="I97" s="109" t="str">
        <f>B41</f>
        <v xml:space="preserve">  Management Supervision</v>
      </c>
      <c r="J97" s="57"/>
      <c r="K97" s="58">
        <f>D13</f>
        <v>92496.84919424048</v>
      </c>
      <c r="L97" s="59">
        <f>E41</f>
        <v>0.1</v>
      </c>
      <c r="M97" s="110">
        <f>K97*L97</f>
        <v>9249.6849194240476</v>
      </c>
      <c r="N97" s="253"/>
      <c r="LI97" s="8"/>
      <c r="LJ97" s="8"/>
      <c r="LK97" s="8"/>
      <c r="LL97" s="8"/>
      <c r="LM97" s="8"/>
    </row>
    <row r="98" spans="1:325" ht="13.5" thickBot="1">
      <c r="A98" s="253"/>
      <c r="B98" s="342" t="str">
        <f>B72</f>
        <v xml:space="preserve">  Psychologist</v>
      </c>
      <c r="C98" s="393">
        <f>C72</f>
        <v>2</v>
      </c>
      <c r="D98" s="393"/>
      <c r="E98" s="393">
        <v>4</v>
      </c>
      <c r="F98" s="393"/>
      <c r="G98" s="262"/>
      <c r="H98" s="253"/>
      <c r="I98" s="109" t="str">
        <f>B42</f>
        <v xml:space="preserve">  Specialty Site Manager</v>
      </c>
      <c r="J98" s="57"/>
      <c r="K98" s="58">
        <f>D14</f>
        <v>53840.469152283775</v>
      </c>
      <c r="L98" s="59">
        <f>E42</f>
        <v>2.2000000000000002</v>
      </c>
      <c r="M98" s="110">
        <f>K98*L98</f>
        <v>118449.03213502432</v>
      </c>
      <c r="N98" s="253"/>
      <c r="LI98" s="8"/>
      <c r="LJ98" s="8"/>
      <c r="LK98" s="8"/>
      <c r="LL98" s="8"/>
      <c r="LM98" s="8"/>
    </row>
    <row r="99" spans="1:325">
      <c r="A99" s="253"/>
      <c r="B99" s="2610" t="s">
        <v>597</v>
      </c>
      <c r="C99" s="2610"/>
      <c r="D99" s="2610"/>
      <c r="E99" s="2610"/>
      <c r="F99" s="2610"/>
      <c r="G99" s="2610"/>
      <c r="H99" s="253"/>
      <c r="I99" s="111" t="str">
        <f>B47</f>
        <v>Direct Care</v>
      </c>
      <c r="J99" s="57"/>
      <c r="K99" s="58"/>
      <c r="L99" s="59"/>
      <c r="M99" s="110"/>
      <c r="N99" s="253"/>
      <c r="LI99" s="8"/>
      <c r="LJ99" s="8"/>
      <c r="LK99" s="8"/>
      <c r="LL99" s="8"/>
      <c r="LM99" s="8"/>
    </row>
    <row r="100" spans="1:325">
      <c r="A100" s="253"/>
      <c r="B100" s="2611"/>
      <c r="C100" s="2611"/>
      <c r="D100" s="2611"/>
      <c r="E100" s="2611"/>
      <c r="F100" s="2611"/>
      <c r="G100" s="2611"/>
      <c r="H100" s="253"/>
      <c r="I100" s="109" t="str">
        <f>B48</f>
        <v xml:space="preserve">  DC Evening Supervisor</v>
      </c>
      <c r="J100" s="57"/>
      <c r="K100" s="58">
        <f>D16</f>
        <v>45124.774005912077</v>
      </c>
      <c r="L100" s="59">
        <f>E48</f>
        <v>1.5</v>
      </c>
      <c r="M100" s="110">
        <f>K100*L100</f>
        <v>67687.161008868119</v>
      </c>
      <c r="N100" s="253"/>
      <c r="LI100" s="8"/>
      <c r="LJ100" s="8"/>
      <c r="LK100" s="8"/>
      <c r="LL100" s="8"/>
      <c r="LM100" s="8"/>
    </row>
    <row r="101" spans="1:325" ht="13.5" thickBot="1">
      <c r="A101" s="253"/>
      <c r="B101" s="253"/>
      <c r="C101" s="253"/>
      <c r="D101" s="253"/>
      <c r="E101" s="253"/>
      <c r="F101" s="253"/>
      <c r="G101" s="253"/>
      <c r="H101" s="253"/>
      <c r="I101" s="109" t="str">
        <f>B49</f>
        <v xml:space="preserve">  DC Blended (DC I + II + III)</v>
      </c>
      <c r="J101" s="377"/>
      <c r="K101" s="58">
        <f>D17</f>
        <v>35063.449294968901</v>
      </c>
      <c r="L101" s="59">
        <f>E49</f>
        <v>12.2</v>
      </c>
      <c r="M101" s="379">
        <f>K101*L101</f>
        <v>427774.08139862056</v>
      </c>
      <c r="N101" s="253"/>
      <c r="LI101" s="8"/>
      <c r="LJ101" s="8"/>
      <c r="LK101" s="8"/>
      <c r="LL101" s="8"/>
      <c r="LM101" s="8"/>
    </row>
    <row r="102" spans="1:325" ht="13.5" thickBot="1">
      <c r="A102" s="253"/>
      <c r="B102" s="2604" t="s">
        <v>575</v>
      </c>
      <c r="C102" s="2605"/>
      <c r="D102" s="2605"/>
      <c r="E102" s="2605"/>
      <c r="F102" s="2605"/>
      <c r="G102" s="2606"/>
      <c r="H102" s="253"/>
      <c r="I102" s="288" t="str">
        <f>B50</f>
        <v xml:space="preserve">  Relief</v>
      </c>
      <c r="J102" s="57"/>
      <c r="K102" s="58">
        <f>D18</f>
        <v>30610.39123450785</v>
      </c>
      <c r="L102" s="59">
        <f>E50</f>
        <v>1.8769230769230769</v>
      </c>
      <c r="M102" s="110">
        <f>K102*L102</f>
        <v>57453.349701691659</v>
      </c>
      <c r="N102" s="253"/>
      <c r="LI102" s="8"/>
      <c r="LJ102" s="8"/>
      <c r="LK102" s="8"/>
      <c r="LL102" s="8"/>
      <c r="LM102" s="8"/>
    </row>
    <row r="103" spans="1:325">
      <c r="A103" s="253"/>
      <c r="B103" s="146" t="s">
        <v>277</v>
      </c>
      <c r="C103" s="147">
        <v>5</v>
      </c>
      <c r="D103" s="148"/>
      <c r="E103" s="149" t="s">
        <v>133</v>
      </c>
      <c r="F103" s="149"/>
      <c r="G103" s="150">
        <f>C103*365</f>
        <v>1825</v>
      </c>
      <c r="H103" s="253"/>
      <c r="I103" s="114" t="s">
        <v>13</v>
      </c>
      <c r="J103" s="3"/>
      <c r="K103" s="3"/>
      <c r="L103" s="64">
        <f>SUM(L97:L102)</f>
        <v>17.876923076923077</v>
      </c>
      <c r="M103" s="115">
        <f>SUM(M97:M102)</f>
        <v>680613.30916362873</v>
      </c>
      <c r="N103" s="253"/>
      <c r="LI103" s="8"/>
      <c r="LJ103" s="8"/>
      <c r="LK103" s="8"/>
      <c r="LL103" s="8"/>
      <c r="LM103" s="8"/>
    </row>
    <row r="104" spans="1:325">
      <c r="A104" s="253"/>
      <c r="B104" s="106"/>
      <c r="C104" s="53"/>
      <c r="D104" s="54" t="s">
        <v>5</v>
      </c>
      <c r="E104" s="54" t="s">
        <v>6</v>
      </c>
      <c r="F104" s="54"/>
      <c r="G104" s="107" t="s">
        <v>7</v>
      </c>
      <c r="H104" s="253"/>
      <c r="I104" s="100" t="s">
        <v>15</v>
      </c>
      <c r="J104" s="72"/>
      <c r="K104" s="72"/>
      <c r="L104" s="4" t="s">
        <v>16</v>
      </c>
      <c r="M104" s="105"/>
      <c r="N104" s="253"/>
      <c r="LI104" s="8"/>
      <c r="LJ104" s="8"/>
      <c r="LK104" s="8"/>
      <c r="LL104" s="8"/>
      <c r="LM104" s="8"/>
    </row>
    <row r="105" spans="1:325">
      <c r="A105" s="253"/>
      <c r="B105" s="100" t="str">
        <f t="shared" ref="B105:B114" si="1">B56</f>
        <v>Management</v>
      </c>
      <c r="C105" s="55"/>
      <c r="D105" s="58"/>
      <c r="E105" s="56"/>
      <c r="F105" s="56"/>
      <c r="G105" s="108"/>
      <c r="H105" s="253"/>
      <c r="I105" s="104" t="str">
        <f>B68</f>
        <v xml:space="preserve">  Tax and Fringe</v>
      </c>
      <c r="J105" s="72"/>
      <c r="K105" s="65" t="e">
        <f>D22</f>
        <v>#REF!</v>
      </c>
      <c r="L105" s="72"/>
      <c r="M105" s="117" t="e">
        <f>K105*M103</f>
        <v>#REF!</v>
      </c>
      <c r="N105" s="253"/>
      <c r="LI105" s="8"/>
      <c r="LJ105" s="8"/>
      <c r="LK105" s="8"/>
      <c r="LL105" s="8"/>
      <c r="LM105" s="8"/>
    </row>
    <row r="106" spans="1:325">
      <c r="A106" s="253"/>
      <c r="B106" s="109" t="str">
        <f t="shared" si="1"/>
        <v xml:space="preserve">  Management Supervision</v>
      </c>
      <c r="C106" s="57"/>
      <c r="D106" s="378">
        <f>D57</f>
        <v>92496.84919424048</v>
      </c>
      <c r="E106" s="59">
        <f>C88</f>
        <v>0.1</v>
      </c>
      <c r="F106" s="59"/>
      <c r="G106" s="110">
        <f>D106*E106</f>
        <v>9249.6849194240476</v>
      </c>
      <c r="H106" s="253"/>
      <c r="I106" s="114" t="s">
        <v>18</v>
      </c>
      <c r="J106" s="3"/>
      <c r="K106" s="3"/>
      <c r="L106" s="63"/>
      <c r="M106" s="118" t="e">
        <f>M103+M105</f>
        <v>#REF!</v>
      </c>
      <c r="N106" s="253"/>
      <c r="LI106" s="8"/>
      <c r="LJ106" s="8"/>
      <c r="LK106" s="8"/>
      <c r="LL106" s="8"/>
      <c r="LM106" s="8"/>
    </row>
    <row r="107" spans="1:325">
      <c r="A107" s="253"/>
      <c r="B107" s="109" t="str">
        <f t="shared" si="1"/>
        <v xml:space="preserve">  Specialty Site Manager</v>
      </c>
      <c r="C107" s="57"/>
      <c r="D107" s="58" t="e">
        <f>D58</f>
        <v>#REF!</v>
      </c>
      <c r="E107" s="59">
        <f>C89</f>
        <v>1</v>
      </c>
      <c r="F107" s="59"/>
      <c r="G107" s="110" t="e">
        <f>D107*E107</f>
        <v>#REF!</v>
      </c>
      <c r="H107" s="253"/>
      <c r="I107" s="100"/>
      <c r="J107" s="4"/>
      <c r="K107" s="4"/>
      <c r="L107" s="66"/>
      <c r="M107" s="119"/>
      <c r="N107" s="253"/>
      <c r="LI107" s="8"/>
      <c r="LJ107" s="8"/>
      <c r="LK107" s="8"/>
      <c r="LL107" s="8"/>
      <c r="LM107" s="8"/>
    </row>
    <row r="108" spans="1:325">
      <c r="A108" s="253"/>
      <c r="B108" s="111" t="str">
        <f t="shared" si="1"/>
        <v>Medical and Clinical</v>
      </c>
      <c r="C108" s="57"/>
      <c r="D108" s="930"/>
      <c r="E108" s="59"/>
      <c r="F108" s="59"/>
      <c r="G108" s="110"/>
      <c r="H108" s="253"/>
      <c r="I108" s="106" t="s">
        <v>328</v>
      </c>
      <c r="J108" s="5"/>
      <c r="K108" s="54" t="s">
        <v>19</v>
      </c>
      <c r="L108" s="67" t="s">
        <v>20</v>
      </c>
      <c r="M108" s="120" t="s">
        <v>7</v>
      </c>
      <c r="N108" s="253"/>
      <c r="LI108" s="8"/>
      <c r="LJ108" s="8"/>
      <c r="LK108" s="8"/>
      <c r="LL108" s="8"/>
      <c r="LM108" s="8"/>
    </row>
    <row r="109" spans="1:325">
      <c r="A109" s="253"/>
      <c r="B109" s="109" t="str">
        <f t="shared" si="1"/>
        <v xml:space="preserve">  Psychologist</v>
      </c>
      <c r="C109" s="57"/>
      <c r="D109" s="58">
        <f>D60</f>
        <v>72789.28066227409</v>
      </c>
      <c r="E109" s="59">
        <f>C91</f>
        <v>0.25</v>
      </c>
      <c r="F109" s="59"/>
      <c r="G109" s="110">
        <f>D109*E109</f>
        <v>18197.320165568522</v>
      </c>
      <c r="H109" s="253"/>
      <c r="I109" s="109" t="str">
        <f>B26</f>
        <v xml:space="preserve">  Psychologist</v>
      </c>
      <c r="J109" s="4"/>
      <c r="K109" s="68">
        <f>D26</f>
        <v>135.32</v>
      </c>
      <c r="L109" s="69">
        <f>E51*52</f>
        <v>416</v>
      </c>
      <c r="M109" s="117">
        <f>K109*L109</f>
        <v>56293.119999999995</v>
      </c>
      <c r="N109" s="253"/>
      <c r="LI109" s="8"/>
      <c r="LJ109" s="8"/>
      <c r="LK109" s="8"/>
      <c r="LL109" s="8"/>
      <c r="LM109" s="8"/>
    </row>
    <row r="110" spans="1:325">
      <c r="A110" s="253"/>
      <c r="B110" s="376" t="str">
        <f t="shared" si="1"/>
        <v xml:space="preserve">  LPHA</v>
      </c>
      <c r="C110" s="377"/>
      <c r="D110" s="378" t="e">
        <f>D61</f>
        <v>#REF!</v>
      </c>
      <c r="E110" s="59">
        <f>C92</f>
        <v>0.5</v>
      </c>
      <c r="F110" s="59"/>
      <c r="G110" s="379" t="e">
        <f>D110*E110</f>
        <v>#REF!</v>
      </c>
      <c r="H110" s="253"/>
      <c r="I110" s="114" t="s">
        <v>21</v>
      </c>
      <c r="J110" s="70"/>
      <c r="K110" s="70"/>
      <c r="L110" s="70"/>
      <c r="M110" s="118">
        <f>SUM(M109:M109)</f>
        <v>56293.119999999995</v>
      </c>
      <c r="N110" s="253"/>
      <c r="LI110" s="8"/>
      <c r="LJ110" s="8"/>
      <c r="LK110" s="8"/>
      <c r="LL110" s="8"/>
      <c r="LM110" s="8"/>
    </row>
    <row r="111" spans="1:325">
      <c r="A111" s="253"/>
      <c r="B111" s="109" t="str">
        <f t="shared" si="1"/>
        <v xml:space="preserve">  LPN</v>
      </c>
      <c r="C111" s="57"/>
      <c r="D111" s="58">
        <f>D62</f>
        <v>51700.782965485909</v>
      </c>
      <c r="E111" s="59">
        <f>C93</f>
        <v>0.2</v>
      </c>
      <c r="F111" s="59"/>
      <c r="G111" s="110">
        <f>D111*E111</f>
        <v>10340.156593097183</v>
      </c>
      <c r="H111" s="253"/>
      <c r="I111" s="909" t="str">
        <f>B123</f>
        <v xml:space="preserve">  Staff Training</v>
      </c>
      <c r="J111" s="933"/>
      <c r="K111" s="933"/>
      <c r="L111" s="899">
        <f>E123</f>
        <v>360</v>
      </c>
      <c r="M111" s="900">
        <f>L111*L103</f>
        <v>6435.6923076923076</v>
      </c>
      <c r="N111" s="253"/>
      <c r="LI111" s="8"/>
      <c r="LJ111" s="8"/>
      <c r="LK111" s="8"/>
      <c r="LL111" s="8"/>
      <c r="LM111" s="8"/>
    </row>
    <row r="112" spans="1:325">
      <c r="A112" s="253"/>
      <c r="B112" s="111" t="str">
        <f t="shared" si="1"/>
        <v>Direct Care</v>
      </c>
      <c r="C112" s="57"/>
      <c r="D112" s="58"/>
      <c r="E112" s="59"/>
      <c r="F112" s="59"/>
      <c r="G112" s="110"/>
      <c r="H112" s="253"/>
      <c r="I112" s="109" t="str">
        <f>B76</f>
        <v xml:space="preserve">  Transportation</v>
      </c>
      <c r="J112" s="72"/>
      <c r="K112" s="72"/>
      <c r="L112" s="122"/>
      <c r="M112" s="290"/>
      <c r="N112" s="253"/>
      <c r="LI112" s="8"/>
      <c r="LJ112" s="8"/>
      <c r="LK112" s="8"/>
      <c r="LL112" s="8"/>
      <c r="LM112" s="8"/>
    </row>
    <row r="113" spans="1:325">
      <c r="A113" s="253"/>
      <c r="B113" s="109" t="str">
        <f t="shared" si="1"/>
        <v xml:space="preserve">  DC Blended (DC I + II + III)</v>
      </c>
      <c r="C113" s="57"/>
      <c r="D113" s="58">
        <f>D64</f>
        <v>35063.449294968901</v>
      </c>
      <c r="E113" s="59">
        <f>C95</f>
        <v>7</v>
      </c>
      <c r="F113" s="59"/>
      <c r="G113" s="110">
        <f>D113*E113</f>
        <v>245444.14506478229</v>
      </c>
      <c r="H113" s="253"/>
      <c r="I113" s="291" t="str">
        <f>B31</f>
        <v xml:space="preserve">  Program Supplies &amp; Materials</v>
      </c>
      <c r="J113" s="72"/>
      <c r="K113" s="72"/>
      <c r="L113" s="170">
        <f>D31</f>
        <v>642.72053101483573</v>
      </c>
      <c r="M113" s="290">
        <f>L113*L103</f>
        <v>11489.865492911371</v>
      </c>
      <c r="N113" s="253"/>
      <c r="LI113" s="8"/>
      <c r="LJ113" s="8"/>
      <c r="LK113" s="8"/>
      <c r="LL113" s="8"/>
      <c r="LM113" s="8"/>
    </row>
    <row r="114" spans="1:325">
      <c r="A114" s="253"/>
      <c r="B114" s="288" t="str">
        <f t="shared" si="1"/>
        <v xml:space="preserve">  Relief</v>
      </c>
      <c r="C114" s="57"/>
      <c r="D114" s="58">
        <f>D65</f>
        <v>30610.39123450785</v>
      </c>
      <c r="E114" s="59">
        <f>C96</f>
        <v>1.0769230769230771</v>
      </c>
      <c r="F114" s="59"/>
      <c r="G114" s="110">
        <f>D114*E114</f>
        <v>32965.036714085385</v>
      </c>
      <c r="H114" s="253"/>
      <c r="I114" s="104"/>
      <c r="J114" s="72"/>
      <c r="K114" s="72"/>
      <c r="L114" s="185">
        <f>SUM(L112:L113)</f>
        <v>642.72053101483573</v>
      </c>
      <c r="M114" s="124">
        <f>SUM(M111:M113)</f>
        <v>17925.557800603678</v>
      </c>
      <c r="N114" s="253"/>
      <c r="LI114" s="8"/>
      <c r="LJ114" s="8"/>
      <c r="LK114" s="8"/>
      <c r="LL114" s="8"/>
      <c r="LM114" s="8"/>
    </row>
    <row r="115" spans="1:325">
      <c r="A115" s="253"/>
      <c r="B115" s="114" t="s">
        <v>13</v>
      </c>
      <c r="C115" s="3"/>
      <c r="D115" s="3"/>
      <c r="E115" s="64">
        <f>SUM(E106:E114)</f>
        <v>10.126923076923077</v>
      </c>
      <c r="F115" s="64"/>
      <c r="G115" s="115" t="e">
        <f>SUM(G106:G114)</f>
        <v>#REF!</v>
      </c>
      <c r="H115" s="253"/>
      <c r="I115" s="104"/>
      <c r="J115" s="72"/>
      <c r="K115" s="72"/>
      <c r="L115" s="66"/>
      <c r="M115" s="125"/>
      <c r="N115" s="253"/>
      <c r="LI115" s="8"/>
      <c r="LJ115" s="8"/>
      <c r="LK115" s="8"/>
      <c r="LL115" s="8"/>
      <c r="LM115" s="8"/>
    </row>
    <row r="116" spans="1:325">
      <c r="A116" s="253"/>
      <c r="B116" s="100" t="s">
        <v>15</v>
      </c>
      <c r="C116" s="72"/>
      <c r="D116" s="72"/>
      <c r="E116" s="4" t="s">
        <v>16</v>
      </c>
      <c r="F116" s="4"/>
      <c r="G116" s="105"/>
      <c r="H116" s="253"/>
      <c r="I116" s="114" t="s">
        <v>23</v>
      </c>
      <c r="J116" s="3"/>
      <c r="K116" s="3"/>
      <c r="L116" s="3"/>
      <c r="M116" s="126" t="e">
        <f>SUM(M106,M110,M114)</f>
        <v>#REF!</v>
      </c>
      <c r="N116" s="253"/>
      <c r="LI116" s="8"/>
      <c r="LJ116" s="8"/>
      <c r="LK116" s="8"/>
      <c r="LL116" s="8"/>
      <c r="LM116" s="8"/>
    </row>
    <row r="117" spans="1:325">
      <c r="A117" s="253"/>
      <c r="B117" s="104" t="str">
        <f>B68</f>
        <v xml:space="preserve">  Tax and Fringe</v>
      </c>
      <c r="C117" s="72"/>
      <c r="D117" s="65" t="e">
        <f>D68</f>
        <v>#REF!</v>
      </c>
      <c r="E117" s="72"/>
      <c r="F117" s="72"/>
      <c r="G117" s="117" t="e">
        <f>D117*G115</f>
        <v>#REF!</v>
      </c>
      <c r="H117" s="253"/>
      <c r="I117" s="104"/>
      <c r="J117" s="72"/>
      <c r="K117" s="72"/>
      <c r="L117" s="72"/>
      <c r="M117" s="105"/>
      <c r="N117" s="253"/>
      <c r="LI117" s="8"/>
      <c r="LJ117" s="8"/>
      <c r="LK117" s="8"/>
      <c r="LL117" s="8"/>
      <c r="LM117" s="8"/>
    </row>
    <row r="118" spans="1:325">
      <c r="A118" s="253"/>
      <c r="B118" s="114" t="s">
        <v>18</v>
      </c>
      <c r="C118" s="3"/>
      <c r="D118" s="3"/>
      <c r="E118" s="63"/>
      <c r="F118" s="63"/>
      <c r="G118" s="118" t="e">
        <f>G115+G117</f>
        <v>#REF!</v>
      </c>
      <c r="H118" s="253"/>
      <c r="I118" s="104" t="str">
        <f>B80</f>
        <v xml:space="preserve">  Admin. Allocation</v>
      </c>
      <c r="J118" s="72"/>
      <c r="K118" s="187">
        <f>D34</f>
        <v>0.12</v>
      </c>
      <c r="L118" s="72"/>
      <c r="M118" s="117" t="e">
        <f>K118*M116</f>
        <v>#REF!</v>
      </c>
      <c r="N118" s="253"/>
      <c r="LI118" s="8"/>
      <c r="LJ118" s="8"/>
      <c r="LK118" s="8"/>
      <c r="LL118" s="8"/>
      <c r="LM118" s="8"/>
    </row>
    <row r="119" spans="1:325">
      <c r="A119" s="253"/>
      <c r="B119" s="100"/>
      <c r="C119" s="4"/>
      <c r="D119" s="4"/>
      <c r="E119" s="66"/>
      <c r="F119" s="66"/>
      <c r="G119" s="119"/>
      <c r="H119" s="253"/>
      <c r="I119" s="865" t="str">
        <f>I77</f>
        <v>PFLMA Trust Contribution</v>
      </c>
      <c r="J119" s="72"/>
      <c r="K119" s="187">
        <f>K77</f>
        <v>7.4999999999999997E-3</v>
      </c>
      <c r="L119" s="72"/>
      <c r="M119" s="117">
        <f>K119*M103</f>
        <v>5104.5998187272153</v>
      </c>
      <c r="N119" s="253"/>
      <c r="LI119" s="8"/>
      <c r="LJ119" s="8"/>
      <c r="LK119" s="8"/>
      <c r="LL119" s="8"/>
      <c r="LM119" s="8"/>
    </row>
    <row r="120" spans="1:325">
      <c r="A120" s="253"/>
      <c r="B120" s="106" t="s">
        <v>328</v>
      </c>
      <c r="C120" s="5"/>
      <c r="D120" s="54" t="s">
        <v>19</v>
      </c>
      <c r="E120" s="67" t="s">
        <v>20</v>
      </c>
      <c r="F120" s="67"/>
      <c r="G120" s="120" t="s">
        <v>7</v>
      </c>
      <c r="H120" s="253"/>
      <c r="I120" s="104"/>
      <c r="J120" s="72"/>
      <c r="K120" s="72"/>
      <c r="L120" s="72"/>
      <c r="M120" s="128"/>
      <c r="N120" s="253"/>
      <c r="LI120" s="8"/>
      <c r="LJ120" s="8"/>
      <c r="LK120" s="8"/>
      <c r="LL120" s="8"/>
      <c r="LM120" s="8"/>
    </row>
    <row r="121" spans="1:325" ht="13.5" thickBot="1">
      <c r="A121" s="253"/>
      <c r="B121" s="109" t="str">
        <f>B72</f>
        <v xml:space="preserve">  Psychologist</v>
      </c>
      <c r="C121" s="4"/>
      <c r="D121" s="68">
        <f>D72</f>
        <v>135.32</v>
      </c>
      <c r="E121" s="69">
        <f>C72*52</f>
        <v>104</v>
      </c>
      <c r="F121" s="69"/>
      <c r="G121" s="117">
        <f>D121*E121</f>
        <v>14073.279999999999</v>
      </c>
      <c r="H121" s="253"/>
      <c r="I121" s="129" t="s">
        <v>25</v>
      </c>
      <c r="J121" s="74"/>
      <c r="K121" s="74"/>
      <c r="L121" s="74"/>
      <c r="M121" s="130" t="e">
        <f>SUM(M116:M119)</f>
        <v>#REF!</v>
      </c>
      <c r="N121" s="253"/>
      <c r="LI121" s="8"/>
      <c r="LJ121" s="8"/>
      <c r="LK121" s="8"/>
      <c r="LL121" s="8"/>
      <c r="LM121" s="8"/>
    </row>
    <row r="122" spans="1:325" ht="13.5" thickTop="1">
      <c r="A122" s="253"/>
      <c r="B122" s="114" t="s">
        <v>21</v>
      </c>
      <c r="C122" s="70"/>
      <c r="D122" s="70"/>
      <c r="E122" s="70"/>
      <c r="F122" s="70"/>
      <c r="G122" s="118">
        <f>SUM(G121:G121)</f>
        <v>14073.279999999999</v>
      </c>
      <c r="H122" s="253"/>
      <c r="I122" s="104"/>
      <c r="J122" s="72"/>
      <c r="K122" s="72"/>
      <c r="L122" s="72"/>
      <c r="M122" s="105"/>
      <c r="N122" s="253"/>
      <c r="LI122" s="8"/>
      <c r="LJ122" s="8"/>
      <c r="LK122" s="8"/>
      <c r="LL122" s="8"/>
      <c r="LM122" s="8"/>
    </row>
    <row r="123" spans="1:325">
      <c r="A123" s="253"/>
      <c r="B123" s="909" t="str">
        <f>B74</f>
        <v xml:space="preserve">  Staff Training</v>
      </c>
      <c r="C123" s="933"/>
      <c r="D123" s="933"/>
      <c r="E123" s="899">
        <f>D74</f>
        <v>360</v>
      </c>
      <c r="F123" s="899"/>
      <c r="G123" s="900">
        <f>E123*E115</f>
        <v>3645.6923076923076</v>
      </c>
      <c r="H123" s="571"/>
      <c r="I123" s="104" t="str">
        <f>B82</f>
        <v xml:space="preserve">  CAF</v>
      </c>
      <c r="J123" s="72"/>
      <c r="K123" s="131">
        <f>D37</f>
        <v>2.5000000000000001E-2</v>
      </c>
      <c r="L123" s="72"/>
      <c r="M123" s="132" t="e">
        <f>M121*(1+K123)</f>
        <v>#REF!</v>
      </c>
      <c r="N123" s="253"/>
      <c r="LI123" s="8"/>
      <c r="LJ123" s="8"/>
      <c r="LK123" s="8"/>
      <c r="LL123" s="8"/>
      <c r="LM123" s="8"/>
    </row>
    <row r="124" spans="1:325" s="611" customFormat="1" ht="13.5" thickBot="1">
      <c r="A124" s="571"/>
      <c r="B124" s="109" t="str">
        <f>B76</f>
        <v xml:space="preserve">  Transportation</v>
      </c>
      <c r="C124" s="72"/>
      <c r="D124" s="72"/>
      <c r="E124" s="122"/>
      <c r="F124" s="122"/>
      <c r="G124" s="290">
        <f>D76</f>
        <v>6191.6539525126345</v>
      </c>
      <c r="H124" s="253"/>
      <c r="I124" s="909" t="str">
        <f>B78</f>
        <v>Meals / Food***</v>
      </c>
      <c r="J124" s="933"/>
      <c r="K124" s="947">
        <f>D78</f>
        <v>8.16</v>
      </c>
      <c r="L124" s="933"/>
      <c r="M124" s="934">
        <f>K124*M94</f>
        <v>32762.400000000001</v>
      </c>
      <c r="N124" s="571"/>
      <c r="O124" s="610"/>
      <c r="P124" s="610"/>
      <c r="Q124" s="610"/>
      <c r="R124" s="610"/>
      <c r="S124" s="610"/>
      <c r="T124" s="610"/>
      <c r="U124" s="610"/>
      <c r="V124" s="610"/>
      <c r="W124" s="610"/>
      <c r="X124" s="610"/>
      <c r="Y124" s="610"/>
      <c r="Z124" s="610"/>
      <c r="AA124" s="610"/>
      <c r="AB124" s="610"/>
      <c r="AC124" s="610"/>
      <c r="AD124" s="610"/>
      <c r="AE124" s="610"/>
      <c r="AF124" s="610"/>
      <c r="AG124" s="610"/>
      <c r="AH124" s="610"/>
      <c r="AI124" s="610"/>
      <c r="AJ124" s="610"/>
      <c r="AK124" s="610"/>
      <c r="AL124" s="610"/>
      <c r="AM124" s="610"/>
      <c r="AN124" s="610"/>
      <c r="AO124" s="610"/>
      <c r="AP124" s="610"/>
      <c r="AQ124" s="610"/>
      <c r="AR124" s="610"/>
      <c r="AS124" s="610"/>
      <c r="AT124" s="610"/>
      <c r="AU124" s="610"/>
      <c r="AV124" s="610"/>
      <c r="AW124" s="610"/>
      <c r="AX124" s="610"/>
      <c r="AY124" s="610"/>
      <c r="AZ124" s="610"/>
      <c r="BA124" s="610"/>
      <c r="BB124" s="610"/>
      <c r="BC124" s="610"/>
      <c r="BD124" s="610"/>
      <c r="BE124" s="610"/>
      <c r="BF124" s="610"/>
      <c r="BG124" s="610"/>
      <c r="BH124" s="610"/>
      <c r="BI124" s="610"/>
      <c r="BJ124" s="610"/>
      <c r="BK124" s="610"/>
      <c r="BL124" s="610"/>
      <c r="BM124" s="610"/>
      <c r="BN124" s="610"/>
      <c r="BO124" s="610"/>
      <c r="BP124" s="610"/>
      <c r="BQ124" s="610"/>
      <c r="BR124" s="610"/>
      <c r="BS124" s="610"/>
      <c r="BT124" s="610"/>
      <c r="BU124" s="610"/>
      <c r="BV124" s="610"/>
      <c r="BW124" s="610"/>
      <c r="BX124" s="610"/>
      <c r="BY124" s="610"/>
      <c r="BZ124" s="610"/>
      <c r="CA124" s="610"/>
      <c r="CB124" s="610"/>
      <c r="CC124" s="610"/>
      <c r="CD124" s="610"/>
      <c r="CE124" s="610"/>
      <c r="CF124" s="610"/>
      <c r="CG124" s="610"/>
      <c r="CH124" s="610"/>
      <c r="CI124" s="610"/>
      <c r="CJ124" s="610"/>
      <c r="CK124" s="610"/>
      <c r="CL124" s="610"/>
      <c r="CM124" s="610"/>
      <c r="CN124" s="610"/>
      <c r="CO124" s="610"/>
      <c r="CP124" s="610"/>
      <c r="CQ124" s="610"/>
      <c r="CR124" s="610"/>
      <c r="CS124" s="610"/>
      <c r="CT124" s="610"/>
      <c r="CU124" s="610"/>
      <c r="CV124" s="610"/>
      <c r="CW124" s="610"/>
      <c r="CX124" s="610"/>
      <c r="CY124" s="610"/>
      <c r="CZ124" s="610"/>
      <c r="DA124" s="610"/>
      <c r="DB124" s="610"/>
      <c r="DC124" s="610"/>
      <c r="DD124" s="610"/>
      <c r="DE124" s="610"/>
      <c r="DF124" s="610"/>
      <c r="DG124" s="610"/>
      <c r="DH124" s="610"/>
      <c r="DI124" s="610"/>
      <c r="DJ124" s="610"/>
      <c r="DK124" s="610"/>
      <c r="DL124" s="610"/>
      <c r="DM124" s="610"/>
      <c r="DN124" s="610"/>
      <c r="DO124" s="610"/>
      <c r="DP124" s="610"/>
      <c r="DQ124" s="610"/>
      <c r="DR124" s="610"/>
      <c r="DS124" s="610"/>
      <c r="DT124" s="610"/>
      <c r="DU124" s="610"/>
      <c r="DV124" s="610"/>
      <c r="DW124" s="610"/>
      <c r="DX124" s="610"/>
      <c r="DY124" s="610"/>
      <c r="DZ124" s="610"/>
      <c r="EA124" s="610"/>
      <c r="EB124" s="610"/>
      <c r="EC124" s="610"/>
      <c r="ED124" s="610"/>
      <c r="EE124" s="610"/>
      <c r="EF124" s="610"/>
      <c r="EG124" s="610"/>
      <c r="EH124" s="610"/>
      <c r="EI124" s="610"/>
      <c r="EJ124" s="610"/>
      <c r="EK124" s="610"/>
      <c r="EL124" s="610"/>
      <c r="EM124" s="610"/>
      <c r="EN124" s="610"/>
      <c r="EO124" s="610"/>
      <c r="EP124" s="610"/>
      <c r="EQ124" s="610"/>
      <c r="ER124" s="610"/>
      <c r="ES124" s="610"/>
      <c r="ET124" s="610"/>
      <c r="EU124" s="610"/>
      <c r="EV124" s="610"/>
      <c r="EW124" s="610"/>
      <c r="EX124" s="610"/>
      <c r="EY124" s="610"/>
      <c r="EZ124" s="610"/>
      <c r="FA124" s="610"/>
      <c r="FB124" s="610"/>
      <c r="FC124" s="610"/>
      <c r="FD124" s="610"/>
      <c r="FE124" s="610"/>
      <c r="FF124" s="610"/>
      <c r="FG124" s="610"/>
      <c r="FH124" s="610"/>
      <c r="FI124" s="610"/>
      <c r="FJ124" s="610"/>
      <c r="FK124" s="610"/>
      <c r="FL124" s="610"/>
      <c r="FM124" s="610"/>
      <c r="FN124" s="610"/>
      <c r="FO124" s="610"/>
      <c r="FP124" s="610"/>
      <c r="FQ124" s="610"/>
      <c r="FR124" s="610"/>
      <c r="FS124" s="610"/>
      <c r="FT124" s="610"/>
      <c r="FU124" s="610"/>
      <c r="FV124" s="610"/>
      <c r="FW124" s="610"/>
      <c r="FX124" s="610"/>
      <c r="FY124" s="610"/>
      <c r="FZ124" s="610"/>
      <c r="GA124" s="610"/>
      <c r="GB124" s="610"/>
      <c r="GC124" s="610"/>
      <c r="GD124" s="610"/>
      <c r="GE124" s="610"/>
      <c r="GF124" s="610"/>
      <c r="GG124" s="610"/>
      <c r="GH124" s="610"/>
      <c r="GI124" s="610"/>
      <c r="GJ124" s="610"/>
      <c r="GK124" s="610"/>
      <c r="GL124" s="610"/>
      <c r="GM124" s="610"/>
      <c r="GN124" s="610"/>
      <c r="GO124" s="610"/>
      <c r="GP124" s="610"/>
      <c r="GQ124" s="610"/>
      <c r="GR124" s="610"/>
      <c r="GS124" s="610"/>
      <c r="GT124" s="610"/>
      <c r="GU124" s="610"/>
      <c r="GV124" s="610"/>
      <c r="GW124" s="610"/>
      <c r="GX124" s="610"/>
      <c r="GY124" s="610"/>
      <c r="GZ124" s="610"/>
      <c r="HA124" s="610"/>
      <c r="HB124" s="610"/>
      <c r="HC124" s="610"/>
      <c r="HD124" s="610"/>
      <c r="HE124" s="610"/>
      <c r="HF124" s="610"/>
      <c r="HG124" s="610"/>
      <c r="HH124" s="610"/>
      <c r="HI124" s="610"/>
      <c r="HJ124" s="610"/>
      <c r="HK124" s="610"/>
      <c r="HL124" s="610"/>
      <c r="HM124" s="610"/>
      <c r="HN124" s="610"/>
      <c r="HO124" s="610"/>
      <c r="HP124" s="610"/>
      <c r="HQ124" s="610"/>
      <c r="HR124" s="610"/>
      <c r="HS124" s="610"/>
      <c r="HT124" s="610"/>
      <c r="HU124" s="610"/>
      <c r="HV124" s="610"/>
      <c r="HW124" s="610"/>
      <c r="HX124" s="610"/>
      <c r="HY124" s="610"/>
      <c r="HZ124" s="610"/>
      <c r="IA124" s="610"/>
      <c r="IB124" s="610"/>
      <c r="IC124" s="610"/>
      <c r="ID124" s="610"/>
      <c r="IE124" s="610"/>
      <c r="IF124" s="610"/>
      <c r="IG124" s="610"/>
      <c r="IH124" s="610"/>
      <c r="II124" s="610"/>
      <c r="IJ124" s="610"/>
      <c r="IK124" s="610"/>
      <c r="IL124" s="610"/>
      <c r="IM124" s="610"/>
      <c r="IN124" s="610"/>
      <c r="IO124" s="610"/>
      <c r="IP124" s="610"/>
      <c r="IQ124" s="610"/>
      <c r="IR124" s="610"/>
      <c r="IS124" s="610"/>
      <c r="IT124" s="610"/>
      <c r="IU124" s="610"/>
      <c r="IV124" s="610"/>
      <c r="IW124" s="610"/>
      <c r="IX124" s="610"/>
      <c r="IY124" s="610"/>
      <c r="IZ124" s="610"/>
      <c r="JA124" s="610"/>
      <c r="JB124" s="610"/>
      <c r="JC124" s="610"/>
      <c r="JD124" s="610"/>
      <c r="JE124" s="610"/>
      <c r="JF124" s="610"/>
      <c r="JG124" s="610"/>
      <c r="JH124" s="610"/>
      <c r="JI124" s="610"/>
      <c r="JJ124" s="610"/>
      <c r="JK124" s="610"/>
      <c r="JL124" s="610"/>
      <c r="JM124" s="610"/>
      <c r="JN124" s="610"/>
      <c r="JO124" s="610"/>
      <c r="JP124" s="610"/>
      <c r="JQ124" s="610"/>
      <c r="JR124" s="610"/>
      <c r="JS124" s="610"/>
      <c r="JT124" s="610"/>
      <c r="JU124" s="610"/>
      <c r="JV124" s="610"/>
      <c r="JW124" s="610"/>
      <c r="JX124" s="610"/>
      <c r="JY124" s="610"/>
      <c r="JZ124" s="610"/>
      <c r="KA124" s="610"/>
      <c r="KB124" s="610"/>
      <c r="KC124" s="610"/>
      <c r="KD124" s="610"/>
      <c r="KE124" s="610"/>
      <c r="KF124" s="610"/>
      <c r="KG124" s="610"/>
      <c r="KH124" s="610"/>
      <c r="KI124" s="610"/>
      <c r="KJ124" s="610"/>
      <c r="KK124" s="610"/>
      <c r="KL124" s="610"/>
      <c r="KM124" s="610"/>
      <c r="KN124" s="610"/>
      <c r="KO124" s="610"/>
      <c r="KP124" s="610"/>
      <c r="KQ124" s="610"/>
      <c r="KR124" s="610"/>
      <c r="KS124" s="610"/>
      <c r="KT124" s="610"/>
      <c r="KU124" s="610"/>
      <c r="KV124" s="610"/>
      <c r="KW124" s="610"/>
      <c r="KX124" s="610"/>
      <c r="KY124" s="610"/>
      <c r="KZ124" s="610"/>
      <c r="LA124" s="610"/>
      <c r="LB124" s="610"/>
      <c r="LC124" s="610"/>
      <c r="LD124" s="610"/>
      <c r="LE124" s="610"/>
      <c r="LF124" s="610"/>
      <c r="LG124" s="610"/>
      <c r="LH124" s="610"/>
    </row>
    <row r="125" spans="1:325" ht="15.75" customHeight="1" thickTop="1">
      <c r="A125" s="253"/>
      <c r="B125" s="291" t="str">
        <f>B77</f>
        <v xml:space="preserve">  Program Supplies &amp; Materials</v>
      </c>
      <c r="C125" s="72"/>
      <c r="D125" s="72"/>
      <c r="E125" s="170">
        <f>D77</f>
        <v>642.72053101483573</v>
      </c>
      <c r="F125" s="122"/>
      <c r="G125" s="290">
        <f>E125*E115</f>
        <v>6508.7813775463947</v>
      </c>
      <c r="H125" s="253"/>
      <c r="I125" s="104"/>
      <c r="J125" s="72"/>
      <c r="K125" s="131"/>
      <c r="L125" s="72"/>
      <c r="M125" s="132" t="e">
        <f>M123+M124</f>
        <v>#REF!</v>
      </c>
      <c r="N125" s="253"/>
      <c r="LI125" s="8"/>
      <c r="LJ125" s="8"/>
      <c r="LK125" s="8"/>
      <c r="LL125" s="8"/>
      <c r="LM125" s="8"/>
    </row>
    <row r="126" spans="1:325" s="255" customFormat="1">
      <c r="A126" s="253"/>
      <c r="B126" s="104"/>
      <c r="C126" s="72"/>
      <c r="D126" s="72"/>
      <c r="E126" s="185">
        <f>SUM(E124:E125)</f>
        <v>642.72053101483573</v>
      </c>
      <c r="F126" s="185"/>
      <c r="G126" s="124">
        <f>SUM(G123:G125)</f>
        <v>16346.127637751337</v>
      </c>
      <c r="H126" s="253"/>
      <c r="I126" s="104"/>
      <c r="J126" s="133"/>
      <c r="K126" s="72"/>
      <c r="L126" s="134"/>
      <c r="M126" s="135"/>
      <c r="N126" s="253"/>
    </row>
    <row r="127" spans="1:325" s="255" customFormat="1">
      <c r="A127" s="253"/>
      <c r="B127" s="104"/>
      <c r="C127" s="72"/>
      <c r="D127" s="72"/>
      <c r="E127" s="66"/>
      <c r="F127" s="66"/>
      <c r="G127" s="125"/>
      <c r="H127" s="253"/>
      <c r="I127" s="104"/>
      <c r="J127" s="72"/>
      <c r="K127" s="72"/>
      <c r="L127" s="72"/>
      <c r="M127" s="136"/>
      <c r="N127" s="253"/>
    </row>
    <row r="128" spans="1:325" s="255" customFormat="1" ht="13.5" thickBot="1">
      <c r="A128" s="253"/>
      <c r="B128" s="114" t="s">
        <v>23</v>
      </c>
      <c r="C128" s="3"/>
      <c r="D128" s="3"/>
      <c r="E128" s="3"/>
      <c r="F128" s="3"/>
      <c r="G128" s="126" t="e">
        <f>SUM(G118,G122,G126)</f>
        <v>#REF!</v>
      </c>
      <c r="H128" s="253"/>
      <c r="I128" s="104" t="s">
        <v>28</v>
      </c>
      <c r="J128" s="72"/>
      <c r="K128" s="72"/>
      <c r="L128" s="73"/>
      <c r="M128" s="568"/>
      <c r="N128" s="253"/>
    </row>
    <row r="129" spans="1:15" s="255" customFormat="1" ht="13.5" thickBot="1">
      <c r="A129" s="253"/>
      <c r="B129" s="104"/>
      <c r="C129" s="72"/>
      <c r="D129" s="72"/>
      <c r="E129" s="72"/>
      <c r="F129" s="72"/>
      <c r="G129" s="105"/>
      <c r="H129" s="253"/>
      <c r="I129" s="584" t="s">
        <v>600</v>
      </c>
      <c r="J129" s="358"/>
      <c r="K129" s="359"/>
      <c r="L129" s="360"/>
      <c r="M129" s="577" t="e">
        <f>M125/M94</f>
        <v>#REF!</v>
      </c>
      <c r="N129" s="253"/>
    </row>
    <row r="130" spans="1:15" s="255" customFormat="1">
      <c r="A130" s="253"/>
      <c r="B130" s="104" t="str">
        <f>B80</f>
        <v xml:space="preserve">  Admin. Allocation</v>
      </c>
      <c r="C130" s="72"/>
      <c r="D130" s="187">
        <f>D80</f>
        <v>0.12</v>
      </c>
      <c r="E130" s="72"/>
      <c r="F130" s="72"/>
      <c r="G130" s="117" t="e">
        <f>D130*G128</f>
        <v>#REF!</v>
      </c>
      <c r="H130" s="253"/>
      <c r="I130" s="253"/>
      <c r="J130" s="253"/>
      <c r="K130" s="253"/>
      <c r="L130" s="72" t="s">
        <v>783</v>
      </c>
      <c r="M130" s="929">
        <v>252.78</v>
      </c>
      <c r="N130" s="253"/>
    </row>
    <row r="131" spans="1:15" s="255" customFormat="1">
      <c r="A131" s="253"/>
      <c r="B131" s="865" t="str">
        <f>B35</f>
        <v>PFLMA Trust Contribution</v>
      </c>
      <c r="C131" s="932"/>
      <c r="D131" s="908">
        <f>D35</f>
        <v>7.4999999999999997E-3</v>
      </c>
      <c r="E131" s="72"/>
      <c r="F131" s="72"/>
      <c r="G131" s="931" t="e">
        <f>G115*D131</f>
        <v>#REF!</v>
      </c>
      <c r="H131" s="571"/>
      <c r="I131" s="253"/>
      <c r="J131" s="253"/>
      <c r="K131" s="253"/>
      <c r="L131" s="73"/>
      <c r="M131" s="411" t="e">
        <f>M129-M130</f>
        <v>#REF!</v>
      </c>
      <c r="N131" s="939" t="e">
        <f>M131/M130</f>
        <v>#REF!</v>
      </c>
    </row>
    <row r="132" spans="1:15" s="610" customFormat="1" ht="13.5" thickBot="1">
      <c r="A132" s="571"/>
      <c r="B132" s="129" t="s">
        <v>25</v>
      </c>
      <c r="C132" s="74"/>
      <c r="D132" s="74"/>
      <c r="E132" s="74"/>
      <c r="F132" s="74"/>
      <c r="G132" s="130" t="e">
        <f>SUM(G128:G131)</f>
        <v>#REF!</v>
      </c>
      <c r="H132" s="253"/>
      <c r="I132" s="571"/>
      <c r="J132" s="571"/>
      <c r="K132" s="571"/>
      <c r="L132" s="571"/>
      <c r="M132" s="571"/>
      <c r="N132" s="571"/>
    </row>
    <row r="133" spans="1:15" s="255" customFormat="1" ht="13.5" thickTop="1">
      <c r="A133" s="253"/>
      <c r="B133" s="104"/>
      <c r="C133" s="72"/>
      <c r="D133" s="72"/>
      <c r="E133" s="72"/>
      <c r="F133" s="72"/>
      <c r="G133" s="105"/>
      <c r="H133" s="253"/>
      <c r="I133" s="253"/>
      <c r="J133" s="253"/>
      <c r="K133" s="253"/>
      <c r="L133" s="253"/>
      <c r="M133" s="253"/>
      <c r="N133" s="253"/>
    </row>
    <row r="134" spans="1:15" s="255" customFormat="1">
      <c r="A134" s="253"/>
      <c r="B134" s="104" t="str">
        <f>B82</f>
        <v xml:space="preserve">  CAF</v>
      </c>
      <c r="C134" s="72"/>
      <c r="D134" s="131">
        <f>D37</f>
        <v>2.5000000000000001E-2</v>
      </c>
      <c r="E134" s="72"/>
      <c r="F134" s="72"/>
      <c r="G134" s="132" t="e">
        <f>G132*(1+D134)</f>
        <v>#REF!</v>
      </c>
      <c r="H134" s="253"/>
      <c r="I134" s="253"/>
      <c r="J134" s="253"/>
      <c r="K134" s="253"/>
      <c r="L134" s="253"/>
      <c r="M134" s="253"/>
      <c r="N134" s="253"/>
    </row>
    <row r="135" spans="1:15" s="255" customFormat="1" ht="13.5" thickBot="1">
      <c r="A135" s="253"/>
      <c r="B135" s="909" t="str">
        <f>B78</f>
        <v>Meals / Food***</v>
      </c>
      <c r="C135" s="933"/>
      <c r="D135" s="877">
        <f>D78</f>
        <v>8.16</v>
      </c>
      <c r="E135" s="933"/>
      <c r="F135" s="933"/>
      <c r="G135" s="934">
        <f>D135*G103</f>
        <v>14892</v>
      </c>
      <c r="H135" s="253"/>
      <c r="I135" s="253"/>
      <c r="J135" s="253"/>
      <c r="K135" s="253"/>
      <c r="L135" s="253"/>
      <c r="M135" s="253"/>
      <c r="N135" s="253"/>
    </row>
    <row r="136" spans="1:15" s="255" customFormat="1" ht="13.5" thickTop="1">
      <c r="A136" s="253"/>
      <c r="B136" s="104"/>
      <c r="C136" s="72"/>
      <c r="D136" s="131"/>
      <c r="E136" s="72"/>
      <c r="F136" s="72"/>
      <c r="G136" s="132" t="e">
        <f>G134+G135</f>
        <v>#REF!</v>
      </c>
      <c r="H136" s="939" t="e">
        <f>G141/G139</f>
        <v>#REF!</v>
      </c>
      <c r="I136" s="253"/>
      <c r="J136" s="253"/>
      <c r="K136" s="253"/>
      <c r="L136" s="253"/>
      <c r="M136" s="253"/>
      <c r="N136" s="253"/>
    </row>
    <row r="137" spans="1:15" s="255" customFormat="1">
      <c r="A137" s="253"/>
      <c r="B137" s="104"/>
      <c r="C137" s="72"/>
      <c r="D137" s="72"/>
      <c r="E137" s="72"/>
      <c r="F137" s="72"/>
      <c r="G137" s="136"/>
      <c r="H137" s="253"/>
      <c r="I137" s="253"/>
      <c r="J137" s="253"/>
      <c r="K137" s="253"/>
      <c r="L137" s="253"/>
      <c r="M137" s="253"/>
      <c r="N137" s="253"/>
    </row>
    <row r="138" spans="1:15" s="255" customFormat="1" ht="13.5" thickBot="1">
      <c r="A138" s="253"/>
      <c r="B138" s="104"/>
      <c r="C138" s="72"/>
      <c r="D138" s="72"/>
      <c r="E138" s="73"/>
      <c r="F138" s="73"/>
      <c r="G138" s="568"/>
      <c r="H138" s="253"/>
      <c r="I138" s="253"/>
      <c r="J138" s="253"/>
      <c r="K138" s="253"/>
      <c r="L138" s="253"/>
      <c r="M138" s="253"/>
      <c r="N138" s="253"/>
      <c r="O138" s="253"/>
    </row>
    <row r="139" spans="1:15" s="255" customFormat="1" ht="13.5" thickBot="1">
      <c r="A139" s="253"/>
      <c r="B139" s="584" t="s">
        <v>600</v>
      </c>
      <c r="C139" s="358"/>
      <c r="D139" s="359"/>
      <c r="E139" s="360"/>
      <c r="F139" s="360"/>
      <c r="G139" s="577" t="e">
        <f>G136/G103</f>
        <v>#REF!</v>
      </c>
      <c r="H139" s="253"/>
      <c r="I139" s="253"/>
      <c r="J139" s="253"/>
      <c r="K139" s="253"/>
      <c r="L139" s="253"/>
      <c r="M139" s="253"/>
      <c r="N139" s="253"/>
      <c r="O139" s="253"/>
    </row>
    <row r="140" spans="1:15" s="255" customFormat="1">
      <c r="A140" s="253"/>
      <c r="B140" s="253"/>
      <c r="C140" s="253"/>
      <c r="D140" s="253"/>
      <c r="E140" s="253" t="s">
        <v>783</v>
      </c>
      <c r="F140" s="253"/>
      <c r="G140" s="253">
        <v>321.33</v>
      </c>
      <c r="H140" s="253"/>
      <c r="I140" s="253"/>
      <c r="J140" s="253"/>
      <c r="K140" s="253"/>
      <c r="L140" s="253"/>
      <c r="M140" s="253"/>
      <c r="N140" s="253"/>
      <c r="O140" s="253"/>
    </row>
    <row r="141" spans="1:15" s="255" customFormat="1" ht="13.5" thickBot="1">
      <c r="A141" s="253"/>
      <c r="B141" s="253"/>
      <c r="C141" s="253"/>
      <c r="D141" s="253"/>
      <c r="E141" s="253"/>
      <c r="F141" s="253"/>
      <c r="G141" s="482" t="e">
        <f>G139-G140</f>
        <v>#REF!</v>
      </c>
      <c r="H141" s="253"/>
      <c r="I141" s="253"/>
      <c r="J141" s="253"/>
      <c r="K141" s="253"/>
      <c r="L141" s="253"/>
      <c r="M141" s="253"/>
      <c r="N141" s="253"/>
      <c r="O141" s="253"/>
    </row>
    <row r="142" spans="1:15" s="255" customFormat="1" ht="13.5" thickBot="1">
      <c r="A142" s="253"/>
      <c r="B142" s="2601" t="s">
        <v>576</v>
      </c>
      <c r="C142" s="2602"/>
      <c r="D142" s="2602"/>
      <c r="E142" s="2602"/>
      <c r="F142" s="2602"/>
      <c r="G142" s="2603"/>
      <c r="H142" s="253"/>
      <c r="I142" s="253"/>
      <c r="J142" s="253"/>
      <c r="K142" s="253"/>
      <c r="L142" s="253"/>
      <c r="M142" s="253"/>
      <c r="N142" s="253"/>
      <c r="O142" s="253"/>
    </row>
    <row r="143" spans="1:15" s="255" customFormat="1">
      <c r="A143" s="253"/>
      <c r="B143" s="146" t="s">
        <v>277</v>
      </c>
      <c r="C143" s="147">
        <v>11</v>
      </c>
      <c r="D143" s="148"/>
      <c r="E143" s="149" t="s">
        <v>133</v>
      </c>
      <c r="F143" s="149"/>
      <c r="G143" s="150">
        <f>C143*365</f>
        <v>4015</v>
      </c>
      <c r="H143" s="253"/>
      <c r="I143" s="253"/>
      <c r="J143" s="253"/>
      <c r="K143" s="253"/>
      <c r="L143" s="253"/>
      <c r="M143" s="253"/>
      <c r="N143" s="253"/>
      <c r="O143" s="253"/>
    </row>
    <row r="144" spans="1:15" s="255" customFormat="1" ht="15.75" customHeight="1">
      <c r="A144" s="253"/>
      <c r="B144" s="106"/>
      <c r="C144" s="53"/>
      <c r="D144" s="54" t="s">
        <v>5</v>
      </c>
      <c r="E144" s="54" t="s">
        <v>6</v>
      </c>
      <c r="F144" s="54"/>
      <c r="G144" s="107" t="s">
        <v>7</v>
      </c>
      <c r="H144" s="253"/>
      <c r="I144" s="253"/>
      <c r="J144" s="253"/>
      <c r="K144" s="253"/>
      <c r="L144" s="253"/>
      <c r="M144" s="253"/>
      <c r="N144" s="253"/>
      <c r="O144" s="253"/>
    </row>
    <row r="145" spans="1:15" s="255" customFormat="1">
      <c r="A145" s="253"/>
      <c r="B145" s="111" t="str">
        <f t="shared" ref="B145:B154" si="2">B56</f>
        <v>Management</v>
      </c>
      <c r="C145" s="55"/>
      <c r="D145" s="56"/>
      <c r="E145" s="56"/>
      <c r="F145" s="56"/>
      <c r="G145" s="108"/>
      <c r="H145" s="253"/>
      <c r="I145" s="253"/>
      <c r="J145" s="253"/>
      <c r="K145" s="253"/>
      <c r="L145" s="253"/>
      <c r="M145" s="253"/>
      <c r="N145" s="253"/>
      <c r="O145" s="253"/>
    </row>
    <row r="146" spans="1:15" s="255" customFormat="1">
      <c r="A146" s="253"/>
      <c r="B146" s="109" t="str">
        <f t="shared" si="2"/>
        <v xml:space="preserve">  Management Supervision</v>
      </c>
      <c r="C146" s="57"/>
      <c r="D146" s="930">
        <f>D13</f>
        <v>92496.84919424048</v>
      </c>
      <c r="E146" s="59">
        <f>E88</f>
        <v>0.1</v>
      </c>
      <c r="F146" s="59"/>
      <c r="G146" s="612">
        <f>D146*E146</f>
        <v>9249.6849194240476</v>
      </c>
      <c r="H146" s="253"/>
      <c r="I146" s="253"/>
      <c r="J146" s="253"/>
      <c r="K146" s="253"/>
      <c r="L146" s="253"/>
      <c r="M146" s="253"/>
      <c r="N146" s="253"/>
      <c r="O146" s="253"/>
    </row>
    <row r="147" spans="1:15" s="255" customFormat="1">
      <c r="A147" s="253"/>
      <c r="B147" s="109" t="str">
        <f t="shared" si="2"/>
        <v xml:space="preserve">  Specialty Site Manager</v>
      </c>
      <c r="C147" s="57"/>
      <c r="D147" s="58">
        <f>D14</f>
        <v>53840.469152283775</v>
      </c>
      <c r="E147" s="59">
        <f>E89</f>
        <v>2.2000000000000002</v>
      </c>
      <c r="F147" s="59"/>
      <c r="G147" s="567">
        <f>D147*E147</f>
        <v>118449.03213502432</v>
      </c>
      <c r="H147" s="253"/>
      <c r="I147" s="253"/>
      <c r="J147" s="253"/>
      <c r="K147" s="253"/>
      <c r="L147" s="253"/>
      <c r="M147" s="253"/>
      <c r="N147" s="253"/>
      <c r="O147" s="253"/>
    </row>
    <row r="148" spans="1:15" s="255" customFormat="1">
      <c r="A148" s="253"/>
      <c r="B148" s="111" t="str">
        <f t="shared" si="2"/>
        <v>Medical and Clinical</v>
      </c>
      <c r="C148" s="57"/>
      <c r="D148" s="58"/>
      <c r="E148" s="59"/>
      <c r="F148" s="59"/>
      <c r="G148" s="567"/>
      <c r="H148" s="253"/>
      <c r="I148" s="253"/>
      <c r="J148" s="253"/>
      <c r="K148" s="253"/>
      <c r="L148" s="253"/>
      <c r="M148" s="253"/>
      <c r="N148" s="253"/>
      <c r="O148" s="253"/>
    </row>
    <row r="149" spans="1:15" s="255" customFormat="1">
      <c r="A149" s="253"/>
      <c r="B149" s="109" t="str">
        <f t="shared" si="2"/>
        <v xml:space="preserve">  Psychologist</v>
      </c>
      <c r="C149" s="57"/>
      <c r="D149" s="58">
        <f>D60</f>
        <v>72789.28066227409</v>
      </c>
      <c r="E149" s="59">
        <f>E91</f>
        <v>0.5</v>
      </c>
      <c r="F149" s="59"/>
      <c r="G149" s="567">
        <f t="shared" ref="G149:G154" si="3">D149*E149</f>
        <v>36394.640331137045</v>
      </c>
      <c r="H149" s="253"/>
      <c r="I149" s="253"/>
      <c r="J149" s="253"/>
      <c r="K149" s="253"/>
      <c r="L149" s="253"/>
      <c r="M149" s="253"/>
      <c r="N149" s="253"/>
      <c r="O149" s="253"/>
    </row>
    <row r="150" spans="1:15" s="255" customFormat="1">
      <c r="A150" s="253"/>
      <c r="B150" s="376" t="str">
        <f t="shared" si="2"/>
        <v xml:space="preserve">  LPHA</v>
      </c>
      <c r="C150" s="377"/>
      <c r="D150" s="930" t="e">
        <f>D61</f>
        <v>#REF!</v>
      </c>
      <c r="E150" s="59">
        <f>E92</f>
        <v>0.75</v>
      </c>
      <c r="F150" s="59"/>
      <c r="G150" s="619" t="e">
        <f t="shared" si="3"/>
        <v>#REF!</v>
      </c>
      <c r="H150" s="253"/>
      <c r="I150" s="253"/>
      <c r="J150" s="253"/>
      <c r="K150" s="253"/>
      <c r="L150" s="253"/>
      <c r="M150" s="253"/>
      <c r="N150" s="253"/>
      <c r="O150" s="253"/>
    </row>
    <row r="151" spans="1:15" s="255" customFormat="1">
      <c r="A151" s="253"/>
      <c r="B151" s="109" t="str">
        <f t="shared" si="2"/>
        <v xml:space="preserve">  LPN</v>
      </c>
      <c r="C151" s="57"/>
      <c r="D151" s="58">
        <f>D62</f>
        <v>51700.782965485909</v>
      </c>
      <c r="E151" s="59">
        <f>E93</f>
        <v>0.4</v>
      </c>
      <c r="F151" s="59"/>
      <c r="G151" s="567">
        <f t="shared" si="3"/>
        <v>20680.313186194366</v>
      </c>
      <c r="H151" s="253"/>
      <c r="I151" s="253"/>
      <c r="J151" s="253"/>
      <c r="K151" s="253"/>
      <c r="L151" s="253"/>
      <c r="M151" s="253"/>
      <c r="N151" s="253"/>
      <c r="O151" s="253"/>
    </row>
    <row r="152" spans="1:15" s="255" customFormat="1">
      <c r="A152" s="253"/>
      <c r="B152" s="111" t="str">
        <f t="shared" si="2"/>
        <v>Direct Care</v>
      </c>
      <c r="C152" s="57"/>
      <c r="D152" s="58"/>
      <c r="E152" s="59"/>
      <c r="F152" s="59"/>
      <c r="G152" s="567"/>
      <c r="H152" s="253"/>
      <c r="I152" s="253"/>
      <c r="J152" s="253"/>
      <c r="K152" s="253"/>
      <c r="L152" s="253"/>
      <c r="M152" s="253"/>
      <c r="N152" s="253"/>
      <c r="O152" s="253"/>
    </row>
    <row r="153" spans="1:15" s="255" customFormat="1">
      <c r="A153" s="253"/>
      <c r="B153" s="109" t="str">
        <f t="shared" si="2"/>
        <v xml:space="preserve">  DC Blended (DC I + II + III)</v>
      </c>
      <c r="C153" s="57"/>
      <c r="D153" s="58">
        <f>D64</f>
        <v>35063.449294968901</v>
      </c>
      <c r="E153" s="59">
        <f>E95</f>
        <v>9.1999999999999993</v>
      </c>
      <c r="F153" s="59"/>
      <c r="G153" s="567">
        <f t="shared" si="3"/>
        <v>322583.73351371387</v>
      </c>
      <c r="H153" s="253"/>
      <c r="I153" s="253"/>
      <c r="J153" s="253"/>
      <c r="K153" s="253"/>
      <c r="L153" s="253"/>
      <c r="M153" s="253"/>
      <c r="N153" s="253"/>
      <c r="O153" s="253"/>
    </row>
    <row r="154" spans="1:15" s="255" customFormat="1">
      <c r="A154" s="253"/>
      <c r="B154" s="288" t="str">
        <f t="shared" si="2"/>
        <v xml:space="preserve">  Relief</v>
      </c>
      <c r="C154" s="57"/>
      <c r="D154" s="58">
        <f>D65</f>
        <v>30610.39123450785</v>
      </c>
      <c r="E154" s="59">
        <f>E96</f>
        <v>1.4153846153846155</v>
      </c>
      <c r="F154" s="59"/>
      <c r="G154" s="567">
        <f t="shared" si="3"/>
        <v>43325.476824226498</v>
      </c>
      <c r="H154" s="253"/>
      <c r="I154" s="253"/>
      <c r="J154" s="253"/>
      <c r="K154" s="253"/>
      <c r="L154" s="253"/>
      <c r="M154" s="253"/>
      <c r="N154" s="253"/>
      <c r="O154" s="253"/>
    </row>
    <row r="155" spans="1:15" s="255" customFormat="1">
      <c r="A155" s="253"/>
      <c r="B155" s="114" t="s">
        <v>13</v>
      </c>
      <c r="C155" s="3"/>
      <c r="D155" s="3"/>
      <c r="E155" s="64">
        <f>SUM(E146:E154)</f>
        <v>14.565384615384614</v>
      </c>
      <c r="F155" s="64"/>
      <c r="G155" s="620" t="e">
        <f>SUM(G146:G154)</f>
        <v>#REF!</v>
      </c>
      <c r="H155" s="253"/>
      <c r="I155" s="253"/>
      <c r="J155" s="253"/>
      <c r="K155" s="253"/>
      <c r="L155" s="253"/>
      <c r="M155" s="253"/>
      <c r="N155" s="253"/>
      <c r="O155" s="253"/>
    </row>
    <row r="156" spans="1:15" s="255" customFormat="1">
      <c r="A156" s="253"/>
      <c r="B156" s="100" t="s">
        <v>15</v>
      </c>
      <c r="C156" s="72"/>
      <c r="D156" s="72"/>
      <c r="E156" s="4" t="s">
        <v>16</v>
      </c>
      <c r="F156" s="4"/>
      <c r="G156" s="567"/>
      <c r="H156" s="253"/>
      <c r="I156" s="253"/>
      <c r="J156" s="253"/>
      <c r="K156" s="253"/>
      <c r="L156" s="253"/>
      <c r="M156" s="253"/>
      <c r="N156" s="253"/>
      <c r="O156" s="253"/>
    </row>
    <row r="157" spans="1:15" s="255" customFormat="1">
      <c r="A157" s="253"/>
      <c r="B157" s="104" t="s">
        <v>17</v>
      </c>
      <c r="C157" s="72"/>
      <c r="D157" s="65" t="e">
        <f>D68</f>
        <v>#REF!</v>
      </c>
      <c r="E157" s="72"/>
      <c r="F157" s="72"/>
      <c r="G157" s="622" t="e">
        <f>D157*G155</f>
        <v>#REF!</v>
      </c>
      <c r="H157" s="253"/>
      <c r="I157" s="253"/>
      <c r="J157" s="253"/>
      <c r="K157" s="253"/>
      <c r="L157" s="253"/>
      <c r="M157" s="253"/>
      <c r="N157" s="253"/>
      <c r="O157" s="253"/>
    </row>
    <row r="158" spans="1:15" s="255" customFormat="1">
      <c r="A158" s="253"/>
      <c r="B158" s="114" t="s">
        <v>18</v>
      </c>
      <c r="C158" s="3"/>
      <c r="D158" s="3"/>
      <c r="E158" s="63"/>
      <c r="F158" s="63"/>
      <c r="G158" s="623" t="e">
        <f>G155+G157</f>
        <v>#REF!</v>
      </c>
      <c r="H158" s="253"/>
      <c r="I158" s="253"/>
      <c r="J158" s="253"/>
      <c r="K158" s="253"/>
      <c r="L158" s="253"/>
      <c r="M158" s="253"/>
      <c r="N158" s="253"/>
      <c r="O158" s="253"/>
    </row>
    <row r="159" spans="1:15" s="255" customFormat="1">
      <c r="A159" s="253"/>
      <c r="B159" s="100"/>
      <c r="C159" s="4"/>
      <c r="D159" s="4"/>
      <c r="E159" s="66"/>
      <c r="F159" s="66"/>
      <c r="G159" s="938"/>
      <c r="H159" s="253"/>
      <c r="I159" s="253"/>
      <c r="J159" s="253"/>
      <c r="K159" s="253"/>
      <c r="L159" s="253"/>
      <c r="M159" s="253"/>
      <c r="N159" s="253"/>
      <c r="O159" s="253"/>
    </row>
    <row r="160" spans="1:15" s="255" customFormat="1">
      <c r="A160" s="253"/>
      <c r="B160" s="106" t="s">
        <v>328</v>
      </c>
      <c r="C160" s="5"/>
      <c r="D160" s="54" t="s">
        <v>19</v>
      </c>
      <c r="E160" s="67" t="s">
        <v>20</v>
      </c>
      <c r="F160" s="67"/>
      <c r="G160" s="625" t="s">
        <v>7</v>
      </c>
      <c r="H160" s="253"/>
      <c r="I160" s="253"/>
      <c r="J160" s="253"/>
      <c r="K160" s="253"/>
      <c r="L160" s="253"/>
      <c r="M160" s="253"/>
      <c r="N160" s="253"/>
      <c r="O160" s="253"/>
    </row>
    <row r="161" spans="1:15" s="255" customFormat="1">
      <c r="A161" s="253"/>
      <c r="B161" s="109" t="str">
        <f>B98</f>
        <v xml:space="preserve">  Psychologist</v>
      </c>
      <c r="C161" s="4"/>
      <c r="D161" s="68">
        <f>D72</f>
        <v>135.32</v>
      </c>
      <c r="E161" s="69">
        <f>E98*52</f>
        <v>208</v>
      </c>
      <c r="F161" s="69"/>
      <c r="G161" s="622">
        <f>D161*E161</f>
        <v>28146.559999999998</v>
      </c>
      <c r="H161" s="253"/>
      <c r="I161" s="253"/>
      <c r="J161" s="253"/>
      <c r="K161" s="253"/>
      <c r="L161" s="253"/>
      <c r="M161" s="253"/>
      <c r="N161" s="253"/>
      <c r="O161" s="253"/>
    </row>
    <row r="162" spans="1:15" s="255" customFormat="1">
      <c r="A162" s="253"/>
      <c r="B162" s="114" t="s">
        <v>21</v>
      </c>
      <c r="C162" s="70"/>
      <c r="D162" s="70"/>
      <c r="E162" s="70"/>
      <c r="F162" s="70"/>
      <c r="G162" s="623">
        <f>SUM(G161:G161)</f>
        <v>28146.559999999998</v>
      </c>
      <c r="H162" s="253"/>
      <c r="I162" s="253"/>
      <c r="J162" s="253"/>
      <c r="K162" s="253"/>
      <c r="L162" s="253"/>
      <c r="M162" s="253"/>
      <c r="N162" s="253"/>
      <c r="O162" s="253"/>
    </row>
    <row r="163" spans="1:15" s="255" customFormat="1">
      <c r="A163" s="253"/>
      <c r="B163" s="909" t="str">
        <f>B123</f>
        <v xml:space="preserve">  Staff Training</v>
      </c>
      <c r="C163" s="933"/>
      <c r="D163" s="933"/>
      <c r="E163" s="899">
        <f>E123</f>
        <v>360</v>
      </c>
      <c r="F163" s="899"/>
      <c r="G163" s="941">
        <f>E163*E155</f>
        <v>5243.538461538461</v>
      </c>
      <c r="H163" s="253"/>
      <c r="I163" s="253"/>
      <c r="J163" s="253"/>
      <c r="K163" s="253"/>
      <c r="L163" s="253"/>
      <c r="M163" s="253"/>
      <c r="N163" s="253"/>
      <c r="O163" s="253"/>
    </row>
    <row r="164" spans="1:15" s="255" customFormat="1">
      <c r="A164" s="253"/>
      <c r="B164" s="291" t="str">
        <f>B76</f>
        <v xml:space="preserve">  Transportation</v>
      </c>
      <c r="C164" s="72"/>
      <c r="D164" s="72"/>
      <c r="E164" s="122"/>
      <c r="F164" s="122"/>
      <c r="G164" s="622">
        <f>D76</f>
        <v>6191.6539525126345</v>
      </c>
      <c r="H164" s="253"/>
      <c r="I164" s="253"/>
      <c r="J164" s="253"/>
      <c r="K164" s="253"/>
      <c r="L164" s="253"/>
      <c r="M164" s="253"/>
      <c r="N164" s="253"/>
      <c r="O164" s="253"/>
    </row>
    <row r="165" spans="1:15" s="255" customFormat="1" ht="25.5">
      <c r="A165" s="253"/>
      <c r="B165" s="291" t="str">
        <f>B77</f>
        <v xml:space="preserve">  Program Supplies &amp; Materials</v>
      </c>
      <c r="C165" s="72"/>
      <c r="D165" s="72"/>
      <c r="E165" s="170">
        <f>D77</f>
        <v>642.72053101483573</v>
      </c>
      <c r="F165" s="122"/>
      <c r="G165" s="622">
        <f>E165*E155</f>
        <v>9361.4717344353176</v>
      </c>
      <c r="H165" s="253"/>
      <c r="I165" s="253"/>
      <c r="J165" s="253"/>
      <c r="K165" s="253"/>
      <c r="L165" s="253"/>
      <c r="M165" s="253"/>
      <c r="N165" s="253"/>
      <c r="O165" s="253"/>
    </row>
    <row r="166" spans="1:15" s="255" customFormat="1">
      <c r="A166" s="253"/>
      <c r="B166" s="104"/>
      <c r="C166" s="72"/>
      <c r="D166" s="72"/>
      <c r="E166" s="185">
        <f>SUM(E164:E165)</f>
        <v>642.72053101483573</v>
      </c>
      <c r="F166" s="185"/>
      <c r="G166" s="627">
        <f>SUM(G163:G165)</f>
        <v>20796.664148486416</v>
      </c>
      <c r="H166" s="253"/>
      <c r="I166" s="253"/>
      <c r="J166" s="253"/>
      <c r="K166" s="253"/>
      <c r="L166" s="253"/>
      <c r="M166" s="253"/>
      <c r="N166" s="253"/>
      <c r="O166" s="253"/>
    </row>
    <row r="167" spans="1:15" s="255" customFormat="1">
      <c r="A167" s="253"/>
      <c r="B167" s="104"/>
      <c r="C167" s="72"/>
      <c r="D167" s="72"/>
      <c r="E167" s="66"/>
      <c r="F167" s="66"/>
      <c r="G167" s="628"/>
      <c r="H167" s="253"/>
      <c r="I167" s="253"/>
      <c r="J167" s="253"/>
      <c r="K167" s="253"/>
      <c r="L167" s="253"/>
      <c r="M167" s="253"/>
      <c r="N167" s="253"/>
      <c r="O167" s="253"/>
    </row>
    <row r="168" spans="1:15" s="255" customFormat="1">
      <c r="A168" s="253"/>
      <c r="B168" s="114" t="s">
        <v>23</v>
      </c>
      <c r="C168" s="3"/>
      <c r="D168" s="3"/>
      <c r="E168" s="3"/>
      <c r="F168" s="3"/>
      <c r="G168" s="629" t="e">
        <f>SUM(G158,G162,G166)</f>
        <v>#REF!</v>
      </c>
      <c r="H168" s="253"/>
      <c r="I168" s="253"/>
      <c r="J168" s="253"/>
      <c r="K168" s="253"/>
      <c r="L168" s="253"/>
      <c r="M168" s="253"/>
      <c r="N168" s="253"/>
      <c r="O168" s="253"/>
    </row>
    <row r="169" spans="1:15" s="255" customFormat="1">
      <c r="A169" s="253"/>
      <c r="B169" s="104"/>
      <c r="C169" s="72"/>
      <c r="D169" s="72"/>
      <c r="E169" s="72"/>
      <c r="F169" s="72"/>
      <c r="G169" s="567"/>
      <c r="H169" s="253"/>
      <c r="I169" s="253"/>
      <c r="J169" s="253"/>
      <c r="K169" s="253"/>
      <c r="L169" s="253"/>
      <c r="M169" s="253"/>
      <c r="N169" s="253"/>
      <c r="O169" s="253"/>
    </row>
    <row r="170" spans="1:15" s="255" customFormat="1">
      <c r="A170" s="253"/>
      <c r="B170" s="104" t="str">
        <f>B80</f>
        <v xml:space="preserve">  Admin. Allocation</v>
      </c>
      <c r="C170" s="72"/>
      <c r="D170" s="187">
        <f>D80</f>
        <v>0.12</v>
      </c>
      <c r="E170" s="72"/>
      <c r="F170" s="72"/>
      <c r="G170" s="622" t="e">
        <f>D170*G168</f>
        <v>#REF!</v>
      </c>
      <c r="H170" s="253"/>
      <c r="I170" s="253"/>
      <c r="J170" s="253"/>
      <c r="K170" s="253"/>
      <c r="L170" s="253"/>
      <c r="M170" s="253"/>
      <c r="N170" s="253"/>
      <c r="O170" s="253"/>
    </row>
    <row r="171" spans="1:15" s="255" customFormat="1">
      <c r="A171" s="253"/>
      <c r="B171" s="865" t="str">
        <f>B35</f>
        <v>PFLMA Trust Contribution</v>
      </c>
      <c r="C171" s="932"/>
      <c r="D171" s="908">
        <f>D35</f>
        <v>7.4999999999999997E-3</v>
      </c>
      <c r="E171" s="72"/>
      <c r="F171" s="72"/>
      <c r="G171" s="622" t="e">
        <f>G155*D171</f>
        <v>#REF!</v>
      </c>
      <c r="H171" s="253"/>
      <c r="I171" s="253"/>
      <c r="J171" s="253"/>
      <c r="K171" s="253"/>
      <c r="L171" s="253"/>
      <c r="M171" s="253"/>
      <c r="N171" s="253"/>
      <c r="O171" s="253"/>
    </row>
    <row r="172" spans="1:15" s="255" customFormat="1">
      <c r="A172" s="253"/>
      <c r="B172" s="935"/>
      <c r="C172" s="936"/>
      <c r="D172" s="937"/>
      <c r="E172" s="72"/>
      <c r="F172" s="72"/>
      <c r="G172" s="622"/>
      <c r="H172" s="253"/>
      <c r="I172" s="253"/>
      <c r="J172" s="253"/>
      <c r="K172" s="253"/>
      <c r="L172" s="253"/>
      <c r="M172" s="253"/>
      <c r="N172" s="253"/>
      <c r="O172" s="253"/>
    </row>
    <row r="173" spans="1:15" s="255" customFormat="1" ht="13.5" thickBot="1">
      <c r="A173" s="253"/>
      <c r="B173" s="129" t="s">
        <v>25</v>
      </c>
      <c r="C173" s="74"/>
      <c r="D173" s="74"/>
      <c r="E173" s="74"/>
      <c r="F173" s="74"/>
      <c r="G173" s="631" t="e">
        <f>SUM(G168:G171)</f>
        <v>#REF!</v>
      </c>
      <c r="H173" s="253"/>
      <c r="I173" s="253"/>
      <c r="J173" s="253"/>
      <c r="K173" s="253"/>
      <c r="L173" s="253"/>
      <c r="M173" s="253"/>
      <c r="N173" s="253"/>
      <c r="O173" s="253"/>
    </row>
    <row r="174" spans="1:15" s="255" customFormat="1" ht="13.5" thickTop="1">
      <c r="A174" s="253"/>
      <c r="B174" s="104"/>
      <c r="C174" s="72"/>
      <c r="D174" s="72"/>
      <c r="E174" s="72"/>
      <c r="F174" s="72"/>
      <c r="G174" s="567"/>
      <c r="H174" s="571"/>
      <c r="I174" s="253"/>
      <c r="J174" s="253"/>
      <c r="K174" s="253"/>
      <c r="L174" s="253"/>
      <c r="M174" s="253"/>
      <c r="N174" s="253"/>
      <c r="O174" s="253"/>
    </row>
    <row r="175" spans="1:15" s="610" customFormat="1">
      <c r="A175" s="571"/>
      <c r="B175" s="104" t="str">
        <f>B82</f>
        <v xml:space="preserve">  CAF</v>
      </c>
      <c r="C175" s="72"/>
      <c r="D175" s="883">
        <f>D37</f>
        <v>2.5000000000000001E-2</v>
      </c>
      <c r="E175" s="72"/>
      <c r="F175" s="72"/>
      <c r="G175" s="632" t="e">
        <f>G173*(1+D175)</f>
        <v>#REF!</v>
      </c>
      <c r="H175" s="253"/>
      <c r="I175" s="571"/>
      <c r="J175" s="571"/>
      <c r="K175" s="571"/>
      <c r="L175" s="571"/>
      <c r="M175" s="571"/>
      <c r="N175" s="571"/>
      <c r="O175" s="571"/>
    </row>
    <row r="176" spans="1:15" s="255" customFormat="1" ht="13.5" thickBot="1">
      <c r="A176" s="253"/>
      <c r="B176" s="909" t="str">
        <f>B78</f>
        <v>Meals / Food***</v>
      </c>
      <c r="C176" s="933"/>
      <c r="D176" s="877">
        <f>D78</f>
        <v>8.16</v>
      </c>
      <c r="E176" s="933"/>
      <c r="F176" s="933"/>
      <c r="G176" s="940">
        <f>D176*G143</f>
        <v>32762.400000000001</v>
      </c>
      <c r="H176" s="253"/>
      <c r="I176" s="253"/>
      <c r="J176" s="253"/>
      <c r="K176" s="253"/>
      <c r="L176" s="253"/>
      <c r="M176" s="253"/>
      <c r="N176" s="253"/>
      <c r="O176" s="253"/>
    </row>
    <row r="177" spans="1:15" s="255" customFormat="1" ht="13.5" thickTop="1">
      <c r="A177" s="253"/>
      <c r="B177" s="104"/>
      <c r="C177" s="133"/>
      <c r="D177" s="72"/>
      <c r="E177" s="134"/>
      <c r="F177" s="134"/>
      <c r="G177" s="630" t="e">
        <f>SUM(G175:G176)</f>
        <v>#REF!</v>
      </c>
      <c r="H177" s="593" t="e">
        <f>G182/G181</f>
        <v>#REF!</v>
      </c>
      <c r="I177" s="253"/>
      <c r="J177" s="253"/>
      <c r="K177" s="253"/>
      <c r="L177" s="253"/>
      <c r="M177" s="253"/>
      <c r="N177" s="253"/>
      <c r="O177" s="253"/>
    </row>
    <row r="178" spans="1:15" s="255" customFormat="1">
      <c r="A178" s="253"/>
      <c r="B178" s="104"/>
      <c r="C178" s="72"/>
      <c r="D178" s="72"/>
      <c r="E178" s="72"/>
      <c r="F178" s="72"/>
      <c r="G178" s="613"/>
      <c r="H178" s="253"/>
      <c r="I178" s="253"/>
      <c r="J178" s="253"/>
      <c r="K178" s="253"/>
      <c r="L178" s="253"/>
      <c r="M178" s="253"/>
      <c r="N178" s="253"/>
      <c r="O178" s="253"/>
    </row>
    <row r="179" spans="1:15" s="255" customFormat="1" ht="13.5" thickBot="1">
      <c r="A179" s="253"/>
      <c r="B179" s="104"/>
      <c r="C179" s="72"/>
      <c r="D179" s="72"/>
      <c r="E179" s="73"/>
      <c r="F179" s="73"/>
      <c r="G179" s="614"/>
      <c r="H179" s="253"/>
      <c r="I179" s="253"/>
      <c r="J179" s="253"/>
      <c r="K179" s="253"/>
      <c r="L179" s="253"/>
      <c r="M179" s="253"/>
      <c r="N179" s="253"/>
      <c r="O179" s="253"/>
    </row>
    <row r="180" spans="1:15" s="255" customFormat="1" ht="12.6" customHeight="1" thickBot="1">
      <c r="A180" s="253"/>
      <c r="B180" s="584" t="s">
        <v>600</v>
      </c>
      <c r="C180" s="358"/>
      <c r="D180" s="359"/>
      <c r="E180" s="360"/>
      <c r="F180" s="360"/>
      <c r="G180" s="615" t="e">
        <f>G177/G143</f>
        <v>#REF!</v>
      </c>
      <c r="H180" s="253"/>
      <c r="I180" s="253"/>
      <c r="J180" s="253"/>
      <c r="K180" s="253"/>
      <c r="L180" s="253"/>
      <c r="M180" s="253"/>
      <c r="N180" s="253"/>
      <c r="O180" s="253"/>
    </row>
    <row r="181" spans="1:15" s="255" customFormat="1">
      <c r="A181" s="253"/>
      <c r="B181" s="253"/>
      <c r="C181" s="253"/>
      <c r="D181" s="253"/>
      <c r="E181" s="253" t="s">
        <v>783</v>
      </c>
      <c r="F181" s="253"/>
      <c r="G181" s="253">
        <v>220.35</v>
      </c>
      <c r="H181" s="253"/>
      <c r="I181" s="253"/>
      <c r="J181" s="253"/>
      <c r="K181" s="253"/>
      <c r="L181" s="253"/>
      <c r="M181" s="253"/>
      <c r="N181" s="253"/>
      <c r="O181" s="253"/>
    </row>
    <row r="182" spans="1:15" s="255" customFormat="1">
      <c r="A182" s="253"/>
      <c r="B182" s="253"/>
      <c r="C182" s="253"/>
      <c r="D182" s="253"/>
      <c r="E182" s="253"/>
      <c r="F182" s="253"/>
      <c r="G182" s="942" t="e">
        <f>G180-G181</f>
        <v>#REF!</v>
      </c>
      <c r="H182" s="253"/>
      <c r="I182" s="253"/>
      <c r="J182" s="253"/>
      <c r="K182" s="253"/>
      <c r="L182" s="253"/>
      <c r="M182" s="253"/>
      <c r="N182" s="253"/>
      <c r="O182" s="253"/>
    </row>
    <row r="183" spans="1:15" s="255" customFormat="1">
      <c r="A183" s="253"/>
      <c r="B183" s="253"/>
      <c r="C183" s="253"/>
      <c r="D183" s="253"/>
      <c r="E183" s="253"/>
      <c r="F183" s="253"/>
      <c r="G183" s="253"/>
      <c r="H183" s="253"/>
      <c r="I183" s="253"/>
      <c r="J183" s="253"/>
      <c r="K183" s="253"/>
      <c r="L183" s="253"/>
      <c r="M183" s="253"/>
      <c r="N183" s="253"/>
      <c r="O183" s="253"/>
    </row>
    <row r="184" spans="1:15" s="255" customFormat="1">
      <c r="A184" s="253"/>
      <c r="B184" s="253"/>
      <c r="C184" s="253"/>
      <c r="D184" s="253"/>
      <c r="E184" s="253"/>
      <c r="F184" s="253"/>
      <c r="G184" s="253"/>
      <c r="H184" s="253"/>
      <c r="I184" s="253"/>
      <c r="J184" s="253"/>
      <c r="K184" s="253"/>
      <c r="L184" s="253"/>
      <c r="M184" s="253"/>
      <c r="N184" s="253"/>
      <c r="O184" s="253"/>
    </row>
    <row r="185" spans="1:15" s="255" customFormat="1">
      <c r="A185" s="253"/>
      <c r="B185" s="253"/>
      <c r="C185" s="253"/>
      <c r="D185" s="253"/>
      <c r="E185" s="253"/>
      <c r="F185" s="253"/>
      <c r="G185" s="253"/>
      <c r="H185" s="253"/>
      <c r="I185" s="253"/>
      <c r="J185" s="253"/>
      <c r="K185" s="253"/>
      <c r="L185" s="253"/>
      <c r="M185" s="253"/>
      <c r="N185" s="253"/>
      <c r="O185" s="253"/>
    </row>
    <row r="186" spans="1:15" s="255" customFormat="1">
      <c r="A186" s="253"/>
      <c r="B186" s="253"/>
      <c r="C186" s="253"/>
      <c r="D186" s="253"/>
      <c r="E186" s="253"/>
      <c r="F186" s="253"/>
      <c r="G186" s="253"/>
      <c r="H186" s="253"/>
      <c r="I186" s="253"/>
      <c r="J186" s="253"/>
      <c r="K186" s="253"/>
      <c r="L186" s="253"/>
      <c r="M186" s="253"/>
      <c r="N186" s="253"/>
      <c r="O186" s="253"/>
    </row>
    <row r="187" spans="1:15" s="255" customFormat="1">
      <c r="A187" s="253"/>
      <c r="B187" s="253"/>
      <c r="C187" s="253"/>
      <c r="D187" s="253"/>
      <c r="E187" s="253"/>
      <c r="F187" s="253"/>
      <c r="G187" s="253"/>
      <c r="H187" s="253"/>
      <c r="I187" s="253"/>
      <c r="J187" s="253"/>
      <c r="K187" s="253"/>
      <c r="L187" s="253"/>
      <c r="M187" s="253"/>
      <c r="N187" s="253"/>
      <c r="O187" s="253"/>
    </row>
    <row r="188" spans="1:15" s="255" customFormat="1">
      <c r="A188" s="253"/>
      <c r="B188" s="253"/>
      <c r="C188" s="253"/>
      <c r="D188" s="253"/>
      <c r="E188" s="253"/>
      <c r="F188" s="253"/>
      <c r="G188" s="253"/>
      <c r="H188" s="253"/>
      <c r="I188" s="253"/>
      <c r="J188" s="253"/>
      <c r="K188" s="253"/>
      <c r="L188" s="253"/>
      <c r="M188" s="253"/>
      <c r="N188" s="253"/>
      <c r="O188" s="253"/>
    </row>
    <row r="189" spans="1:15" s="255" customFormat="1">
      <c r="A189" s="253"/>
      <c r="B189" s="253"/>
      <c r="C189" s="253"/>
      <c r="D189" s="253"/>
      <c r="E189" s="253"/>
      <c r="F189" s="253"/>
      <c r="G189" s="253"/>
      <c r="H189" s="253"/>
      <c r="I189" s="253"/>
      <c r="J189" s="253"/>
      <c r="K189" s="253"/>
      <c r="L189" s="253"/>
      <c r="M189" s="253"/>
      <c r="N189" s="253"/>
      <c r="O189" s="253"/>
    </row>
    <row r="190" spans="1:15" s="255" customFormat="1">
      <c r="A190" s="253"/>
      <c r="B190" s="253"/>
      <c r="C190" s="253"/>
      <c r="D190" s="253"/>
      <c r="E190" s="253"/>
      <c r="F190" s="253"/>
      <c r="G190" s="253"/>
      <c r="H190" s="253"/>
      <c r="I190" s="253"/>
      <c r="J190" s="253"/>
      <c r="K190" s="253"/>
      <c r="L190" s="253"/>
      <c r="M190" s="253"/>
      <c r="N190" s="253"/>
      <c r="O190" s="253"/>
    </row>
    <row r="191" spans="1:15" s="255" customFormat="1">
      <c r="A191" s="253"/>
      <c r="B191" s="253"/>
      <c r="C191" s="253"/>
      <c r="D191" s="253"/>
      <c r="E191" s="253"/>
      <c r="F191" s="253"/>
      <c r="G191" s="253"/>
      <c r="H191" s="253"/>
      <c r="I191" s="253"/>
      <c r="J191" s="253"/>
      <c r="K191" s="253"/>
      <c r="L191" s="253"/>
      <c r="M191" s="253"/>
      <c r="N191" s="253"/>
      <c r="O191" s="253"/>
    </row>
    <row r="192" spans="1:15" s="255" customFormat="1">
      <c r="A192" s="253"/>
      <c r="B192" s="253"/>
      <c r="C192" s="253"/>
      <c r="D192" s="253"/>
      <c r="E192" s="253"/>
      <c r="F192" s="253"/>
      <c r="G192" s="253"/>
      <c r="H192" s="253"/>
      <c r="I192" s="253"/>
      <c r="J192" s="253"/>
      <c r="K192" s="253"/>
      <c r="L192" s="253"/>
      <c r="M192" s="253"/>
      <c r="N192" s="253"/>
      <c r="O192" s="253"/>
    </row>
    <row r="193" spans="1:15" s="255" customFormat="1">
      <c r="A193" s="253"/>
      <c r="B193" s="253"/>
      <c r="C193" s="253"/>
      <c r="D193" s="253"/>
      <c r="E193" s="253"/>
      <c r="F193" s="253"/>
      <c r="G193" s="253"/>
      <c r="H193" s="253"/>
      <c r="I193" s="253"/>
      <c r="J193" s="253"/>
      <c r="K193" s="253"/>
      <c r="L193" s="253"/>
      <c r="M193" s="253"/>
      <c r="N193" s="253"/>
      <c r="O193" s="253"/>
    </row>
    <row r="194" spans="1:15" s="255" customFormat="1">
      <c r="A194" s="253"/>
      <c r="B194" s="253"/>
      <c r="C194" s="253"/>
      <c r="D194" s="253"/>
      <c r="E194" s="253"/>
      <c r="F194" s="253"/>
      <c r="G194" s="253"/>
      <c r="H194" s="253"/>
      <c r="I194" s="253"/>
      <c r="J194" s="253"/>
      <c r="K194" s="253"/>
      <c r="L194" s="253"/>
      <c r="M194" s="253"/>
      <c r="N194" s="253"/>
      <c r="O194" s="253"/>
    </row>
    <row r="195" spans="1:15" s="255" customFormat="1">
      <c r="A195" s="253"/>
      <c r="B195" s="253"/>
      <c r="C195" s="253"/>
      <c r="D195" s="253"/>
      <c r="E195" s="253"/>
      <c r="F195" s="253"/>
      <c r="G195" s="253"/>
      <c r="H195" s="253"/>
      <c r="I195" s="253"/>
      <c r="J195" s="253"/>
      <c r="K195" s="253"/>
      <c r="L195" s="253"/>
      <c r="M195" s="253"/>
      <c r="N195" s="253"/>
      <c r="O195" s="253"/>
    </row>
    <row r="196" spans="1:15" s="255" customFormat="1">
      <c r="A196" s="253"/>
      <c r="B196" s="253"/>
      <c r="C196" s="253"/>
      <c r="D196" s="253"/>
      <c r="E196" s="253"/>
      <c r="F196" s="253"/>
      <c r="G196" s="253"/>
      <c r="H196" s="253"/>
      <c r="I196" s="253"/>
      <c r="J196" s="253"/>
      <c r="K196" s="253"/>
      <c r="L196" s="253"/>
      <c r="M196" s="253"/>
      <c r="N196" s="253"/>
      <c r="O196" s="253"/>
    </row>
    <row r="197" spans="1:15" s="255" customFormat="1">
      <c r="A197" s="253"/>
      <c r="B197" s="253"/>
      <c r="C197" s="253"/>
      <c r="D197" s="253"/>
      <c r="E197" s="253"/>
      <c r="F197" s="253"/>
      <c r="G197" s="253"/>
      <c r="H197" s="253"/>
      <c r="I197" s="253"/>
      <c r="J197" s="253"/>
      <c r="K197" s="253"/>
      <c r="L197" s="253"/>
      <c r="M197" s="253"/>
      <c r="N197" s="253"/>
      <c r="O197" s="253"/>
    </row>
    <row r="198" spans="1:15" s="255" customFormat="1">
      <c r="A198" s="253"/>
      <c r="B198" s="253"/>
      <c r="C198" s="253"/>
      <c r="D198" s="253"/>
      <c r="E198" s="253"/>
      <c r="F198" s="253"/>
      <c r="G198" s="253"/>
      <c r="H198" s="253"/>
      <c r="I198" s="253"/>
      <c r="J198" s="253"/>
      <c r="K198" s="253"/>
      <c r="L198" s="253"/>
      <c r="M198" s="253"/>
      <c r="N198" s="253"/>
      <c r="O198" s="253"/>
    </row>
    <row r="199" spans="1:15" s="255" customFormat="1">
      <c r="A199" s="253"/>
      <c r="B199" s="253"/>
      <c r="C199" s="253"/>
      <c r="D199" s="253"/>
      <c r="E199" s="253"/>
      <c r="F199" s="253"/>
      <c r="G199" s="253"/>
      <c r="H199" s="253"/>
      <c r="I199" s="253"/>
      <c r="J199" s="253"/>
      <c r="K199" s="253"/>
      <c r="L199" s="253"/>
      <c r="M199" s="253"/>
      <c r="N199" s="253"/>
      <c r="O199" s="253"/>
    </row>
    <row r="200" spans="1:15" s="255" customFormat="1">
      <c r="A200" s="253"/>
      <c r="B200" s="253"/>
      <c r="C200" s="253"/>
      <c r="D200" s="253"/>
      <c r="E200" s="253"/>
      <c r="F200" s="253"/>
      <c r="G200" s="253"/>
      <c r="H200" s="253"/>
      <c r="I200" s="253"/>
      <c r="J200" s="253"/>
      <c r="K200" s="253"/>
      <c r="L200" s="253"/>
      <c r="M200" s="253"/>
      <c r="N200" s="253"/>
      <c r="O200" s="253"/>
    </row>
    <row r="201" spans="1:15" s="255" customFormat="1">
      <c r="A201" s="253"/>
      <c r="B201" s="253"/>
      <c r="C201" s="253"/>
      <c r="D201" s="253"/>
      <c r="E201" s="253"/>
      <c r="F201" s="253"/>
      <c r="G201" s="253"/>
      <c r="H201" s="253"/>
      <c r="I201" s="253"/>
      <c r="J201" s="253"/>
      <c r="K201" s="253"/>
      <c r="L201" s="253"/>
      <c r="M201" s="253"/>
      <c r="N201" s="253"/>
      <c r="O201" s="253"/>
    </row>
    <row r="202" spans="1:15" s="255" customFormat="1">
      <c r="A202" s="253"/>
      <c r="B202" s="253"/>
      <c r="C202" s="253"/>
      <c r="D202" s="253"/>
      <c r="E202" s="253"/>
      <c r="F202" s="253"/>
      <c r="G202" s="253"/>
      <c r="H202" s="253"/>
      <c r="I202" s="253"/>
      <c r="J202" s="253"/>
      <c r="K202" s="253"/>
      <c r="L202" s="253"/>
      <c r="M202" s="253"/>
      <c r="N202" s="253"/>
      <c r="O202" s="253"/>
    </row>
    <row r="203" spans="1:15" s="255" customFormat="1">
      <c r="A203" s="253"/>
      <c r="B203" s="253"/>
      <c r="C203" s="253"/>
      <c r="D203" s="253"/>
      <c r="E203" s="253"/>
      <c r="F203" s="253"/>
      <c r="G203" s="253"/>
      <c r="H203" s="253"/>
      <c r="I203" s="253"/>
      <c r="J203" s="253"/>
      <c r="K203" s="253"/>
      <c r="L203" s="253"/>
      <c r="M203" s="253"/>
      <c r="N203" s="253"/>
      <c r="O203" s="253"/>
    </row>
    <row r="204" spans="1:15" s="255" customFormat="1">
      <c r="A204" s="253"/>
      <c r="B204" s="253"/>
      <c r="C204" s="253"/>
      <c r="D204" s="253"/>
      <c r="E204" s="253"/>
      <c r="F204" s="253"/>
      <c r="G204" s="253"/>
      <c r="H204" s="253"/>
      <c r="I204" s="253"/>
      <c r="J204" s="253"/>
      <c r="K204" s="253"/>
      <c r="L204" s="253"/>
      <c r="M204" s="253"/>
      <c r="N204" s="253"/>
      <c r="O204" s="253"/>
    </row>
    <row r="205" spans="1:15" s="255" customFormat="1">
      <c r="A205" s="253"/>
      <c r="B205" s="253"/>
      <c r="C205" s="253"/>
      <c r="D205" s="253"/>
      <c r="E205" s="253"/>
      <c r="F205" s="253"/>
      <c r="G205" s="253"/>
      <c r="H205" s="253"/>
      <c r="I205" s="253"/>
      <c r="J205" s="253"/>
      <c r="K205" s="253"/>
      <c r="L205" s="253"/>
      <c r="M205" s="253"/>
      <c r="N205" s="253"/>
      <c r="O205" s="253"/>
    </row>
    <row r="206" spans="1:15" s="255" customFormat="1">
      <c r="A206" s="253"/>
      <c r="B206" s="253"/>
      <c r="C206" s="253"/>
      <c r="D206" s="253"/>
      <c r="E206" s="253"/>
      <c r="F206" s="253"/>
      <c r="G206" s="253"/>
      <c r="H206" s="253"/>
      <c r="I206" s="253"/>
      <c r="J206" s="253"/>
      <c r="K206" s="253"/>
      <c r="L206" s="253"/>
      <c r="M206" s="253"/>
      <c r="N206" s="253"/>
      <c r="O206" s="253"/>
    </row>
    <row r="207" spans="1:15" s="255" customFormat="1">
      <c r="A207" s="253"/>
      <c r="B207" s="253"/>
      <c r="C207" s="253"/>
      <c r="D207" s="253"/>
      <c r="E207" s="253"/>
      <c r="F207" s="253"/>
      <c r="G207" s="253"/>
      <c r="H207" s="253"/>
      <c r="I207" s="253"/>
      <c r="J207" s="253"/>
      <c r="K207" s="253"/>
      <c r="L207" s="253"/>
      <c r="M207" s="253"/>
      <c r="N207" s="253"/>
      <c r="O207" s="253"/>
    </row>
    <row r="208" spans="1:15" s="255" customFormat="1">
      <c r="A208" s="253"/>
      <c r="B208" s="253"/>
      <c r="C208" s="253"/>
      <c r="D208" s="253"/>
      <c r="E208" s="253"/>
      <c r="F208" s="253"/>
      <c r="G208" s="253"/>
      <c r="H208" s="253"/>
      <c r="I208" s="253"/>
      <c r="J208" s="253"/>
      <c r="K208" s="253"/>
      <c r="L208" s="253"/>
      <c r="M208" s="253"/>
      <c r="N208" s="253"/>
      <c r="O208" s="253"/>
    </row>
    <row r="209" spans="1:15" s="255" customFormat="1">
      <c r="A209" s="253"/>
      <c r="B209" s="253"/>
      <c r="C209" s="253"/>
      <c r="D209" s="253"/>
      <c r="E209" s="253"/>
      <c r="F209" s="253"/>
      <c r="G209" s="253"/>
      <c r="H209" s="253"/>
      <c r="I209" s="253"/>
      <c r="J209" s="253"/>
      <c r="K209" s="253"/>
      <c r="L209" s="253"/>
      <c r="M209" s="253"/>
      <c r="N209" s="253"/>
      <c r="O209" s="253"/>
    </row>
    <row r="210" spans="1:15" s="255" customFormat="1">
      <c r="A210" s="253"/>
      <c r="B210" s="253"/>
      <c r="C210" s="253"/>
      <c r="D210" s="253"/>
      <c r="E210" s="253"/>
      <c r="F210" s="253"/>
      <c r="G210" s="253"/>
      <c r="H210" s="253"/>
      <c r="I210" s="253"/>
      <c r="J210" s="253"/>
      <c r="K210" s="253"/>
      <c r="L210" s="253"/>
      <c r="M210" s="253"/>
      <c r="N210" s="253"/>
      <c r="O210" s="253"/>
    </row>
    <row r="211" spans="1:15" s="255" customFormat="1">
      <c r="A211" s="253"/>
      <c r="B211" s="253"/>
      <c r="C211" s="253"/>
      <c r="D211" s="253"/>
      <c r="E211" s="253"/>
      <c r="F211" s="253"/>
      <c r="G211" s="253"/>
      <c r="H211" s="253"/>
      <c r="I211" s="253"/>
      <c r="J211" s="253"/>
      <c r="K211" s="253"/>
      <c r="L211" s="253"/>
      <c r="M211" s="253"/>
      <c r="N211" s="253"/>
      <c r="O211" s="253"/>
    </row>
    <row r="212" spans="1:15" s="255" customFormat="1">
      <c r="A212" s="253"/>
      <c r="B212" s="253"/>
      <c r="C212" s="253"/>
      <c r="D212" s="253"/>
      <c r="E212" s="253"/>
      <c r="F212" s="253"/>
      <c r="G212" s="253"/>
      <c r="H212" s="253"/>
      <c r="I212" s="253"/>
      <c r="J212" s="253"/>
      <c r="K212" s="253"/>
      <c r="L212" s="253"/>
      <c r="M212" s="253"/>
      <c r="N212" s="253"/>
      <c r="O212" s="253"/>
    </row>
    <row r="213" spans="1:15" s="255" customFormat="1">
      <c r="A213" s="253"/>
      <c r="B213" s="253"/>
      <c r="C213" s="253"/>
      <c r="D213" s="253"/>
      <c r="E213" s="253"/>
      <c r="F213" s="253"/>
      <c r="G213" s="253"/>
      <c r="H213" s="253"/>
      <c r="I213" s="253"/>
      <c r="J213" s="253"/>
      <c r="K213" s="253"/>
      <c r="L213" s="253"/>
      <c r="M213" s="253"/>
      <c r="N213" s="253"/>
      <c r="O213" s="253"/>
    </row>
    <row r="214" spans="1:15" s="255" customFormat="1">
      <c r="A214" s="253"/>
      <c r="B214" s="253"/>
      <c r="C214" s="253"/>
      <c r="D214" s="253"/>
      <c r="E214" s="253"/>
      <c r="F214" s="253"/>
      <c r="G214" s="253"/>
      <c r="H214" s="253"/>
      <c r="I214" s="253"/>
      <c r="J214" s="253"/>
      <c r="K214" s="253"/>
      <c r="L214" s="253"/>
      <c r="M214" s="253"/>
      <c r="N214" s="253"/>
      <c r="O214" s="253"/>
    </row>
    <row r="215" spans="1:15" s="255" customFormat="1">
      <c r="A215" s="253"/>
      <c r="B215" s="253"/>
      <c r="C215" s="253"/>
      <c r="D215" s="253"/>
      <c r="E215" s="253"/>
      <c r="F215" s="253"/>
      <c r="G215" s="253"/>
      <c r="H215" s="253"/>
      <c r="I215" s="253"/>
      <c r="J215" s="253"/>
      <c r="K215" s="253"/>
      <c r="L215" s="253"/>
      <c r="M215" s="253"/>
      <c r="N215" s="253"/>
      <c r="O215" s="253"/>
    </row>
    <row r="216" spans="1:15" s="255" customFormat="1">
      <c r="A216" s="253"/>
      <c r="B216" s="253"/>
      <c r="C216" s="253"/>
      <c r="D216" s="253"/>
      <c r="E216" s="253"/>
      <c r="F216" s="253"/>
      <c r="G216" s="253"/>
      <c r="H216" s="253"/>
      <c r="I216" s="253"/>
      <c r="J216" s="253"/>
      <c r="K216" s="253"/>
      <c r="L216" s="253"/>
      <c r="M216" s="253"/>
      <c r="N216" s="253"/>
      <c r="O216" s="253"/>
    </row>
    <row r="217" spans="1:15" s="255" customFormat="1">
      <c r="A217" s="253"/>
      <c r="B217" s="253"/>
      <c r="C217" s="253"/>
      <c r="D217" s="253"/>
      <c r="E217" s="253"/>
      <c r="F217" s="253"/>
      <c r="G217" s="253"/>
      <c r="H217" s="253"/>
      <c r="I217" s="253"/>
      <c r="J217" s="253"/>
      <c r="K217" s="253"/>
      <c r="L217" s="253"/>
      <c r="M217" s="253"/>
      <c r="N217" s="253"/>
      <c r="O217" s="253"/>
    </row>
    <row r="218" spans="1:15" s="255" customFormat="1">
      <c r="A218" s="253"/>
      <c r="B218" s="253"/>
      <c r="C218" s="253"/>
      <c r="D218" s="253"/>
      <c r="E218" s="253"/>
      <c r="F218" s="253"/>
      <c r="G218" s="253"/>
      <c r="H218" s="253"/>
      <c r="I218" s="253"/>
      <c r="J218" s="253"/>
      <c r="K218" s="253"/>
      <c r="L218" s="253"/>
      <c r="M218" s="253"/>
      <c r="N218" s="253"/>
      <c r="O218" s="253"/>
    </row>
    <row r="219" spans="1:15" s="255" customFormat="1">
      <c r="A219" s="253"/>
      <c r="B219" s="253"/>
      <c r="C219" s="253"/>
      <c r="D219" s="253"/>
      <c r="E219" s="253"/>
      <c r="F219" s="253"/>
      <c r="G219" s="253"/>
      <c r="H219" s="253"/>
      <c r="I219" s="253"/>
      <c r="J219" s="253"/>
      <c r="K219" s="253"/>
      <c r="L219" s="253"/>
      <c r="M219" s="253"/>
      <c r="N219" s="253"/>
      <c r="O219" s="253"/>
    </row>
    <row r="220" spans="1:15" s="255" customFormat="1">
      <c r="A220" s="253"/>
      <c r="B220" s="253"/>
      <c r="C220" s="253"/>
      <c r="D220" s="253"/>
      <c r="E220" s="253"/>
      <c r="F220" s="253"/>
      <c r="G220" s="253"/>
      <c r="H220" s="253"/>
      <c r="I220" s="253"/>
      <c r="J220" s="253"/>
      <c r="K220" s="253"/>
      <c r="L220" s="253"/>
      <c r="M220" s="253"/>
      <c r="N220" s="253"/>
      <c r="O220" s="253"/>
    </row>
    <row r="221" spans="1:15" s="255" customFormat="1">
      <c r="A221" s="253"/>
      <c r="B221" s="253"/>
      <c r="C221" s="253"/>
      <c r="D221" s="253"/>
      <c r="E221" s="253"/>
      <c r="F221" s="253"/>
      <c r="G221" s="253"/>
      <c r="H221" s="253"/>
      <c r="I221" s="253"/>
      <c r="J221" s="253"/>
      <c r="K221" s="253"/>
      <c r="L221" s="253"/>
      <c r="M221" s="253"/>
      <c r="N221" s="253"/>
      <c r="O221" s="253"/>
    </row>
    <row r="222" spans="1:15" s="255" customFormat="1">
      <c r="A222" s="253"/>
      <c r="B222" s="253"/>
      <c r="C222" s="253"/>
      <c r="D222" s="253"/>
      <c r="E222" s="253"/>
      <c r="F222" s="253"/>
      <c r="G222" s="253"/>
      <c r="H222" s="253"/>
      <c r="I222" s="253"/>
      <c r="J222" s="253"/>
      <c r="K222" s="253"/>
      <c r="L222" s="253"/>
      <c r="M222" s="253"/>
      <c r="N222" s="253"/>
      <c r="O222" s="253"/>
    </row>
    <row r="223" spans="1:15" s="255" customFormat="1">
      <c r="A223" s="253"/>
      <c r="B223" s="253"/>
      <c r="C223" s="253"/>
      <c r="D223" s="253"/>
      <c r="E223" s="253"/>
      <c r="F223" s="253"/>
      <c r="G223" s="253"/>
      <c r="H223" s="253"/>
      <c r="I223" s="253"/>
      <c r="J223" s="253"/>
      <c r="K223" s="253"/>
      <c r="L223" s="253"/>
      <c r="M223" s="253"/>
      <c r="N223" s="253"/>
      <c r="O223" s="253"/>
    </row>
    <row r="224" spans="1:15" s="255" customFormat="1">
      <c r="A224" s="253"/>
      <c r="B224" s="253"/>
      <c r="C224" s="253"/>
      <c r="D224" s="253"/>
      <c r="E224" s="253"/>
      <c r="F224" s="253"/>
      <c r="G224" s="253"/>
      <c r="H224" s="253"/>
      <c r="I224" s="253"/>
      <c r="J224" s="253"/>
      <c r="K224" s="253"/>
      <c r="L224" s="253"/>
      <c r="M224" s="253"/>
      <c r="N224" s="253"/>
      <c r="O224" s="253"/>
    </row>
    <row r="225" spans="1:15" s="255" customFormat="1">
      <c r="A225" s="253"/>
      <c r="B225" s="253"/>
      <c r="C225" s="253"/>
      <c r="D225" s="253"/>
      <c r="E225" s="253"/>
      <c r="F225" s="253"/>
      <c r="G225" s="253"/>
      <c r="H225" s="253"/>
      <c r="I225" s="253"/>
      <c r="J225" s="253"/>
      <c r="K225" s="253"/>
      <c r="L225" s="253"/>
      <c r="M225" s="253"/>
      <c r="N225" s="253"/>
      <c r="O225" s="253"/>
    </row>
    <row r="226" spans="1:15" s="255" customFormat="1">
      <c r="A226" s="253"/>
      <c r="B226" s="253"/>
      <c r="C226" s="253"/>
      <c r="D226" s="253"/>
      <c r="E226" s="253"/>
      <c r="F226" s="253"/>
      <c r="G226" s="253"/>
      <c r="H226" s="253"/>
      <c r="I226" s="253"/>
      <c r="J226" s="253"/>
      <c r="K226" s="253"/>
      <c r="L226" s="253"/>
      <c r="M226" s="253"/>
      <c r="N226" s="253"/>
      <c r="O226" s="253"/>
    </row>
    <row r="227" spans="1:15" s="255" customFormat="1">
      <c r="A227" s="253"/>
      <c r="B227" s="253"/>
      <c r="C227" s="253"/>
      <c r="D227" s="253"/>
      <c r="E227" s="253"/>
      <c r="F227" s="253"/>
      <c r="G227" s="253"/>
      <c r="H227" s="253"/>
      <c r="I227" s="253"/>
      <c r="J227" s="253"/>
      <c r="K227" s="253"/>
      <c r="L227" s="253"/>
      <c r="M227" s="253"/>
      <c r="N227" s="253"/>
      <c r="O227" s="253"/>
    </row>
    <row r="228" spans="1:15" s="255" customFormat="1">
      <c r="A228" s="253"/>
      <c r="B228" s="253"/>
      <c r="C228" s="253"/>
      <c r="D228" s="253"/>
      <c r="E228" s="253"/>
      <c r="F228" s="253"/>
      <c r="G228" s="253"/>
      <c r="H228" s="253"/>
      <c r="I228" s="253"/>
      <c r="J228" s="253"/>
      <c r="K228" s="253"/>
      <c r="L228" s="253"/>
      <c r="M228" s="253"/>
      <c r="N228" s="253"/>
      <c r="O228" s="253"/>
    </row>
    <row r="229" spans="1:15" s="255" customFormat="1">
      <c r="A229" s="253"/>
      <c r="B229" s="253"/>
      <c r="C229" s="253"/>
      <c r="D229" s="253"/>
      <c r="E229" s="253"/>
      <c r="F229" s="253"/>
      <c r="G229" s="253"/>
      <c r="H229" s="253"/>
      <c r="I229" s="253"/>
      <c r="J229" s="253"/>
      <c r="K229" s="253"/>
      <c r="L229" s="253"/>
      <c r="M229" s="253"/>
      <c r="N229" s="253"/>
      <c r="O229" s="253"/>
    </row>
    <row r="230" spans="1:15" s="255" customFormat="1">
      <c r="A230" s="253"/>
      <c r="B230" s="253"/>
      <c r="C230" s="253"/>
      <c r="D230" s="253"/>
      <c r="E230" s="253"/>
      <c r="F230" s="253"/>
      <c r="G230" s="253"/>
      <c r="H230" s="253"/>
      <c r="I230" s="253"/>
      <c r="J230" s="253"/>
      <c r="K230" s="253"/>
      <c r="L230" s="253"/>
      <c r="M230" s="253"/>
      <c r="N230" s="253"/>
      <c r="O230" s="253"/>
    </row>
    <row r="231" spans="1:15" s="255" customFormat="1">
      <c r="A231" s="253"/>
      <c r="B231" s="253"/>
      <c r="C231" s="253"/>
      <c r="D231" s="253"/>
      <c r="E231" s="253"/>
      <c r="F231" s="253"/>
      <c r="G231" s="253"/>
      <c r="H231" s="253"/>
      <c r="I231" s="253"/>
      <c r="J231" s="253"/>
      <c r="K231" s="253"/>
      <c r="L231" s="253"/>
      <c r="M231" s="253"/>
      <c r="N231" s="253"/>
      <c r="O231" s="253"/>
    </row>
    <row r="232" spans="1:15" s="255" customFormat="1">
      <c r="A232" s="253"/>
      <c r="B232" s="253"/>
      <c r="C232" s="253"/>
      <c r="D232" s="253"/>
      <c r="E232" s="253"/>
      <c r="F232" s="253"/>
      <c r="G232" s="253"/>
      <c r="H232" s="253"/>
      <c r="I232" s="253"/>
      <c r="J232" s="253"/>
      <c r="K232" s="253"/>
      <c r="L232" s="253"/>
      <c r="M232" s="253"/>
      <c r="N232" s="253"/>
      <c r="O232" s="253"/>
    </row>
    <row r="233" spans="1:15" s="255" customFormat="1">
      <c r="A233" s="253"/>
      <c r="B233" s="253"/>
      <c r="C233" s="253"/>
      <c r="D233" s="253"/>
      <c r="E233" s="253"/>
      <c r="F233" s="253"/>
      <c r="G233" s="253"/>
      <c r="H233" s="253"/>
      <c r="I233" s="253"/>
      <c r="J233" s="253"/>
      <c r="K233" s="253"/>
      <c r="L233" s="253"/>
      <c r="M233" s="253"/>
      <c r="N233" s="253"/>
      <c r="O233" s="253"/>
    </row>
    <row r="234" spans="1:15" s="255" customFormat="1">
      <c r="A234" s="253"/>
      <c r="B234" s="253"/>
      <c r="C234" s="253"/>
      <c r="D234" s="253"/>
      <c r="E234" s="253"/>
      <c r="F234" s="253"/>
      <c r="G234" s="253"/>
      <c r="H234" s="253"/>
      <c r="I234" s="253"/>
      <c r="J234" s="253"/>
      <c r="K234" s="253"/>
      <c r="L234" s="253"/>
      <c r="M234" s="253"/>
      <c r="N234" s="253"/>
      <c r="O234" s="253"/>
    </row>
    <row r="235" spans="1:15" s="255" customFormat="1">
      <c r="A235" s="253"/>
      <c r="B235" s="253"/>
      <c r="C235" s="253"/>
      <c r="D235" s="253"/>
      <c r="E235" s="253"/>
      <c r="F235" s="253"/>
      <c r="G235" s="253"/>
      <c r="H235" s="253"/>
      <c r="I235" s="253"/>
      <c r="J235" s="253"/>
      <c r="K235" s="253"/>
      <c r="L235" s="253"/>
      <c r="M235" s="253"/>
      <c r="N235" s="253"/>
      <c r="O235" s="253"/>
    </row>
    <row r="236" spans="1:15" s="255" customFormat="1">
      <c r="A236" s="253"/>
      <c r="B236" s="253"/>
      <c r="C236" s="253"/>
      <c r="D236" s="253"/>
      <c r="E236" s="253"/>
      <c r="F236" s="253"/>
      <c r="G236" s="253"/>
      <c r="H236" s="253"/>
      <c r="I236" s="253"/>
      <c r="J236" s="253"/>
      <c r="K236" s="253"/>
      <c r="L236" s="253"/>
      <c r="M236" s="253"/>
      <c r="N236" s="253"/>
      <c r="O236" s="253"/>
    </row>
    <row r="237" spans="1:15" s="255" customFormat="1">
      <c r="A237" s="253"/>
      <c r="B237" s="253"/>
      <c r="C237" s="253"/>
      <c r="D237" s="253"/>
      <c r="E237" s="253"/>
      <c r="F237" s="253"/>
      <c r="G237" s="253"/>
      <c r="H237" s="253"/>
      <c r="I237" s="253"/>
      <c r="J237" s="253"/>
      <c r="K237" s="253"/>
      <c r="L237" s="253"/>
      <c r="M237" s="253"/>
      <c r="N237" s="253"/>
      <c r="O237" s="253"/>
    </row>
    <row r="238" spans="1:15" s="255" customFormat="1">
      <c r="A238" s="253"/>
      <c r="B238" s="253"/>
      <c r="C238" s="253"/>
      <c r="D238" s="253"/>
      <c r="E238" s="253"/>
      <c r="F238" s="253"/>
      <c r="G238" s="253"/>
      <c r="H238" s="253"/>
      <c r="I238" s="253"/>
      <c r="J238" s="253"/>
      <c r="K238" s="253"/>
      <c r="L238" s="253"/>
      <c r="M238" s="253"/>
      <c r="N238" s="253"/>
      <c r="O238" s="253"/>
    </row>
    <row r="239" spans="1:15" s="255" customFormat="1">
      <c r="A239" s="253"/>
      <c r="B239" s="253"/>
      <c r="C239" s="253"/>
      <c r="D239" s="253"/>
      <c r="E239" s="253"/>
      <c r="F239" s="253"/>
      <c r="G239" s="253"/>
      <c r="H239" s="253"/>
      <c r="I239" s="253"/>
      <c r="J239" s="253"/>
      <c r="K239" s="253"/>
      <c r="L239" s="253"/>
      <c r="M239" s="253"/>
      <c r="N239" s="253"/>
      <c r="O239" s="253"/>
    </row>
    <row r="240" spans="1:15" s="255" customFormat="1">
      <c r="A240" s="253"/>
      <c r="B240" s="253"/>
      <c r="C240" s="253"/>
      <c r="D240" s="253"/>
      <c r="E240" s="253"/>
      <c r="F240" s="253"/>
      <c r="G240" s="253"/>
      <c r="H240" s="253"/>
      <c r="I240" s="253"/>
      <c r="J240" s="253"/>
      <c r="K240" s="253"/>
      <c r="L240" s="253"/>
      <c r="M240" s="253"/>
      <c r="N240" s="253"/>
      <c r="O240" s="253"/>
    </row>
    <row r="241" spans="1:15" s="255" customFormat="1">
      <c r="A241" s="253"/>
      <c r="B241" s="253"/>
      <c r="C241" s="253"/>
      <c r="D241" s="253"/>
      <c r="E241" s="253"/>
      <c r="F241" s="253"/>
      <c r="G241" s="253"/>
      <c r="H241" s="253"/>
      <c r="I241" s="253"/>
      <c r="J241" s="253"/>
      <c r="K241" s="253"/>
      <c r="L241" s="253"/>
      <c r="M241" s="253"/>
      <c r="N241" s="253"/>
      <c r="O241" s="253"/>
    </row>
    <row r="242" spans="1:15" s="255" customFormat="1">
      <c r="A242" s="253"/>
      <c r="B242" s="253"/>
      <c r="C242" s="253"/>
      <c r="D242" s="253"/>
      <c r="E242" s="253"/>
      <c r="F242" s="253"/>
      <c r="G242" s="253"/>
      <c r="H242" s="253"/>
      <c r="I242" s="253"/>
      <c r="J242" s="253"/>
      <c r="K242" s="253"/>
      <c r="L242" s="253"/>
      <c r="M242" s="253"/>
      <c r="N242" s="253"/>
      <c r="O242" s="253"/>
    </row>
    <row r="243" spans="1:15" s="255" customFormat="1">
      <c r="A243" s="253"/>
      <c r="B243" s="253"/>
      <c r="C243" s="253"/>
      <c r="D243" s="253"/>
      <c r="E243" s="253"/>
      <c r="F243" s="253"/>
      <c r="G243" s="253"/>
      <c r="H243" s="253"/>
      <c r="I243" s="253"/>
      <c r="J243" s="253"/>
      <c r="K243" s="253"/>
      <c r="L243" s="253"/>
      <c r="M243" s="253"/>
      <c r="N243" s="253"/>
      <c r="O243" s="253"/>
    </row>
    <row r="244" spans="1:15" s="255" customFormat="1">
      <c r="A244" s="253"/>
      <c r="B244" s="253"/>
      <c r="C244" s="253"/>
      <c r="D244" s="253"/>
      <c r="E244" s="253"/>
      <c r="F244" s="253"/>
      <c r="G244" s="253"/>
      <c r="H244" s="253"/>
      <c r="I244" s="253"/>
      <c r="J244" s="253"/>
      <c r="K244" s="253"/>
      <c r="L244" s="253"/>
      <c r="M244" s="253"/>
      <c r="N244" s="253"/>
      <c r="O244" s="253"/>
    </row>
    <row r="245" spans="1:15" s="255" customFormat="1">
      <c r="A245" s="253"/>
      <c r="B245" s="253"/>
      <c r="C245" s="253"/>
      <c r="D245" s="253"/>
      <c r="E245" s="253"/>
      <c r="F245" s="253"/>
      <c r="G245" s="253"/>
      <c r="H245" s="253"/>
      <c r="I245" s="253"/>
      <c r="J245" s="253"/>
      <c r="K245" s="253"/>
      <c r="L245" s="253"/>
      <c r="M245" s="253"/>
      <c r="N245" s="253"/>
      <c r="O245" s="253"/>
    </row>
    <row r="246" spans="1:15" s="255" customFormat="1">
      <c r="A246" s="253"/>
      <c r="B246" s="253"/>
      <c r="C246" s="253"/>
      <c r="D246" s="253"/>
      <c r="E246" s="253"/>
      <c r="F246" s="253"/>
      <c r="G246" s="253"/>
      <c r="H246" s="253"/>
      <c r="I246" s="253"/>
      <c r="J246" s="253"/>
      <c r="K246" s="253"/>
      <c r="L246" s="253"/>
      <c r="M246" s="253"/>
      <c r="N246" s="253"/>
      <c r="O246" s="253"/>
    </row>
    <row r="247" spans="1:15" s="255" customFormat="1">
      <c r="A247" s="253"/>
      <c r="B247" s="253"/>
      <c r="C247" s="253"/>
      <c r="D247" s="253"/>
      <c r="E247" s="253"/>
      <c r="F247" s="253"/>
      <c r="G247" s="253"/>
      <c r="H247" s="253"/>
      <c r="I247" s="253"/>
      <c r="J247" s="253"/>
      <c r="K247" s="253"/>
      <c r="L247" s="253"/>
      <c r="M247" s="253"/>
      <c r="N247" s="253"/>
      <c r="O247" s="253"/>
    </row>
    <row r="248" spans="1:15" s="255" customFormat="1">
      <c r="A248" s="253"/>
      <c r="B248" s="253"/>
      <c r="C248" s="253"/>
      <c r="D248" s="253"/>
      <c r="E248" s="253"/>
      <c r="F248" s="253"/>
      <c r="G248" s="253"/>
      <c r="H248" s="253"/>
      <c r="I248" s="253"/>
      <c r="J248" s="253"/>
      <c r="K248" s="253"/>
      <c r="L248" s="253"/>
      <c r="M248" s="253"/>
      <c r="N248" s="253"/>
      <c r="O248" s="253"/>
    </row>
    <row r="249" spans="1:15" s="255" customFormat="1">
      <c r="A249" s="253"/>
      <c r="B249" s="253"/>
      <c r="C249" s="253"/>
      <c r="D249" s="253"/>
      <c r="E249" s="253"/>
      <c r="F249" s="253"/>
      <c r="G249" s="253"/>
      <c r="H249" s="253"/>
      <c r="I249" s="253"/>
      <c r="J249" s="253"/>
      <c r="K249" s="253"/>
      <c r="L249" s="253"/>
      <c r="M249" s="253"/>
      <c r="N249" s="253"/>
      <c r="O249" s="253"/>
    </row>
    <row r="250" spans="1:15" s="255" customFormat="1">
      <c r="A250" s="253"/>
      <c r="B250" s="253"/>
      <c r="C250" s="253"/>
      <c r="D250" s="253"/>
      <c r="E250" s="253"/>
      <c r="F250" s="253"/>
      <c r="G250" s="253"/>
      <c r="H250" s="253"/>
      <c r="I250" s="253"/>
      <c r="J250" s="253"/>
      <c r="K250" s="253"/>
      <c r="L250" s="253"/>
      <c r="M250" s="253"/>
      <c r="N250" s="253"/>
      <c r="O250" s="253"/>
    </row>
    <row r="251" spans="1:15" s="255" customFormat="1">
      <c r="A251" s="253"/>
      <c r="B251" s="253"/>
      <c r="C251" s="253"/>
      <c r="D251" s="253"/>
      <c r="E251" s="253"/>
      <c r="F251" s="253"/>
      <c r="G251" s="253"/>
      <c r="H251" s="253"/>
      <c r="I251" s="253"/>
      <c r="J251" s="253"/>
      <c r="K251" s="253"/>
      <c r="L251" s="253"/>
      <c r="M251" s="253"/>
      <c r="N251" s="253"/>
      <c r="O251" s="253"/>
    </row>
    <row r="252" spans="1:15" s="255" customFormat="1">
      <c r="A252" s="253"/>
      <c r="B252" s="253"/>
      <c r="C252" s="253"/>
      <c r="D252" s="253"/>
      <c r="E252" s="253"/>
      <c r="F252" s="253"/>
      <c r="G252" s="253"/>
      <c r="H252" s="253"/>
      <c r="I252" s="253"/>
      <c r="J252" s="253"/>
      <c r="K252" s="253"/>
      <c r="L252" s="253"/>
      <c r="M252" s="253"/>
      <c r="N252" s="253"/>
      <c r="O252" s="253"/>
    </row>
    <row r="253" spans="1:15" s="255" customFormat="1">
      <c r="A253" s="253"/>
      <c r="B253" s="253"/>
      <c r="C253" s="253"/>
      <c r="D253" s="253"/>
      <c r="E253" s="253"/>
      <c r="F253" s="253"/>
      <c r="G253" s="253"/>
      <c r="H253" s="253"/>
      <c r="I253" s="253"/>
      <c r="J253" s="253"/>
      <c r="K253" s="253"/>
      <c r="L253" s="253"/>
      <c r="M253" s="253"/>
      <c r="N253" s="253"/>
      <c r="O253" s="253"/>
    </row>
    <row r="254" spans="1:15" s="255" customFormat="1">
      <c r="A254" s="253"/>
      <c r="B254" s="253"/>
      <c r="C254" s="253"/>
      <c r="D254" s="253"/>
      <c r="E254" s="253"/>
      <c r="F254" s="253"/>
      <c r="G254" s="253"/>
      <c r="H254" s="253"/>
      <c r="I254" s="253"/>
      <c r="J254" s="253"/>
      <c r="K254" s="253"/>
      <c r="L254" s="253"/>
      <c r="M254" s="253"/>
      <c r="N254" s="253"/>
      <c r="O254" s="253"/>
    </row>
    <row r="255" spans="1:15" s="255" customFormat="1">
      <c r="A255" s="253"/>
      <c r="B255" s="253"/>
      <c r="C255" s="253"/>
      <c r="D255" s="253"/>
      <c r="E255" s="253"/>
      <c r="F255" s="253"/>
      <c r="G255" s="253"/>
      <c r="H255" s="253"/>
      <c r="I255" s="253"/>
      <c r="J255" s="253"/>
      <c r="K255" s="253"/>
      <c r="L255" s="253"/>
      <c r="M255" s="253"/>
      <c r="N255" s="253"/>
      <c r="O255" s="253"/>
    </row>
    <row r="256" spans="1:15" s="255" customFormat="1">
      <c r="A256" s="253"/>
      <c r="B256" s="253"/>
      <c r="C256" s="253"/>
      <c r="D256" s="253"/>
      <c r="E256" s="253"/>
      <c r="F256" s="253"/>
      <c r="G256" s="253"/>
      <c r="H256" s="253"/>
      <c r="I256" s="253"/>
      <c r="J256" s="253"/>
      <c r="K256" s="253"/>
      <c r="L256" s="253"/>
      <c r="M256" s="253"/>
      <c r="N256" s="253"/>
      <c r="O256" s="253"/>
    </row>
    <row r="257" spans="1:15" s="255" customFormat="1">
      <c r="A257" s="253"/>
      <c r="B257" s="253"/>
      <c r="C257" s="253"/>
      <c r="D257" s="253"/>
      <c r="E257" s="253"/>
      <c r="F257" s="253"/>
      <c r="G257" s="253"/>
      <c r="H257" s="253"/>
      <c r="I257" s="253"/>
      <c r="J257" s="253"/>
      <c r="K257" s="253"/>
      <c r="L257" s="253"/>
      <c r="M257" s="253"/>
      <c r="N257" s="253"/>
      <c r="O257" s="253"/>
    </row>
    <row r="258" spans="1:15" s="255" customFormat="1">
      <c r="A258" s="253"/>
      <c r="B258" s="253"/>
      <c r="C258" s="253"/>
      <c r="D258" s="253"/>
      <c r="E258" s="253"/>
      <c r="F258" s="253"/>
      <c r="G258" s="253"/>
      <c r="H258" s="253"/>
      <c r="I258" s="253"/>
      <c r="J258" s="253"/>
      <c r="K258" s="253"/>
      <c r="L258" s="253"/>
      <c r="M258" s="253"/>
      <c r="N258" s="253"/>
      <c r="O258" s="253"/>
    </row>
    <row r="259" spans="1:15" s="255" customFormat="1">
      <c r="A259" s="253"/>
      <c r="B259" s="253"/>
      <c r="C259" s="253"/>
      <c r="D259" s="253"/>
      <c r="E259" s="253"/>
      <c r="F259" s="253"/>
      <c r="G259" s="253"/>
      <c r="H259" s="253"/>
      <c r="I259" s="253"/>
      <c r="J259" s="253"/>
      <c r="K259" s="253"/>
      <c r="L259" s="253"/>
      <c r="M259" s="253"/>
      <c r="N259" s="253"/>
      <c r="O259" s="253"/>
    </row>
    <row r="260" spans="1:15" s="255" customFormat="1">
      <c r="A260" s="253"/>
      <c r="B260" s="253"/>
      <c r="C260" s="253"/>
      <c r="D260" s="253"/>
      <c r="E260" s="253"/>
      <c r="F260" s="253"/>
      <c r="G260" s="253"/>
      <c r="H260" s="253"/>
      <c r="I260" s="253"/>
      <c r="J260" s="253"/>
      <c r="K260" s="253"/>
      <c r="L260" s="253"/>
      <c r="M260" s="253"/>
      <c r="N260" s="253"/>
      <c r="O260" s="253"/>
    </row>
    <row r="261" spans="1:15" s="255" customFormat="1">
      <c r="A261" s="253"/>
      <c r="B261" s="253"/>
      <c r="C261" s="253"/>
      <c r="D261" s="253"/>
      <c r="E261" s="253"/>
      <c r="F261" s="253"/>
      <c r="G261" s="253"/>
      <c r="H261" s="253"/>
      <c r="I261" s="253"/>
      <c r="J261" s="253"/>
      <c r="K261" s="253"/>
      <c r="L261" s="253"/>
      <c r="M261" s="253"/>
      <c r="N261" s="253"/>
      <c r="O261" s="253"/>
    </row>
    <row r="262" spans="1:15" s="255" customFormat="1">
      <c r="A262" s="253"/>
      <c r="B262" s="253"/>
      <c r="C262" s="253"/>
      <c r="D262" s="253"/>
      <c r="E262" s="253"/>
      <c r="F262" s="253"/>
      <c r="G262" s="253"/>
      <c r="H262" s="253"/>
      <c r="I262" s="253"/>
      <c r="J262" s="253"/>
      <c r="K262" s="253"/>
      <c r="L262" s="253"/>
      <c r="M262" s="253"/>
      <c r="N262" s="253"/>
      <c r="O262" s="253"/>
    </row>
    <row r="263" spans="1:15" s="255" customFormat="1">
      <c r="A263" s="253"/>
      <c r="B263" s="253"/>
      <c r="C263" s="253"/>
      <c r="D263" s="253"/>
      <c r="E263" s="253"/>
      <c r="F263" s="253"/>
      <c r="G263" s="253"/>
      <c r="H263" s="253"/>
      <c r="I263" s="253"/>
      <c r="J263" s="253"/>
      <c r="K263" s="253"/>
      <c r="L263" s="253"/>
      <c r="M263" s="253"/>
      <c r="N263" s="253"/>
      <c r="O263" s="253"/>
    </row>
    <row r="264" spans="1:15" s="255" customFormat="1">
      <c r="A264" s="253"/>
      <c r="B264" s="253"/>
      <c r="C264" s="253"/>
      <c r="D264" s="253"/>
      <c r="E264" s="253"/>
      <c r="F264" s="253"/>
      <c r="G264" s="253"/>
      <c r="H264" s="253"/>
      <c r="I264" s="253"/>
      <c r="J264" s="253"/>
      <c r="K264" s="253"/>
      <c r="L264" s="253"/>
      <c r="M264" s="253"/>
      <c r="N264" s="253"/>
      <c r="O264" s="253"/>
    </row>
    <row r="265" spans="1:15" s="255" customFormat="1">
      <c r="A265" s="253"/>
      <c r="B265" s="253"/>
      <c r="C265" s="253"/>
      <c r="D265" s="253"/>
      <c r="E265" s="253"/>
      <c r="F265" s="253"/>
      <c r="G265" s="253"/>
      <c r="H265" s="253"/>
      <c r="I265" s="253"/>
      <c r="J265" s="253"/>
      <c r="K265" s="253"/>
      <c r="L265" s="253"/>
      <c r="M265" s="253"/>
      <c r="N265" s="253"/>
      <c r="O265" s="253"/>
    </row>
    <row r="266" spans="1:15" s="255" customFormat="1">
      <c r="A266" s="253"/>
      <c r="B266" s="253"/>
      <c r="C266" s="253"/>
      <c r="D266" s="253"/>
      <c r="E266" s="253"/>
      <c r="F266" s="253"/>
      <c r="G266" s="253"/>
      <c r="H266" s="253"/>
      <c r="I266" s="253"/>
      <c r="J266" s="253"/>
      <c r="K266" s="253"/>
      <c r="L266" s="253"/>
      <c r="M266" s="253"/>
      <c r="N266" s="253"/>
      <c r="O266" s="253"/>
    </row>
    <row r="267" spans="1:15" s="255" customFormat="1">
      <c r="A267" s="253"/>
      <c r="B267" s="253"/>
      <c r="C267" s="253"/>
      <c r="D267" s="253"/>
      <c r="E267" s="253"/>
      <c r="F267" s="253"/>
      <c r="G267" s="253"/>
      <c r="H267" s="253"/>
      <c r="I267" s="253"/>
      <c r="J267" s="253"/>
      <c r="K267" s="253"/>
      <c r="L267" s="253"/>
      <c r="M267" s="253"/>
      <c r="N267" s="253"/>
      <c r="O267" s="253"/>
    </row>
    <row r="268" spans="1:15" s="255" customFormat="1">
      <c r="A268" s="253"/>
      <c r="B268" s="253"/>
      <c r="C268" s="253"/>
      <c r="D268" s="253"/>
      <c r="E268" s="253"/>
      <c r="F268" s="253"/>
      <c r="G268" s="253"/>
      <c r="H268" s="253"/>
      <c r="I268" s="253"/>
      <c r="J268" s="253"/>
      <c r="K268" s="253"/>
      <c r="L268" s="253"/>
      <c r="M268" s="253"/>
      <c r="N268" s="253"/>
      <c r="O268" s="253"/>
    </row>
    <row r="269" spans="1:15" s="255" customFormat="1">
      <c r="A269" s="253"/>
      <c r="B269" s="253"/>
      <c r="C269" s="253"/>
      <c r="D269" s="253"/>
      <c r="E269" s="253"/>
      <c r="F269" s="253"/>
      <c r="G269" s="253"/>
      <c r="H269" s="253"/>
      <c r="I269" s="253"/>
      <c r="J269" s="253"/>
      <c r="K269" s="253"/>
      <c r="L269" s="253"/>
      <c r="M269" s="253"/>
      <c r="N269" s="253"/>
      <c r="O269" s="253"/>
    </row>
    <row r="270" spans="1:15" s="255" customFormat="1">
      <c r="A270" s="253"/>
      <c r="B270" s="253"/>
      <c r="C270" s="253"/>
      <c r="D270" s="253"/>
      <c r="E270" s="253"/>
      <c r="F270" s="253"/>
      <c r="G270" s="253"/>
      <c r="H270" s="253"/>
      <c r="I270" s="253"/>
      <c r="J270" s="253"/>
      <c r="K270" s="253"/>
      <c r="L270" s="253"/>
      <c r="M270" s="253"/>
      <c r="N270" s="253"/>
      <c r="O270" s="253"/>
    </row>
    <row r="271" spans="1:15" s="255" customFormat="1">
      <c r="A271" s="253"/>
      <c r="B271" s="253"/>
      <c r="C271" s="253"/>
      <c r="D271" s="253"/>
      <c r="E271" s="253"/>
      <c r="F271" s="253"/>
      <c r="G271" s="253"/>
      <c r="H271" s="253"/>
      <c r="I271" s="253"/>
      <c r="J271" s="253"/>
      <c r="K271" s="253"/>
      <c r="L271" s="253"/>
      <c r="M271" s="253"/>
      <c r="N271" s="253"/>
      <c r="O271" s="253"/>
    </row>
    <row r="272" spans="1:15" s="255" customFormat="1">
      <c r="A272" s="253"/>
      <c r="B272" s="253"/>
      <c r="C272" s="253"/>
      <c r="D272" s="253"/>
      <c r="E272" s="253"/>
      <c r="F272" s="253"/>
      <c r="G272" s="253"/>
      <c r="H272" s="253"/>
      <c r="I272" s="253"/>
      <c r="J272" s="253"/>
      <c r="K272" s="253"/>
      <c r="L272" s="253"/>
      <c r="M272" s="253"/>
      <c r="N272" s="253"/>
      <c r="O272" s="253"/>
    </row>
    <row r="273" spans="1:15" s="255" customFormat="1">
      <c r="A273" s="253"/>
      <c r="B273" s="253"/>
      <c r="C273" s="253"/>
      <c r="D273" s="253"/>
      <c r="E273" s="253"/>
      <c r="F273" s="253"/>
      <c r="G273" s="253"/>
      <c r="H273" s="253"/>
      <c r="I273" s="253"/>
      <c r="J273" s="253"/>
      <c r="K273" s="253"/>
      <c r="L273" s="253"/>
      <c r="M273" s="253"/>
      <c r="N273" s="253"/>
      <c r="O273" s="253"/>
    </row>
    <row r="274" spans="1:15" s="255" customFormat="1">
      <c r="A274" s="253"/>
      <c r="B274" s="253"/>
      <c r="C274" s="253"/>
      <c r="D274" s="253"/>
      <c r="E274" s="253"/>
      <c r="F274" s="253"/>
      <c r="G274" s="253"/>
      <c r="H274" s="253"/>
      <c r="I274" s="253"/>
      <c r="J274" s="253"/>
      <c r="K274" s="253"/>
      <c r="L274" s="253"/>
      <c r="M274" s="253"/>
      <c r="N274" s="253"/>
      <c r="O274" s="253"/>
    </row>
    <row r="275" spans="1:15" s="255" customFormat="1">
      <c r="A275" s="253"/>
      <c r="B275" s="253"/>
      <c r="C275" s="253"/>
      <c r="D275" s="253"/>
      <c r="E275" s="253"/>
      <c r="F275" s="253"/>
      <c r="G275" s="253"/>
      <c r="H275" s="253"/>
      <c r="I275" s="253"/>
      <c r="J275" s="253"/>
      <c r="K275" s="253"/>
      <c r="L275" s="253"/>
      <c r="M275" s="253"/>
      <c r="N275" s="253"/>
      <c r="O275" s="253"/>
    </row>
    <row r="276" spans="1:15" s="255" customFormat="1">
      <c r="A276" s="253"/>
      <c r="B276" s="253"/>
      <c r="C276" s="253"/>
      <c r="D276" s="253"/>
      <c r="E276" s="253"/>
      <c r="F276" s="253"/>
      <c r="G276" s="253"/>
      <c r="H276" s="253"/>
      <c r="I276" s="253"/>
      <c r="J276" s="253"/>
      <c r="K276" s="253"/>
      <c r="L276" s="253"/>
      <c r="M276" s="253"/>
      <c r="N276" s="253"/>
      <c r="O276" s="253"/>
    </row>
    <row r="277" spans="1:15" s="255" customFormat="1">
      <c r="A277" s="253"/>
      <c r="B277" s="253"/>
      <c r="C277" s="253"/>
      <c r="D277" s="253"/>
      <c r="E277" s="253"/>
      <c r="F277" s="253"/>
      <c r="G277" s="253"/>
      <c r="H277" s="253"/>
      <c r="I277" s="253"/>
      <c r="J277" s="253"/>
      <c r="K277" s="253"/>
      <c r="L277" s="253"/>
      <c r="M277" s="253"/>
      <c r="N277" s="253"/>
      <c r="O277" s="253"/>
    </row>
    <row r="278" spans="1:15" s="255" customFormat="1">
      <c r="A278" s="253"/>
      <c r="B278" s="253"/>
      <c r="C278" s="253"/>
      <c r="D278" s="253"/>
      <c r="E278" s="253"/>
      <c r="F278" s="253"/>
      <c r="G278" s="253"/>
      <c r="H278" s="253"/>
      <c r="I278" s="253"/>
      <c r="J278" s="253"/>
      <c r="K278" s="253"/>
      <c r="L278" s="253"/>
      <c r="M278" s="253"/>
      <c r="N278" s="253"/>
      <c r="O278" s="253"/>
    </row>
    <row r="279" spans="1:15" s="255" customFormat="1">
      <c r="A279" s="253"/>
      <c r="B279" s="253"/>
      <c r="C279" s="253"/>
      <c r="D279" s="253"/>
      <c r="E279" s="253"/>
      <c r="F279" s="253"/>
      <c r="G279" s="253"/>
      <c r="H279" s="253"/>
      <c r="I279" s="253"/>
      <c r="J279" s="253"/>
      <c r="K279" s="253"/>
      <c r="L279" s="253"/>
      <c r="M279" s="253"/>
      <c r="N279" s="253"/>
      <c r="O279" s="253"/>
    </row>
    <row r="280" spans="1:15" s="255" customFormat="1">
      <c r="A280" s="253"/>
      <c r="B280" s="253"/>
      <c r="C280" s="253"/>
      <c r="D280" s="253"/>
      <c r="E280" s="253"/>
      <c r="F280" s="253"/>
      <c r="G280" s="253"/>
      <c r="H280" s="253"/>
      <c r="I280" s="253"/>
      <c r="J280" s="253"/>
      <c r="K280" s="253"/>
      <c r="L280" s="253"/>
      <c r="M280" s="253"/>
      <c r="N280" s="253"/>
      <c r="O280" s="253"/>
    </row>
    <row r="281" spans="1:15" s="255" customFormat="1">
      <c r="A281" s="253"/>
      <c r="B281" s="253"/>
      <c r="C281" s="253"/>
      <c r="D281" s="253"/>
      <c r="E281" s="253"/>
      <c r="F281" s="253"/>
      <c r="G281" s="253"/>
      <c r="H281" s="253"/>
      <c r="I281" s="253"/>
      <c r="J281" s="253"/>
      <c r="K281" s="253"/>
      <c r="L281" s="253"/>
      <c r="M281" s="253"/>
      <c r="N281" s="253"/>
      <c r="O281" s="253"/>
    </row>
    <row r="282" spans="1:15" s="255" customFormat="1">
      <c r="A282" s="253"/>
      <c r="B282" s="253"/>
      <c r="C282" s="253"/>
      <c r="D282" s="253"/>
      <c r="E282" s="253"/>
      <c r="F282" s="253"/>
      <c r="G282" s="253"/>
      <c r="H282" s="253"/>
      <c r="I282" s="253"/>
      <c r="J282" s="253"/>
      <c r="K282" s="253"/>
      <c r="L282" s="253"/>
      <c r="M282" s="253"/>
      <c r="N282" s="253"/>
      <c r="O282" s="253"/>
    </row>
    <row r="283" spans="1:15" s="255" customFormat="1">
      <c r="A283" s="253"/>
      <c r="B283" s="253"/>
      <c r="C283" s="253"/>
      <c r="D283" s="253"/>
      <c r="E283" s="253"/>
      <c r="F283" s="253"/>
      <c r="G283" s="253"/>
      <c r="H283" s="253"/>
      <c r="I283" s="253"/>
      <c r="J283" s="253"/>
      <c r="K283" s="253"/>
      <c r="L283" s="253"/>
      <c r="M283" s="253"/>
      <c r="N283" s="253"/>
      <c r="O283" s="253"/>
    </row>
    <row r="284" spans="1:15" s="255" customFormat="1">
      <c r="A284" s="253"/>
      <c r="B284" s="253"/>
      <c r="C284" s="253"/>
      <c r="D284" s="253"/>
      <c r="E284" s="253"/>
      <c r="F284" s="253"/>
      <c r="G284" s="253"/>
      <c r="H284" s="253"/>
      <c r="I284" s="253"/>
      <c r="J284" s="253"/>
      <c r="K284" s="253"/>
      <c r="L284" s="253"/>
      <c r="M284" s="253"/>
      <c r="N284" s="253"/>
      <c r="O284" s="253"/>
    </row>
    <row r="285" spans="1:15" s="255" customFormat="1">
      <c r="A285" s="253"/>
      <c r="B285" s="253"/>
      <c r="C285" s="253"/>
      <c r="D285" s="253"/>
      <c r="E285" s="253"/>
      <c r="F285" s="253"/>
      <c r="G285" s="253"/>
      <c r="H285" s="253"/>
      <c r="I285" s="253"/>
      <c r="J285" s="253"/>
      <c r="K285" s="253"/>
      <c r="L285" s="253"/>
      <c r="M285" s="253"/>
      <c r="N285" s="253"/>
      <c r="O285" s="253"/>
    </row>
    <row r="286" spans="1:15" s="255" customFormat="1">
      <c r="A286" s="253"/>
      <c r="B286" s="253"/>
      <c r="C286" s="253"/>
      <c r="D286" s="253"/>
      <c r="E286" s="253"/>
      <c r="F286" s="253"/>
      <c r="G286" s="253"/>
      <c r="H286" s="253"/>
      <c r="I286" s="253"/>
      <c r="J286" s="253"/>
      <c r="K286" s="253"/>
      <c r="L286" s="253"/>
      <c r="M286" s="253"/>
      <c r="N286" s="253"/>
      <c r="O286" s="253"/>
    </row>
    <row r="287" spans="1:15" s="255" customFormat="1">
      <c r="A287" s="253"/>
      <c r="B287" s="253"/>
      <c r="C287" s="253"/>
      <c r="D287" s="253"/>
      <c r="E287" s="253"/>
      <c r="F287" s="253"/>
      <c r="G287" s="253"/>
      <c r="H287" s="253"/>
      <c r="I287" s="253"/>
      <c r="J287" s="253"/>
      <c r="K287" s="253"/>
      <c r="L287" s="253"/>
      <c r="M287" s="253"/>
      <c r="N287" s="253"/>
      <c r="O287" s="253"/>
    </row>
    <row r="288" spans="1:15" s="255" customFormat="1">
      <c r="A288" s="253"/>
      <c r="B288" s="253"/>
      <c r="C288" s="253"/>
      <c r="D288" s="253"/>
      <c r="E288" s="253"/>
      <c r="F288" s="253"/>
      <c r="G288" s="253"/>
      <c r="H288" s="253"/>
      <c r="I288" s="253"/>
      <c r="J288" s="253"/>
      <c r="K288" s="253"/>
      <c r="L288" s="253"/>
      <c r="M288" s="253"/>
      <c r="N288" s="253"/>
      <c r="O288" s="253"/>
    </row>
    <row r="289" spans="1:15" s="255" customFormat="1">
      <c r="A289" s="253"/>
      <c r="B289" s="253"/>
      <c r="C289" s="253"/>
      <c r="D289" s="253"/>
      <c r="E289" s="253"/>
      <c r="F289" s="253"/>
      <c r="G289" s="253"/>
      <c r="H289" s="253"/>
      <c r="I289" s="253"/>
      <c r="J289" s="253"/>
      <c r="K289" s="253"/>
      <c r="L289" s="253"/>
      <c r="M289" s="253"/>
      <c r="N289" s="253"/>
      <c r="O289" s="253"/>
    </row>
    <row r="290" spans="1:15" s="255" customFormat="1">
      <c r="A290" s="253"/>
      <c r="B290" s="253"/>
      <c r="C290" s="253"/>
      <c r="D290" s="253"/>
      <c r="E290" s="253"/>
      <c r="F290" s="253"/>
      <c r="G290" s="253"/>
      <c r="H290" s="253"/>
      <c r="I290" s="253"/>
      <c r="J290" s="253"/>
      <c r="K290" s="253"/>
      <c r="L290" s="253"/>
      <c r="M290" s="253"/>
      <c r="N290" s="253"/>
      <c r="O290" s="253"/>
    </row>
    <row r="291" spans="1:15" s="255" customFormat="1">
      <c r="A291" s="253"/>
      <c r="B291" s="253"/>
      <c r="C291" s="253"/>
      <c r="D291" s="253"/>
      <c r="E291" s="253"/>
      <c r="F291" s="253"/>
      <c r="G291" s="253"/>
      <c r="H291" s="253"/>
      <c r="I291" s="253"/>
      <c r="J291" s="253"/>
      <c r="K291" s="253"/>
      <c r="L291" s="253"/>
      <c r="M291" s="253"/>
      <c r="N291" s="253"/>
      <c r="O291" s="253"/>
    </row>
    <row r="292" spans="1:15" s="255" customFormat="1">
      <c r="A292" s="253"/>
      <c r="B292" s="253"/>
      <c r="C292" s="253"/>
      <c r="D292" s="253"/>
      <c r="E292" s="253"/>
      <c r="F292" s="253"/>
      <c r="G292" s="253"/>
      <c r="H292" s="253"/>
      <c r="I292" s="253"/>
      <c r="J292" s="253"/>
      <c r="K292" s="253"/>
      <c r="L292" s="253"/>
      <c r="M292" s="253"/>
      <c r="N292" s="253"/>
      <c r="O292" s="253"/>
    </row>
    <row r="293" spans="1:15" s="255" customFormat="1">
      <c r="A293" s="253"/>
      <c r="B293" s="253"/>
      <c r="C293" s="253"/>
      <c r="D293" s="253"/>
      <c r="E293" s="253"/>
      <c r="F293" s="253"/>
      <c r="G293" s="253"/>
      <c r="H293" s="253"/>
      <c r="I293" s="253"/>
      <c r="J293" s="253"/>
      <c r="K293" s="253"/>
      <c r="L293" s="253"/>
      <c r="M293" s="253"/>
      <c r="N293" s="253"/>
      <c r="O293" s="253"/>
    </row>
    <row r="294" spans="1:15" s="255" customFormat="1">
      <c r="A294" s="253"/>
      <c r="B294" s="253"/>
      <c r="C294" s="253"/>
      <c r="D294" s="253"/>
      <c r="E294" s="253"/>
      <c r="F294" s="253"/>
      <c r="G294" s="253"/>
      <c r="H294" s="253"/>
      <c r="I294" s="253"/>
      <c r="J294" s="253"/>
      <c r="K294" s="253"/>
      <c r="L294" s="253"/>
      <c r="M294" s="253"/>
      <c r="N294" s="253"/>
      <c r="O294" s="253"/>
    </row>
    <row r="295" spans="1:15" s="255" customFormat="1">
      <c r="A295" s="253"/>
      <c r="B295" s="253"/>
      <c r="C295" s="253"/>
      <c r="D295" s="253"/>
      <c r="E295" s="253"/>
      <c r="F295" s="253"/>
      <c r="G295" s="253"/>
      <c r="H295" s="253"/>
      <c r="I295" s="253"/>
      <c r="J295" s="253"/>
      <c r="K295" s="253"/>
      <c r="L295" s="253"/>
      <c r="M295" s="253"/>
      <c r="N295" s="253"/>
      <c r="O295" s="253"/>
    </row>
    <row r="296" spans="1:15" s="255" customFormat="1">
      <c r="A296" s="253"/>
      <c r="B296" s="253"/>
      <c r="C296" s="253"/>
      <c r="D296" s="253"/>
      <c r="E296" s="253"/>
      <c r="F296" s="253"/>
      <c r="G296" s="253"/>
      <c r="H296" s="253"/>
      <c r="I296" s="253"/>
      <c r="J296" s="253"/>
      <c r="K296" s="253"/>
      <c r="L296" s="253"/>
      <c r="M296" s="253"/>
      <c r="N296" s="253"/>
      <c r="O296" s="253"/>
    </row>
    <row r="297" spans="1:15" s="255" customFormat="1">
      <c r="A297" s="253"/>
      <c r="B297" s="253"/>
      <c r="C297" s="253"/>
      <c r="D297" s="253"/>
      <c r="E297" s="253"/>
      <c r="F297" s="253"/>
      <c r="G297" s="253"/>
      <c r="H297" s="253"/>
      <c r="I297" s="253"/>
      <c r="J297" s="253"/>
      <c r="K297" s="253"/>
      <c r="L297" s="253"/>
      <c r="M297" s="253"/>
      <c r="N297" s="253"/>
      <c r="O297" s="253"/>
    </row>
    <row r="298" spans="1:15" s="255" customFormat="1">
      <c r="A298" s="253"/>
      <c r="B298" s="253"/>
      <c r="C298" s="253"/>
      <c r="D298" s="253"/>
      <c r="E298" s="253"/>
      <c r="F298" s="253"/>
      <c r="G298" s="253"/>
      <c r="H298" s="253"/>
      <c r="I298" s="253"/>
      <c r="J298" s="253"/>
      <c r="K298" s="253"/>
      <c r="L298" s="253"/>
      <c r="M298" s="253"/>
      <c r="N298" s="253"/>
      <c r="O298" s="253"/>
    </row>
    <row r="299" spans="1:15" s="255" customFormat="1">
      <c r="A299" s="253"/>
      <c r="B299" s="253"/>
      <c r="C299" s="253"/>
      <c r="D299" s="253"/>
      <c r="E299" s="253"/>
      <c r="F299" s="253"/>
      <c r="G299" s="253"/>
      <c r="H299" s="253"/>
      <c r="I299" s="253"/>
      <c r="J299" s="253"/>
      <c r="K299" s="253"/>
      <c r="L299" s="253"/>
      <c r="M299" s="253"/>
      <c r="N299" s="253"/>
      <c r="O299" s="253"/>
    </row>
    <row r="300" spans="1:15" s="255" customFormat="1">
      <c r="A300" s="253"/>
      <c r="B300" s="253"/>
      <c r="C300" s="253"/>
      <c r="D300" s="253"/>
      <c r="E300" s="253"/>
      <c r="F300" s="253"/>
      <c r="G300" s="253"/>
      <c r="H300" s="253"/>
      <c r="I300" s="253"/>
      <c r="J300" s="253"/>
      <c r="K300" s="253"/>
      <c r="L300" s="253"/>
      <c r="M300" s="253"/>
      <c r="N300" s="253"/>
      <c r="O300" s="253"/>
    </row>
    <row r="301" spans="1:15" s="255" customFormat="1">
      <c r="A301" s="253"/>
      <c r="B301" s="253"/>
      <c r="C301" s="253"/>
      <c r="D301" s="253"/>
      <c r="E301" s="253"/>
      <c r="F301" s="253"/>
      <c r="G301" s="253"/>
      <c r="H301" s="253"/>
      <c r="I301" s="253"/>
      <c r="J301" s="253"/>
      <c r="K301" s="253"/>
      <c r="L301" s="253"/>
      <c r="M301" s="253"/>
      <c r="N301" s="253"/>
      <c r="O301" s="253"/>
    </row>
    <row r="302" spans="1:15" s="255" customFormat="1">
      <c r="A302" s="253"/>
      <c r="B302" s="253"/>
      <c r="C302" s="253"/>
      <c r="D302" s="253"/>
      <c r="E302" s="253"/>
      <c r="F302" s="253"/>
      <c r="G302" s="253"/>
      <c r="H302" s="253"/>
      <c r="I302" s="253"/>
      <c r="J302" s="253"/>
      <c r="K302" s="253"/>
      <c r="L302" s="253"/>
      <c r="M302" s="253"/>
      <c r="N302" s="253"/>
      <c r="O302" s="253"/>
    </row>
    <row r="303" spans="1:15" s="255" customFormat="1">
      <c r="A303" s="253"/>
      <c r="B303" s="253"/>
      <c r="C303" s="253"/>
      <c r="D303" s="253"/>
      <c r="E303" s="253"/>
      <c r="F303" s="253"/>
      <c r="G303" s="253"/>
      <c r="H303" s="253"/>
      <c r="I303" s="253"/>
      <c r="J303" s="253"/>
      <c r="K303" s="253"/>
      <c r="L303" s="253"/>
      <c r="M303" s="253"/>
      <c r="N303" s="253"/>
      <c r="O303" s="253"/>
    </row>
    <row r="304" spans="1:15" s="255" customFormat="1">
      <c r="A304" s="253"/>
      <c r="B304" s="253"/>
      <c r="C304" s="253"/>
      <c r="D304" s="253"/>
      <c r="E304" s="253"/>
      <c r="F304" s="253"/>
      <c r="G304" s="253"/>
      <c r="H304" s="253"/>
      <c r="I304" s="253"/>
      <c r="J304" s="253"/>
      <c r="K304" s="253"/>
      <c r="L304" s="253"/>
      <c r="M304" s="253"/>
      <c r="N304" s="253"/>
      <c r="O304" s="253"/>
    </row>
    <row r="305" spans="1:15" s="255" customFormat="1">
      <c r="A305" s="253"/>
      <c r="B305" s="253"/>
      <c r="C305" s="253"/>
      <c r="D305" s="253"/>
      <c r="E305" s="253"/>
      <c r="F305" s="253"/>
      <c r="G305" s="253"/>
      <c r="H305" s="253"/>
      <c r="I305" s="253"/>
      <c r="J305" s="253"/>
      <c r="K305" s="253"/>
      <c r="L305" s="253"/>
      <c r="M305" s="253"/>
      <c r="N305" s="253"/>
      <c r="O305" s="253"/>
    </row>
    <row r="306" spans="1:15" s="255" customFormat="1">
      <c r="A306" s="253"/>
      <c r="B306" s="253"/>
      <c r="C306" s="253"/>
      <c r="D306" s="253"/>
      <c r="E306" s="253"/>
      <c r="F306" s="253"/>
      <c r="G306" s="253"/>
      <c r="H306" s="253"/>
      <c r="I306" s="253"/>
      <c r="J306" s="253"/>
      <c r="K306" s="253"/>
      <c r="L306" s="253"/>
      <c r="M306" s="253"/>
      <c r="N306" s="253"/>
      <c r="O306" s="253"/>
    </row>
    <row r="307" spans="1:15" s="255" customFormat="1">
      <c r="A307" s="253"/>
      <c r="B307" s="253"/>
      <c r="C307" s="253"/>
      <c r="D307" s="253"/>
      <c r="E307" s="253"/>
      <c r="F307" s="253"/>
      <c r="G307" s="253"/>
      <c r="H307" s="253"/>
      <c r="I307" s="253"/>
      <c r="J307" s="253"/>
      <c r="K307" s="253"/>
      <c r="L307" s="253"/>
      <c r="M307" s="253"/>
      <c r="N307" s="253"/>
      <c r="O307" s="253"/>
    </row>
    <row r="308" spans="1:15" s="255" customFormat="1">
      <c r="A308" s="253"/>
      <c r="B308" s="253"/>
      <c r="C308" s="253"/>
      <c r="D308" s="253"/>
      <c r="E308" s="253"/>
      <c r="F308" s="253"/>
      <c r="G308" s="253"/>
      <c r="H308" s="253"/>
      <c r="I308" s="253"/>
      <c r="J308" s="253"/>
      <c r="K308" s="253"/>
      <c r="L308" s="253"/>
      <c r="M308" s="253"/>
      <c r="N308" s="253"/>
      <c r="O308" s="253"/>
    </row>
    <row r="309" spans="1:15" s="255" customFormat="1">
      <c r="A309" s="253"/>
      <c r="B309" s="253"/>
      <c r="C309" s="253"/>
      <c r="D309" s="253"/>
      <c r="E309" s="253"/>
      <c r="F309" s="253"/>
      <c r="G309" s="253"/>
      <c r="H309" s="253"/>
      <c r="I309" s="253"/>
      <c r="J309" s="253"/>
      <c r="K309" s="253"/>
      <c r="L309" s="253"/>
      <c r="M309" s="253"/>
      <c r="N309" s="253"/>
      <c r="O309" s="253"/>
    </row>
    <row r="310" spans="1:15" s="255" customFormat="1">
      <c r="A310" s="253"/>
      <c r="B310" s="253"/>
      <c r="C310" s="253"/>
      <c r="D310" s="253"/>
      <c r="E310" s="253"/>
      <c r="F310" s="253"/>
      <c r="G310" s="253"/>
      <c r="H310" s="253"/>
      <c r="I310" s="253"/>
      <c r="J310" s="253"/>
      <c r="K310" s="253"/>
      <c r="L310" s="253"/>
      <c r="M310" s="253"/>
      <c r="N310" s="253"/>
      <c r="O310" s="253"/>
    </row>
    <row r="311" spans="1:15" s="255" customFormat="1">
      <c r="A311" s="253"/>
      <c r="B311" s="253"/>
      <c r="C311" s="253"/>
      <c r="D311" s="253"/>
      <c r="E311" s="253"/>
      <c r="F311" s="253"/>
      <c r="G311" s="253"/>
      <c r="H311" s="253"/>
      <c r="I311" s="253"/>
      <c r="J311" s="253"/>
      <c r="K311" s="253"/>
      <c r="L311" s="253"/>
      <c r="M311" s="253"/>
      <c r="N311" s="253"/>
      <c r="O311" s="253"/>
    </row>
    <row r="312" spans="1:15" s="255" customFormat="1">
      <c r="A312" s="253"/>
      <c r="B312" s="253"/>
      <c r="C312" s="253"/>
      <c r="D312" s="253"/>
      <c r="E312" s="253"/>
      <c r="F312" s="253"/>
      <c r="G312" s="253"/>
      <c r="H312" s="253"/>
      <c r="I312" s="253"/>
      <c r="J312" s="253"/>
      <c r="K312" s="253"/>
      <c r="L312" s="253"/>
      <c r="M312" s="253"/>
      <c r="N312" s="253"/>
      <c r="O312" s="253"/>
    </row>
    <row r="313" spans="1:15" s="255" customFormat="1">
      <c r="A313" s="253"/>
      <c r="B313" s="253"/>
      <c r="C313" s="253"/>
      <c r="D313" s="253"/>
      <c r="E313" s="253"/>
      <c r="F313" s="253"/>
      <c r="G313" s="253"/>
      <c r="H313" s="253"/>
      <c r="I313" s="253"/>
      <c r="J313" s="253"/>
      <c r="K313" s="253"/>
      <c r="L313" s="253"/>
      <c r="M313" s="253"/>
      <c r="N313" s="253"/>
      <c r="O313" s="253"/>
    </row>
    <row r="314" spans="1:15" s="255" customFormat="1">
      <c r="A314" s="253"/>
      <c r="B314" s="253"/>
      <c r="C314" s="253"/>
      <c r="D314" s="253"/>
      <c r="E314" s="253"/>
      <c r="F314" s="253"/>
      <c r="G314" s="253"/>
      <c r="H314" s="253"/>
      <c r="I314" s="253"/>
      <c r="J314" s="253"/>
      <c r="K314" s="253"/>
      <c r="L314" s="253"/>
      <c r="M314" s="253"/>
      <c r="N314" s="253"/>
      <c r="O314" s="253"/>
    </row>
    <row r="315" spans="1:15" s="255" customFormat="1">
      <c r="A315" s="253"/>
      <c r="B315" s="253"/>
      <c r="C315" s="253"/>
      <c r="D315" s="253"/>
      <c r="E315" s="253"/>
      <c r="F315" s="253"/>
      <c r="G315" s="253"/>
      <c r="H315" s="253"/>
      <c r="I315" s="253"/>
      <c r="J315" s="253"/>
      <c r="K315" s="253"/>
      <c r="L315" s="253"/>
      <c r="M315" s="253"/>
      <c r="N315" s="253"/>
      <c r="O315" s="253"/>
    </row>
    <row r="316" spans="1:15" s="255" customFormat="1">
      <c r="A316" s="253"/>
      <c r="B316" s="253"/>
      <c r="C316" s="253"/>
      <c r="D316" s="253"/>
      <c r="E316" s="253"/>
      <c r="F316" s="253"/>
      <c r="G316" s="253"/>
      <c r="H316" s="253"/>
      <c r="I316" s="253"/>
      <c r="J316" s="253"/>
      <c r="K316" s="253"/>
      <c r="L316" s="253"/>
      <c r="M316" s="253"/>
      <c r="N316" s="253"/>
      <c r="O316" s="253"/>
    </row>
    <row r="317" spans="1:15" s="255" customFormat="1">
      <c r="A317" s="253"/>
      <c r="B317" s="253"/>
      <c r="C317" s="253"/>
      <c r="D317" s="253"/>
      <c r="E317" s="253"/>
      <c r="F317" s="253"/>
      <c r="G317" s="253"/>
      <c r="H317" s="253"/>
      <c r="I317" s="253"/>
      <c r="J317" s="253"/>
      <c r="K317" s="253"/>
      <c r="L317" s="253"/>
      <c r="M317" s="253"/>
      <c r="N317" s="253"/>
      <c r="O317" s="253"/>
    </row>
    <row r="318" spans="1:15" s="255" customFormat="1">
      <c r="A318" s="253"/>
      <c r="B318" s="253"/>
      <c r="C318" s="253"/>
      <c r="D318" s="253"/>
      <c r="E318" s="253"/>
      <c r="F318" s="253"/>
      <c r="G318" s="253"/>
      <c r="H318" s="253"/>
      <c r="I318" s="253"/>
      <c r="J318" s="253"/>
      <c r="K318" s="253"/>
      <c r="L318" s="253"/>
      <c r="M318" s="253"/>
      <c r="N318" s="253"/>
      <c r="O318" s="253"/>
    </row>
    <row r="319" spans="1:15" s="255" customFormat="1">
      <c r="A319" s="253"/>
      <c r="B319" s="253"/>
      <c r="C319" s="253"/>
      <c r="D319" s="253"/>
      <c r="E319" s="253"/>
      <c r="F319" s="253"/>
      <c r="G319" s="253"/>
      <c r="H319" s="253"/>
      <c r="I319" s="253"/>
      <c r="J319" s="253"/>
      <c r="K319" s="253"/>
      <c r="L319" s="253"/>
      <c r="M319" s="253"/>
      <c r="N319" s="253"/>
      <c r="O319" s="253"/>
    </row>
    <row r="320" spans="1:15" s="255" customFormat="1">
      <c r="A320" s="253"/>
      <c r="B320" s="253"/>
      <c r="C320" s="253"/>
      <c r="D320" s="253"/>
      <c r="E320" s="253"/>
      <c r="F320" s="253"/>
      <c r="G320" s="253"/>
      <c r="H320" s="253"/>
      <c r="I320" s="253"/>
      <c r="J320" s="253"/>
      <c r="K320" s="253"/>
      <c r="L320" s="253"/>
      <c r="M320" s="253"/>
      <c r="N320" s="253"/>
      <c r="O320" s="253"/>
    </row>
    <row r="321" spans="1:15" s="255" customFormat="1">
      <c r="A321" s="253"/>
      <c r="B321" s="253"/>
      <c r="C321" s="253"/>
      <c r="D321" s="253"/>
      <c r="E321" s="253"/>
      <c r="F321" s="253"/>
      <c r="G321" s="253"/>
      <c r="H321" s="253"/>
      <c r="I321" s="253"/>
      <c r="J321" s="253"/>
      <c r="K321" s="253"/>
      <c r="L321" s="253"/>
      <c r="M321" s="253"/>
      <c r="N321" s="253"/>
      <c r="O321" s="253"/>
    </row>
    <row r="322" spans="1:15" s="255" customFormat="1">
      <c r="A322" s="253"/>
      <c r="B322" s="253"/>
      <c r="C322" s="253"/>
      <c r="D322" s="253"/>
      <c r="E322" s="253"/>
      <c r="F322" s="253"/>
      <c r="G322" s="253"/>
      <c r="H322" s="253"/>
      <c r="I322" s="253"/>
      <c r="J322" s="253"/>
      <c r="K322" s="253"/>
      <c r="L322" s="253"/>
      <c r="M322" s="253"/>
      <c r="N322" s="253"/>
      <c r="O322" s="253"/>
    </row>
    <row r="323" spans="1:15" s="255" customFormat="1">
      <c r="A323" s="253"/>
      <c r="B323" s="253"/>
      <c r="C323" s="253"/>
      <c r="D323" s="253"/>
      <c r="E323" s="253"/>
      <c r="F323" s="253"/>
      <c r="G323" s="253"/>
      <c r="H323" s="253"/>
      <c r="I323" s="253"/>
      <c r="J323" s="253"/>
      <c r="K323" s="253"/>
      <c r="L323" s="253"/>
      <c r="M323" s="253"/>
      <c r="N323" s="253"/>
      <c r="O323" s="253"/>
    </row>
    <row r="324" spans="1:15" s="255" customFormat="1">
      <c r="A324" s="253"/>
      <c r="B324" s="253"/>
      <c r="C324" s="253"/>
      <c r="D324" s="253"/>
      <c r="E324" s="253"/>
      <c r="F324" s="253"/>
      <c r="G324" s="253"/>
      <c r="H324" s="253"/>
      <c r="I324" s="253"/>
      <c r="J324" s="253"/>
      <c r="K324" s="253"/>
      <c r="L324" s="253"/>
      <c r="M324" s="253"/>
      <c r="N324" s="253"/>
      <c r="O324" s="253"/>
    </row>
    <row r="325" spans="1:15" s="255" customFormat="1">
      <c r="A325" s="253"/>
      <c r="B325" s="253"/>
      <c r="C325" s="253"/>
      <c r="D325" s="253"/>
      <c r="E325" s="253"/>
      <c r="F325" s="253"/>
      <c r="G325" s="253"/>
      <c r="H325" s="253"/>
      <c r="I325" s="253"/>
      <c r="J325" s="253"/>
      <c r="K325" s="253"/>
      <c r="L325" s="253"/>
      <c r="M325" s="253"/>
      <c r="N325" s="253"/>
      <c r="O325" s="253"/>
    </row>
    <row r="326" spans="1:15" s="255" customFormat="1">
      <c r="A326" s="253"/>
      <c r="B326" s="253"/>
      <c r="C326" s="253"/>
      <c r="D326" s="253"/>
      <c r="E326" s="253"/>
      <c r="F326" s="253"/>
      <c r="G326" s="253"/>
      <c r="H326" s="253"/>
      <c r="I326" s="253"/>
      <c r="J326" s="253"/>
      <c r="K326" s="253"/>
      <c r="L326" s="253"/>
      <c r="M326" s="253"/>
      <c r="N326" s="253"/>
      <c r="O326" s="253"/>
    </row>
    <row r="327" spans="1:15" s="255" customFormat="1">
      <c r="A327" s="253"/>
      <c r="B327" s="253"/>
      <c r="C327" s="253"/>
      <c r="D327" s="253"/>
      <c r="E327" s="253"/>
      <c r="F327" s="253"/>
      <c r="G327" s="253"/>
      <c r="H327" s="253"/>
      <c r="I327" s="253"/>
      <c r="J327" s="253"/>
      <c r="K327" s="253"/>
      <c r="L327" s="253"/>
      <c r="M327" s="253"/>
      <c r="N327" s="253"/>
      <c r="O327" s="253"/>
    </row>
    <row r="328" spans="1:15" s="255" customFormat="1">
      <c r="A328" s="253"/>
      <c r="B328" s="253"/>
      <c r="C328" s="253"/>
      <c r="D328" s="253"/>
      <c r="E328" s="253"/>
      <c r="F328" s="253"/>
      <c r="G328" s="253"/>
      <c r="H328" s="253"/>
      <c r="I328" s="253"/>
      <c r="J328" s="253"/>
      <c r="K328" s="253"/>
      <c r="L328" s="253"/>
      <c r="M328" s="253"/>
      <c r="N328" s="253"/>
      <c r="O328" s="253"/>
    </row>
    <row r="329" spans="1:15" s="255" customFormat="1">
      <c r="A329" s="253"/>
      <c r="B329" s="253"/>
      <c r="C329" s="253"/>
      <c r="D329" s="253"/>
      <c r="E329" s="253"/>
      <c r="F329" s="253"/>
      <c r="G329" s="253"/>
      <c r="H329" s="253"/>
      <c r="I329" s="253"/>
      <c r="J329" s="253"/>
      <c r="K329" s="253"/>
      <c r="L329" s="253"/>
      <c r="M329" s="253"/>
      <c r="N329" s="253"/>
      <c r="O329" s="253"/>
    </row>
    <row r="330" spans="1:15" s="255" customFormat="1">
      <c r="A330" s="253"/>
      <c r="B330" s="253"/>
      <c r="C330" s="253"/>
      <c r="D330" s="253"/>
      <c r="E330" s="253"/>
      <c r="F330" s="253"/>
      <c r="G330" s="253"/>
      <c r="H330" s="253"/>
      <c r="I330" s="253"/>
      <c r="J330" s="253"/>
      <c r="K330" s="253"/>
      <c r="L330" s="253"/>
      <c r="M330" s="253"/>
      <c r="N330" s="253"/>
      <c r="O330" s="253"/>
    </row>
    <row r="331" spans="1:15" s="255" customFormat="1">
      <c r="A331" s="253"/>
      <c r="B331" s="253"/>
      <c r="C331" s="253"/>
      <c r="D331" s="253"/>
      <c r="E331" s="253"/>
      <c r="F331" s="253"/>
      <c r="G331" s="253"/>
      <c r="H331" s="253"/>
      <c r="I331" s="253"/>
      <c r="J331" s="253"/>
      <c r="K331" s="253"/>
      <c r="L331" s="253"/>
      <c r="M331" s="253"/>
      <c r="N331" s="253"/>
      <c r="O331" s="253"/>
    </row>
    <row r="332" spans="1:15" s="255" customFormat="1">
      <c r="A332" s="253"/>
      <c r="B332" s="253"/>
      <c r="C332" s="253"/>
      <c r="D332" s="253"/>
      <c r="E332" s="253"/>
      <c r="F332" s="253"/>
      <c r="G332" s="253"/>
      <c r="H332" s="253"/>
      <c r="I332" s="253"/>
      <c r="J332" s="253"/>
      <c r="K332" s="253"/>
      <c r="L332" s="253"/>
      <c r="M332" s="253"/>
      <c r="N332" s="253"/>
      <c r="O332" s="253"/>
    </row>
    <row r="333" spans="1:15" s="255" customFormat="1">
      <c r="A333" s="253"/>
      <c r="B333" s="253"/>
      <c r="C333" s="253"/>
      <c r="D333" s="253"/>
      <c r="E333" s="253"/>
      <c r="F333" s="253"/>
      <c r="G333" s="253"/>
      <c r="H333" s="253"/>
      <c r="I333" s="253"/>
      <c r="J333" s="253"/>
      <c r="K333" s="253"/>
      <c r="L333" s="253"/>
      <c r="M333" s="253"/>
      <c r="N333" s="253"/>
      <c r="O333" s="253"/>
    </row>
    <row r="334" spans="1:15" s="255" customFormat="1">
      <c r="A334" s="253"/>
      <c r="B334" s="253"/>
      <c r="C334" s="253"/>
      <c r="D334" s="253"/>
      <c r="E334" s="253"/>
      <c r="F334" s="253"/>
      <c r="G334" s="253"/>
      <c r="H334" s="253"/>
      <c r="I334" s="253"/>
      <c r="J334" s="253"/>
      <c r="K334" s="253"/>
      <c r="L334" s="253"/>
      <c r="M334" s="253"/>
      <c r="N334" s="253"/>
      <c r="O334" s="253"/>
    </row>
    <row r="335" spans="1:15" s="255" customFormat="1">
      <c r="A335" s="253"/>
      <c r="B335" s="253"/>
      <c r="C335" s="253"/>
      <c r="D335" s="253"/>
      <c r="E335" s="253"/>
      <c r="F335" s="253"/>
      <c r="G335" s="253"/>
      <c r="H335" s="253"/>
      <c r="I335" s="253"/>
      <c r="J335" s="253"/>
      <c r="K335" s="253"/>
      <c r="L335" s="253"/>
      <c r="M335" s="253"/>
      <c r="N335" s="253"/>
      <c r="O335" s="253"/>
    </row>
    <row r="336" spans="1:15" s="255" customFormat="1">
      <c r="A336" s="253"/>
      <c r="B336" s="253"/>
      <c r="C336" s="253"/>
      <c r="D336" s="253"/>
      <c r="E336" s="253"/>
      <c r="F336" s="253"/>
      <c r="G336" s="253"/>
      <c r="H336" s="253"/>
      <c r="I336" s="253"/>
      <c r="J336" s="253"/>
      <c r="K336" s="253"/>
      <c r="L336" s="253"/>
      <c r="M336" s="253"/>
      <c r="N336" s="253"/>
      <c r="O336" s="253"/>
    </row>
    <row r="337" spans="1:15" s="255" customFormat="1">
      <c r="A337" s="253"/>
      <c r="B337" s="253"/>
      <c r="C337" s="253"/>
      <c r="D337" s="253"/>
      <c r="E337" s="253"/>
      <c r="F337" s="253"/>
      <c r="G337" s="253"/>
      <c r="H337" s="253"/>
      <c r="I337" s="253"/>
      <c r="J337" s="253"/>
      <c r="K337" s="253"/>
      <c r="L337" s="253"/>
      <c r="M337" s="253"/>
      <c r="N337" s="253"/>
      <c r="O337" s="253"/>
    </row>
    <row r="338" spans="1:15" s="255" customFormat="1">
      <c r="A338" s="253"/>
      <c r="B338" s="253"/>
      <c r="C338" s="253"/>
      <c r="D338" s="253"/>
      <c r="E338" s="253"/>
      <c r="F338" s="253"/>
      <c r="G338" s="253"/>
      <c r="H338" s="253"/>
      <c r="I338" s="253"/>
      <c r="J338" s="253"/>
      <c r="K338" s="253"/>
      <c r="L338" s="253"/>
      <c r="M338" s="253"/>
      <c r="N338" s="253"/>
      <c r="O338" s="253"/>
    </row>
    <row r="339" spans="1:15" s="255" customFormat="1">
      <c r="A339" s="253"/>
      <c r="B339" s="253"/>
      <c r="C339" s="253"/>
      <c r="D339" s="253"/>
      <c r="E339" s="253"/>
      <c r="F339" s="253"/>
      <c r="G339" s="253"/>
      <c r="H339" s="253"/>
      <c r="I339" s="253"/>
      <c r="J339" s="253"/>
      <c r="K339" s="253"/>
      <c r="L339" s="253"/>
      <c r="M339" s="253"/>
      <c r="N339" s="253"/>
      <c r="O339" s="253"/>
    </row>
    <row r="340" spans="1:15" s="255" customFormat="1">
      <c r="A340" s="253"/>
      <c r="B340" s="253"/>
      <c r="C340" s="253"/>
      <c r="D340" s="253"/>
      <c r="E340" s="253"/>
      <c r="F340" s="253"/>
      <c r="G340" s="253"/>
      <c r="H340" s="253"/>
      <c r="I340" s="253"/>
      <c r="J340" s="253"/>
      <c r="K340" s="253"/>
      <c r="L340" s="253"/>
      <c r="M340" s="253"/>
      <c r="N340" s="253"/>
      <c r="O340" s="253"/>
    </row>
    <row r="341" spans="1:15" s="255" customFormat="1">
      <c r="A341" s="253"/>
      <c r="B341" s="253"/>
      <c r="C341" s="253"/>
      <c r="D341" s="253"/>
      <c r="E341" s="253"/>
      <c r="F341" s="253"/>
      <c r="G341" s="253"/>
      <c r="H341" s="253"/>
      <c r="I341" s="253"/>
      <c r="J341" s="253"/>
      <c r="K341" s="253"/>
      <c r="L341" s="253"/>
      <c r="M341" s="253"/>
      <c r="N341" s="253"/>
      <c r="O341" s="253"/>
    </row>
    <row r="342" spans="1:15" s="255" customFormat="1">
      <c r="A342" s="253"/>
      <c r="B342" s="253"/>
      <c r="C342" s="253"/>
      <c r="D342" s="253"/>
      <c r="E342" s="253"/>
      <c r="F342" s="253"/>
      <c r="G342" s="253"/>
      <c r="H342" s="253"/>
      <c r="I342" s="253"/>
      <c r="J342" s="253"/>
      <c r="K342" s="253"/>
      <c r="L342" s="253"/>
      <c r="M342" s="253"/>
      <c r="N342" s="253"/>
      <c r="O342" s="253"/>
    </row>
    <row r="343" spans="1:15" s="255" customFormat="1">
      <c r="A343" s="253"/>
      <c r="B343" s="253"/>
      <c r="C343" s="253"/>
      <c r="D343" s="253"/>
      <c r="E343" s="253"/>
      <c r="F343" s="253"/>
      <c r="G343" s="253"/>
      <c r="H343" s="253"/>
      <c r="I343" s="253"/>
      <c r="J343" s="253"/>
      <c r="K343" s="253"/>
      <c r="L343" s="253"/>
      <c r="M343" s="253"/>
      <c r="N343" s="253"/>
      <c r="O343" s="253"/>
    </row>
    <row r="344" spans="1:15" s="255" customFormat="1">
      <c r="A344" s="253"/>
      <c r="B344" s="253"/>
      <c r="C344" s="253"/>
      <c r="D344" s="253"/>
      <c r="E344" s="253"/>
      <c r="F344" s="253"/>
      <c r="G344" s="253"/>
      <c r="H344" s="253"/>
      <c r="I344" s="253"/>
      <c r="J344" s="253"/>
      <c r="K344" s="253"/>
      <c r="L344" s="253"/>
      <c r="M344" s="253"/>
      <c r="N344" s="253"/>
      <c r="O344" s="253"/>
    </row>
    <row r="345" spans="1:15" s="255" customFormat="1">
      <c r="A345" s="253"/>
      <c r="B345" s="253"/>
      <c r="C345" s="253"/>
      <c r="D345" s="253"/>
      <c r="E345" s="253"/>
      <c r="F345" s="253"/>
      <c r="G345" s="253"/>
      <c r="H345" s="253"/>
      <c r="I345" s="253"/>
      <c r="J345" s="253"/>
      <c r="K345" s="253"/>
      <c r="L345" s="253"/>
      <c r="M345" s="253"/>
      <c r="N345" s="253"/>
      <c r="O345" s="253"/>
    </row>
    <row r="346" spans="1:15" s="255" customFormat="1">
      <c r="A346" s="253"/>
      <c r="B346" s="253"/>
      <c r="C346" s="253"/>
      <c r="D346" s="253"/>
      <c r="E346" s="253"/>
      <c r="F346" s="253"/>
      <c r="G346" s="253"/>
      <c r="H346" s="253"/>
      <c r="I346" s="253"/>
      <c r="J346" s="253"/>
      <c r="K346" s="253"/>
      <c r="L346" s="253"/>
      <c r="M346" s="253"/>
      <c r="N346" s="253"/>
      <c r="O346" s="253"/>
    </row>
    <row r="347" spans="1:15" s="255" customFormat="1">
      <c r="A347" s="253"/>
      <c r="B347" s="253"/>
      <c r="C347" s="253"/>
      <c r="D347" s="253"/>
      <c r="E347" s="253"/>
      <c r="F347" s="253"/>
      <c r="G347" s="253"/>
      <c r="H347" s="253"/>
      <c r="I347" s="253"/>
      <c r="J347" s="253"/>
      <c r="K347" s="253"/>
      <c r="L347" s="253"/>
      <c r="M347" s="253"/>
      <c r="N347" s="253"/>
      <c r="O347" s="253"/>
    </row>
    <row r="348" spans="1:15" s="255" customFormat="1">
      <c r="A348" s="253"/>
      <c r="B348" s="253"/>
      <c r="C348" s="253"/>
      <c r="D348" s="253"/>
      <c r="E348" s="253"/>
      <c r="F348" s="253"/>
      <c r="G348" s="253"/>
      <c r="H348" s="253"/>
      <c r="I348" s="253"/>
      <c r="J348" s="253"/>
      <c r="K348" s="253"/>
      <c r="L348" s="253"/>
      <c r="M348" s="253"/>
      <c r="N348" s="253"/>
      <c r="O348" s="253"/>
    </row>
    <row r="349" spans="1:15" s="255" customFormat="1">
      <c r="A349" s="253"/>
      <c r="B349" s="253"/>
      <c r="C349" s="253"/>
      <c r="D349" s="253"/>
      <c r="E349" s="253"/>
      <c r="F349" s="253"/>
      <c r="G349" s="253"/>
      <c r="H349" s="253"/>
      <c r="I349" s="253"/>
      <c r="J349" s="253"/>
      <c r="K349" s="253"/>
      <c r="L349" s="253"/>
      <c r="M349" s="253"/>
      <c r="N349" s="253"/>
      <c r="O349" s="253"/>
    </row>
    <row r="350" spans="1:15" s="255" customFormat="1">
      <c r="A350" s="253"/>
      <c r="B350" s="253"/>
      <c r="C350" s="253"/>
      <c r="D350" s="253"/>
      <c r="E350" s="253"/>
      <c r="F350" s="253"/>
      <c r="G350" s="253"/>
      <c r="H350" s="253"/>
      <c r="I350" s="253"/>
      <c r="J350" s="253"/>
      <c r="K350" s="253"/>
      <c r="L350" s="253"/>
      <c r="M350" s="253"/>
      <c r="N350" s="253"/>
      <c r="O350" s="253"/>
    </row>
    <row r="351" spans="1:15" s="255" customFormat="1">
      <c r="A351" s="253"/>
      <c r="B351" s="253"/>
      <c r="C351" s="253"/>
      <c r="D351" s="253"/>
      <c r="E351" s="253"/>
      <c r="F351" s="253"/>
      <c r="G351" s="253"/>
      <c r="H351" s="253"/>
      <c r="I351" s="253"/>
      <c r="J351" s="253"/>
      <c r="K351" s="253"/>
      <c r="L351" s="253"/>
      <c r="M351" s="253"/>
      <c r="N351" s="253"/>
      <c r="O351" s="253"/>
    </row>
    <row r="352" spans="1:15" s="255" customFormat="1">
      <c r="A352" s="253"/>
      <c r="B352" s="253"/>
      <c r="C352" s="253"/>
      <c r="D352" s="253"/>
      <c r="E352" s="253"/>
      <c r="F352" s="253"/>
      <c r="G352" s="253"/>
      <c r="H352" s="253"/>
      <c r="I352" s="253"/>
      <c r="J352" s="253"/>
      <c r="K352" s="253"/>
      <c r="L352" s="253"/>
      <c r="M352" s="253"/>
      <c r="N352" s="253"/>
      <c r="O352" s="253"/>
    </row>
    <row r="353" spans="1:15" s="255" customFormat="1">
      <c r="A353" s="253"/>
      <c r="B353" s="253"/>
      <c r="C353" s="253"/>
      <c r="D353" s="253"/>
      <c r="E353" s="253"/>
      <c r="F353" s="253"/>
      <c r="G353" s="253"/>
      <c r="H353" s="253"/>
      <c r="I353" s="253"/>
      <c r="J353" s="253"/>
      <c r="K353" s="253"/>
      <c r="L353" s="253"/>
      <c r="M353" s="253"/>
      <c r="N353" s="253"/>
      <c r="O353" s="253"/>
    </row>
    <row r="354" spans="1:15" s="255" customFormat="1">
      <c r="A354" s="253"/>
      <c r="B354" s="253"/>
      <c r="C354" s="253"/>
      <c r="D354" s="253"/>
      <c r="E354" s="253"/>
      <c r="F354" s="253"/>
      <c r="G354" s="253"/>
      <c r="H354" s="253"/>
      <c r="I354" s="253"/>
      <c r="J354" s="253"/>
      <c r="K354" s="253"/>
      <c r="L354" s="253"/>
      <c r="M354" s="253"/>
      <c r="N354" s="253"/>
      <c r="O354" s="253"/>
    </row>
    <row r="355" spans="1:15" s="255" customFormat="1">
      <c r="A355" s="253"/>
      <c r="B355" s="253"/>
      <c r="C355" s="253"/>
      <c r="D355" s="253"/>
      <c r="E355" s="253"/>
      <c r="F355" s="253"/>
      <c r="G355" s="253"/>
      <c r="H355" s="253"/>
      <c r="I355" s="253"/>
      <c r="J355" s="253"/>
      <c r="K355" s="253"/>
      <c r="L355" s="253"/>
      <c r="M355" s="253"/>
      <c r="N355" s="253"/>
      <c r="O355" s="253"/>
    </row>
    <row r="356" spans="1:15" s="255" customFormat="1">
      <c r="A356" s="253"/>
      <c r="B356" s="253"/>
      <c r="C356" s="253"/>
      <c r="D356" s="253"/>
      <c r="E356" s="253"/>
      <c r="F356" s="253"/>
      <c r="G356" s="253"/>
      <c r="H356" s="253"/>
      <c r="I356" s="253"/>
      <c r="J356" s="253"/>
      <c r="K356" s="253"/>
      <c r="L356" s="253"/>
      <c r="M356" s="253"/>
      <c r="N356" s="253"/>
      <c r="O356" s="253"/>
    </row>
    <row r="357" spans="1:15" s="255" customFormat="1">
      <c r="A357" s="253"/>
      <c r="B357" s="253"/>
      <c r="C357" s="253"/>
      <c r="D357" s="253"/>
      <c r="E357" s="253"/>
      <c r="F357" s="253"/>
      <c r="G357" s="253"/>
      <c r="H357" s="253"/>
      <c r="I357" s="253"/>
      <c r="J357" s="253"/>
      <c r="K357" s="253"/>
      <c r="L357" s="253"/>
      <c r="M357" s="253"/>
      <c r="N357" s="253"/>
      <c r="O357" s="253"/>
    </row>
    <row r="358" spans="1:15" s="255" customFormat="1">
      <c r="A358" s="253"/>
      <c r="B358" s="253"/>
      <c r="C358" s="253"/>
      <c r="D358" s="253"/>
      <c r="E358" s="253"/>
      <c r="F358" s="253"/>
      <c r="G358" s="253"/>
      <c r="H358" s="253"/>
      <c r="I358" s="253"/>
      <c r="J358" s="253"/>
      <c r="K358" s="253"/>
      <c r="L358" s="253"/>
      <c r="M358" s="253"/>
      <c r="N358" s="253"/>
      <c r="O358" s="253"/>
    </row>
    <row r="359" spans="1:15" s="255" customFormat="1">
      <c r="A359" s="253"/>
      <c r="B359" s="253"/>
      <c r="C359" s="253"/>
      <c r="D359" s="253"/>
      <c r="E359" s="253"/>
      <c r="F359" s="253"/>
      <c r="G359" s="253"/>
      <c r="H359" s="253"/>
      <c r="I359" s="253"/>
      <c r="J359" s="253"/>
      <c r="K359" s="253"/>
      <c r="L359" s="253"/>
      <c r="M359" s="253"/>
      <c r="N359" s="253"/>
      <c r="O359" s="253"/>
    </row>
    <row r="360" spans="1:15" s="255" customFormat="1">
      <c r="A360" s="253"/>
      <c r="B360" s="253"/>
      <c r="C360" s="253"/>
      <c r="D360" s="253"/>
      <c r="E360" s="253"/>
      <c r="F360" s="253"/>
      <c r="G360" s="253"/>
      <c r="H360" s="253"/>
      <c r="I360" s="253"/>
      <c r="J360" s="253"/>
      <c r="K360" s="253"/>
      <c r="L360" s="253"/>
      <c r="M360" s="253"/>
      <c r="N360" s="253"/>
      <c r="O360" s="253"/>
    </row>
    <row r="361" spans="1:15" s="255" customFormat="1">
      <c r="A361" s="253"/>
      <c r="B361" s="253"/>
      <c r="C361" s="253"/>
      <c r="D361" s="253"/>
      <c r="E361" s="253"/>
      <c r="F361" s="253"/>
      <c r="G361" s="253"/>
      <c r="H361" s="253"/>
      <c r="I361" s="253"/>
      <c r="J361" s="253"/>
      <c r="K361" s="253"/>
      <c r="L361" s="253"/>
      <c r="M361" s="253"/>
      <c r="N361" s="253"/>
      <c r="O361" s="253"/>
    </row>
    <row r="362" spans="1:15" s="255" customFormat="1">
      <c r="A362" s="253"/>
      <c r="B362" s="253"/>
      <c r="C362" s="253"/>
      <c r="D362" s="253"/>
      <c r="E362" s="253"/>
      <c r="F362" s="253"/>
      <c r="G362" s="253"/>
      <c r="H362" s="253"/>
      <c r="I362" s="253"/>
      <c r="J362" s="253"/>
      <c r="K362" s="253"/>
      <c r="L362" s="253"/>
      <c r="M362" s="253"/>
      <c r="N362" s="253"/>
      <c r="O362" s="253"/>
    </row>
    <row r="363" spans="1:15" s="255" customFormat="1">
      <c r="A363" s="253"/>
      <c r="B363" s="253"/>
      <c r="C363" s="253"/>
      <c r="D363" s="253"/>
      <c r="E363" s="253"/>
      <c r="F363" s="253"/>
      <c r="G363" s="253"/>
      <c r="H363" s="253"/>
      <c r="I363" s="253"/>
      <c r="J363" s="253"/>
      <c r="K363" s="253"/>
      <c r="L363" s="253"/>
      <c r="M363" s="253"/>
      <c r="N363" s="253"/>
      <c r="O363" s="253"/>
    </row>
    <row r="364" spans="1:15" s="255" customFormat="1">
      <c r="A364" s="253"/>
      <c r="B364" s="253"/>
      <c r="C364" s="253"/>
      <c r="D364" s="253"/>
      <c r="E364" s="253"/>
      <c r="F364" s="253"/>
      <c r="G364" s="253"/>
      <c r="H364" s="253"/>
      <c r="I364" s="253"/>
      <c r="J364" s="253"/>
      <c r="K364" s="253"/>
      <c r="L364" s="253"/>
      <c r="M364" s="253"/>
      <c r="N364" s="253"/>
      <c r="O364" s="253"/>
    </row>
    <row r="365" spans="1:15" s="255" customFormat="1">
      <c r="A365" s="253"/>
      <c r="B365" s="253"/>
      <c r="C365" s="253"/>
      <c r="D365" s="253"/>
      <c r="E365" s="253"/>
      <c r="F365" s="253"/>
      <c r="G365" s="253"/>
      <c r="H365" s="253"/>
      <c r="I365" s="253"/>
      <c r="J365" s="253"/>
      <c r="K365" s="253"/>
      <c r="L365" s="253"/>
      <c r="M365" s="253"/>
      <c r="N365" s="253"/>
      <c r="O365" s="253"/>
    </row>
    <row r="366" spans="1:15" s="255" customFormat="1">
      <c r="A366" s="253"/>
      <c r="B366" s="253"/>
      <c r="C366" s="253"/>
      <c r="D366" s="253"/>
      <c r="E366" s="253"/>
      <c r="F366" s="253"/>
      <c r="G366" s="253"/>
      <c r="H366" s="253"/>
      <c r="I366" s="253"/>
      <c r="J366" s="253"/>
      <c r="K366" s="253"/>
      <c r="L366" s="253"/>
      <c r="M366" s="253"/>
      <c r="N366" s="253"/>
      <c r="O366" s="253"/>
    </row>
    <row r="367" spans="1:15" s="255" customFormat="1">
      <c r="A367" s="253"/>
      <c r="B367" s="253"/>
      <c r="C367" s="253"/>
      <c r="D367" s="253"/>
      <c r="E367" s="253"/>
      <c r="F367" s="253"/>
      <c r="G367" s="253"/>
      <c r="H367" s="253"/>
      <c r="I367" s="253"/>
      <c r="J367" s="253"/>
      <c r="K367" s="253"/>
      <c r="L367" s="253"/>
      <c r="M367" s="253"/>
      <c r="N367" s="253"/>
      <c r="O367" s="253"/>
    </row>
    <row r="368" spans="1:15" s="255" customFormat="1">
      <c r="A368" s="253"/>
      <c r="B368" s="253"/>
      <c r="C368" s="253"/>
      <c r="D368" s="253"/>
      <c r="E368" s="253"/>
      <c r="F368" s="253"/>
      <c r="G368" s="253"/>
      <c r="H368" s="253"/>
      <c r="I368" s="253"/>
      <c r="J368" s="253"/>
      <c r="K368" s="253"/>
      <c r="L368" s="253"/>
      <c r="M368" s="253"/>
      <c r="N368" s="253"/>
      <c r="O368" s="253"/>
    </row>
    <row r="369" spans="1:15" s="255" customFormat="1">
      <c r="A369" s="253"/>
      <c r="B369" s="253"/>
      <c r="C369" s="253"/>
      <c r="D369" s="253"/>
      <c r="E369" s="253"/>
      <c r="F369" s="253"/>
      <c r="G369" s="253"/>
      <c r="H369" s="253"/>
      <c r="I369" s="253"/>
      <c r="J369" s="253"/>
      <c r="K369" s="253"/>
      <c r="L369" s="253"/>
      <c r="M369" s="253"/>
      <c r="N369" s="253"/>
      <c r="O369" s="253"/>
    </row>
    <row r="370" spans="1:15" s="255" customFormat="1">
      <c r="A370" s="253"/>
      <c r="B370" s="253"/>
      <c r="C370" s="253"/>
      <c r="D370" s="253"/>
      <c r="E370" s="253"/>
      <c r="F370" s="253"/>
      <c r="G370" s="253"/>
      <c r="H370" s="253"/>
      <c r="I370" s="253"/>
      <c r="J370" s="253"/>
      <c r="K370" s="253"/>
      <c r="L370" s="253"/>
      <c r="M370" s="253"/>
      <c r="N370" s="253"/>
      <c r="O370" s="253"/>
    </row>
    <row r="371" spans="1:15" s="255" customFormat="1">
      <c r="A371" s="253"/>
      <c r="B371" s="253"/>
      <c r="C371" s="253"/>
      <c r="D371" s="253"/>
      <c r="E371" s="253"/>
      <c r="F371" s="253"/>
      <c r="G371" s="253"/>
      <c r="H371" s="253"/>
      <c r="I371" s="253"/>
      <c r="J371" s="253"/>
      <c r="K371" s="253"/>
      <c r="L371" s="253"/>
      <c r="M371" s="253"/>
      <c r="N371" s="253"/>
      <c r="O371" s="253"/>
    </row>
    <row r="372" spans="1:15" s="255" customFormat="1">
      <c r="A372" s="253"/>
      <c r="B372" s="253"/>
      <c r="C372" s="253"/>
      <c r="D372" s="253"/>
      <c r="E372" s="253"/>
      <c r="F372" s="253"/>
      <c r="G372" s="253"/>
      <c r="H372" s="253"/>
      <c r="I372" s="253"/>
      <c r="J372" s="253"/>
      <c r="K372" s="253"/>
      <c r="L372" s="253"/>
      <c r="M372" s="253"/>
      <c r="N372" s="253"/>
      <c r="O372" s="253"/>
    </row>
    <row r="373" spans="1:15" s="255" customFormat="1">
      <c r="A373" s="253"/>
      <c r="B373" s="253"/>
      <c r="C373" s="253"/>
      <c r="D373" s="253"/>
      <c r="E373" s="253"/>
      <c r="F373" s="253"/>
      <c r="G373" s="253"/>
      <c r="H373" s="253"/>
      <c r="I373" s="253"/>
      <c r="J373" s="253"/>
      <c r="K373" s="253"/>
      <c r="L373" s="253"/>
      <c r="M373" s="253"/>
      <c r="N373" s="253"/>
      <c r="O373" s="253"/>
    </row>
    <row r="374" spans="1:15" s="255" customFormat="1">
      <c r="A374" s="253"/>
      <c r="B374" s="253"/>
      <c r="C374" s="253"/>
      <c r="D374" s="253"/>
      <c r="E374" s="253"/>
      <c r="F374" s="253"/>
      <c r="G374" s="253"/>
      <c r="H374" s="253"/>
      <c r="I374" s="253"/>
      <c r="J374" s="253"/>
      <c r="K374" s="253"/>
      <c r="L374" s="253"/>
      <c r="M374" s="253"/>
      <c r="N374" s="253"/>
      <c r="O374" s="253"/>
    </row>
    <row r="375" spans="1:15">
      <c r="A375" s="253"/>
      <c r="B375" s="253"/>
      <c r="C375" s="253"/>
      <c r="D375" s="253"/>
      <c r="E375" s="253"/>
      <c r="F375" s="253"/>
      <c r="G375" s="253"/>
      <c r="H375" s="253"/>
      <c r="I375" s="253"/>
      <c r="J375" s="253"/>
      <c r="K375" s="253"/>
      <c r="L375" s="253"/>
      <c r="M375" s="253"/>
      <c r="N375" s="253"/>
      <c r="O375" s="253"/>
    </row>
    <row r="376" spans="1:15">
      <c r="A376" s="253"/>
      <c r="B376" s="253"/>
      <c r="C376" s="253"/>
      <c r="D376" s="253"/>
      <c r="E376" s="253"/>
      <c r="F376" s="253"/>
      <c r="G376" s="253"/>
      <c r="H376" s="253"/>
      <c r="I376" s="253"/>
      <c r="J376" s="253"/>
      <c r="K376" s="253"/>
      <c r="L376" s="253"/>
      <c r="M376" s="253"/>
      <c r="N376" s="253"/>
      <c r="O376" s="253"/>
    </row>
    <row r="377" spans="1:15">
      <c r="A377" s="253"/>
      <c r="B377" s="253"/>
      <c r="C377" s="253"/>
      <c r="D377" s="253"/>
      <c r="E377" s="253"/>
      <c r="F377" s="253"/>
      <c r="G377" s="253"/>
      <c r="H377" s="253"/>
      <c r="I377" s="253"/>
      <c r="J377" s="253"/>
      <c r="K377" s="253"/>
      <c r="L377" s="253"/>
      <c r="M377" s="253"/>
      <c r="N377" s="253"/>
      <c r="O377" s="253"/>
    </row>
    <row r="378" spans="1:15">
      <c r="A378" s="253"/>
      <c r="B378" s="253"/>
      <c r="C378" s="253"/>
      <c r="D378" s="253"/>
      <c r="E378" s="253"/>
      <c r="F378" s="253"/>
      <c r="G378" s="253"/>
      <c r="H378" s="253"/>
      <c r="I378" s="253"/>
      <c r="J378" s="253"/>
      <c r="K378" s="253"/>
      <c r="L378" s="253"/>
      <c r="M378" s="253"/>
      <c r="N378" s="253"/>
      <c r="O378" s="253"/>
    </row>
    <row r="379" spans="1:15">
      <c r="A379" s="253"/>
      <c r="B379" s="253"/>
      <c r="C379" s="253"/>
      <c r="D379" s="253"/>
      <c r="E379" s="253"/>
      <c r="F379" s="253"/>
      <c r="G379" s="253"/>
      <c r="H379" s="253"/>
      <c r="I379" s="253"/>
      <c r="J379" s="253"/>
      <c r="K379" s="253"/>
      <c r="L379" s="253"/>
      <c r="M379" s="253"/>
      <c r="N379" s="253"/>
      <c r="O379" s="253"/>
    </row>
    <row r="380" spans="1:15">
      <c r="A380" s="253"/>
      <c r="B380" s="253"/>
      <c r="C380" s="253"/>
      <c r="D380" s="253"/>
      <c r="E380" s="253"/>
      <c r="F380" s="253"/>
      <c r="G380" s="253"/>
      <c r="H380" s="253"/>
      <c r="I380" s="253"/>
      <c r="J380" s="253"/>
      <c r="K380" s="253"/>
      <c r="L380" s="253"/>
      <c r="M380" s="253"/>
      <c r="N380" s="253"/>
      <c r="O380" s="253"/>
    </row>
    <row r="381" spans="1:15">
      <c r="A381" s="253"/>
      <c r="B381" s="253"/>
      <c r="C381" s="253"/>
      <c r="D381" s="253"/>
      <c r="E381" s="253"/>
      <c r="F381" s="253"/>
      <c r="G381" s="253"/>
      <c r="H381" s="253"/>
      <c r="I381" s="253"/>
      <c r="J381" s="253"/>
      <c r="K381" s="253"/>
      <c r="L381" s="253"/>
      <c r="M381" s="253"/>
      <c r="N381" s="253"/>
      <c r="O381" s="253"/>
    </row>
    <row r="382" spans="1:15">
      <c r="A382" s="253"/>
      <c r="B382" s="253"/>
      <c r="C382" s="253"/>
      <c r="D382" s="253"/>
      <c r="E382" s="253"/>
      <c r="F382" s="253"/>
      <c r="G382" s="253"/>
      <c r="H382" s="253"/>
      <c r="I382" s="253"/>
      <c r="J382" s="253"/>
      <c r="K382" s="253"/>
      <c r="L382" s="253"/>
      <c r="M382" s="253"/>
      <c r="N382" s="253"/>
      <c r="O382" s="253"/>
    </row>
    <row r="383" spans="1:15">
      <c r="A383" s="253"/>
      <c r="B383" s="253"/>
      <c r="C383" s="253"/>
      <c r="D383" s="253"/>
      <c r="E383" s="253"/>
      <c r="F383" s="253"/>
      <c r="G383" s="253"/>
      <c r="H383" s="253"/>
      <c r="I383" s="253"/>
      <c r="J383" s="253"/>
      <c r="K383" s="253"/>
      <c r="L383" s="253"/>
      <c r="M383" s="253"/>
      <c r="N383" s="253"/>
      <c r="O383" s="253"/>
    </row>
    <row r="384" spans="1:15">
      <c r="A384" s="253"/>
      <c r="B384" s="253"/>
      <c r="C384" s="253"/>
      <c r="D384" s="253"/>
      <c r="E384" s="253"/>
      <c r="F384" s="253"/>
      <c r="G384" s="253"/>
      <c r="H384" s="253"/>
      <c r="I384" s="253"/>
      <c r="J384" s="253"/>
      <c r="K384" s="253"/>
      <c r="L384" s="253"/>
      <c r="M384" s="253"/>
      <c r="N384" s="253"/>
      <c r="O384" s="253"/>
    </row>
    <row r="385" spans="1:15">
      <c r="A385" s="253"/>
      <c r="B385" s="253"/>
      <c r="C385" s="253"/>
      <c r="D385" s="253"/>
      <c r="E385" s="253"/>
      <c r="F385" s="253"/>
      <c r="G385" s="253"/>
      <c r="H385" s="253"/>
      <c r="I385" s="253"/>
      <c r="J385" s="253"/>
      <c r="K385" s="253"/>
      <c r="L385" s="253"/>
      <c r="M385" s="253"/>
      <c r="N385" s="253"/>
      <c r="O385" s="253"/>
    </row>
    <row r="386" spans="1:15">
      <c r="A386" s="253"/>
      <c r="B386" s="253"/>
      <c r="C386" s="253"/>
      <c r="D386" s="253"/>
      <c r="E386" s="253"/>
      <c r="F386" s="253"/>
      <c r="G386" s="253"/>
      <c r="H386" s="253"/>
      <c r="I386" s="253"/>
      <c r="J386" s="253"/>
      <c r="K386" s="253"/>
      <c r="L386" s="253"/>
      <c r="M386" s="253"/>
      <c r="N386" s="253"/>
      <c r="O386" s="253"/>
    </row>
    <row r="387" spans="1:15">
      <c r="A387" s="253"/>
      <c r="B387" s="253"/>
      <c r="C387" s="253"/>
      <c r="D387" s="253"/>
      <c r="E387" s="253"/>
      <c r="F387" s="253"/>
      <c r="G387" s="253"/>
      <c r="H387" s="253"/>
      <c r="I387" s="253"/>
      <c r="J387" s="253"/>
      <c r="K387" s="253"/>
      <c r="L387" s="253"/>
      <c r="M387" s="253"/>
      <c r="N387" s="253"/>
      <c r="O387" s="253"/>
    </row>
    <row r="388" spans="1:15">
      <c r="A388" s="253"/>
      <c r="B388" s="253"/>
      <c r="C388" s="253"/>
      <c r="D388" s="253"/>
      <c r="E388" s="253"/>
      <c r="F388" s="253"/>
      <c r="G388" s="253"/>
      <c r="H388" s="253"/>
      <c r="I388" s="253"/>
      <c r="J388" s="253"/>
      <c r="K388" s="253"/>
      <c r="L388" s="253"/>
      <c r="M388" s="253"/>
      <c r="N388" s="253"/>
      <c r="O388" s="253"/>
    </row>
    <row r="389" spans="1:15">
      <c r="A389" s="253"/>
      <c r="B389" s="253"/>
      <c r="C389" s="253"/>
      <c r="D389" s="253"/>
      <c r="E389" s="253"/>
      <c r="F389" s="253"/>
      <c r="G389" s="253"/>
      <c r="H389" s="253"/>
      <c r="I389" s="253"/>
      <c r="J389" s="253"/>
      <c r="K389" s="253"/>
      <c r="L389" s="253"/>
      <c r="M389" s="253"/>
      <c r="N389" s="253"/>
      <c r="O389" s="253"/>
    </row>
    <row r="390" spans="1:15">
      <c r="A390" s="253"/>
      <c r="B390" s="253"/>
      <c r="C390" s="253"/>
      <c r="D390" s="253"/>
      <c r="E390" s="253"/>
      <c r="F390" s="253"/>
      <c r="G390" s="253"/>
      <c r="H390" s="253"/>
      <c r="I390" s="253"/>
      <c r="J390" s="253"/>
      <c r="K390" s="253"/>
      <c r="L390" s="253"/>
      <c r="M390" s="253"/>
      <c r="N390" s="253"/>
      <c r="O390" s="253"/>
    </row>
    <row r="391" spans="1:15">
      <c r="A391" s="253"/>
      <c r="B391" s="253"/>
      <c r="C391" s="253"/>
      <c r="D391" s="253"/>
      <c r="E391" s="253"/>
      <c r="F391" s="253"/>
      <c r="G391" s="253"/>
      <c r="H391" s="253"/>
      <c r="I391" s="253"/>
      <c r="J391" s="253"/>
      <c r="K391" s="253"/>
      <c r="L391" s="253"/>
      <c r="M391" s="253"/>
      <c r="N391" s="253"/>
      <c r="O391" s="253"/>
    </row>
    <row r="392" spans="1:15">
      <c r="A392" s="253"/>
      <c r="B392" s="253"/>
      <c r="C392" s="253"/>
      <c r="D392" s="253"/>
      <c r="E392" s="253"/>
      <c r="F392" s="253"/>
      <c r="G392" s="253"/>
      <c r="H392" s="253"/>
      <c r="I392" s="253"/>
      <c r="J392" s="253"/>
      <c r="K392" s="253"/>
      <c r="L392" s="253"/>
      <c r="M392" s="253"/>
      <c r="N392" s="253"/>
      <c r="O392" s="253"/>
    </row>
    <row r="393" spans="1:15">
      <c r="A393" s="253"/>
      <c r="B393" s="253"/>
      <c r="C393" s="253"/>
      <c r="D393" s="253"/>
      <c r="E393" s="253"/>
      <c r="F393" s="253"/>
      <c r="G393" s="253"/>
      <c r="H393" s="253"/>
      <c r="I393" s="253"/>
      <c r="J393" s="253"/>
      <c r="K393" s="253"/>
      <c r="L393" s="253"/>
      <c r="M393" s="253"/>
      <c r="N393" s="253"/>
      <c r="O393" s="253"/>
    </row>
    <row r="394" spans="1:15">
      <c r="A394" s="253"/>
      <c r="B394" s="253"/>
      <c r="C394" s="253"/>
      <c r="D394" s="253"/>
      <c r="E394" s="253"/>
      <c r="F394" s="253"/>
      <c r="G394" s="253"/>
      <c r="H394" s="253"/>
      <c r="I394" s="253"/>
      <c r="J394" s="253"/>
      <c r="K394" s="253"/>
      <c r="L394" s="253"/>
      <c r="M394" s="253"/>
      <c r="N394" s="253"/>
      <c r="O394" s="253"/>
    </row>
    <row r="395" spans="1:15">
      <c r="A395" s="253"/>
      <c r="B395" s="253"/>
      <c r="C395" s="253"/>
      <c r="D395" s="253"/>
      <c r="E395" s="253"/>
      <c r="F395" s="253"/>
      <c r="G395" s="253"/>
      <c r="H395" s="253"/>
      <c r="I395" s="253"/>
      <c r="J395" s="253"/>
      <c r="K395" s="253"/>
      <c r="L395" s="253"/>
      <c r="M395" s="253"/>
      <c r="N395" s="253"/>
      <c r="O395" s="253"/>
    </row>
    <row r="396" spans="1:15">
      <c r="A396" s="253"/>
      <c r="B396" s="253"/>
      <c r="C396" s="253"/>
      <c r="D396" s="253"/>
      <c r="E396" s="253"/>
      <c r="F396" s="253"/>
      <c r="G396" s="253"/>
      <c r="H396" s="253"/>
      <c r="I396" s="253"/>
      <c r="J396" s="253"/>
      <c r="K396" s="253"/>
      <c r="L396" s="253"/>
      <c r="M396" s="253"/>
      <c r="N396" s="253"/>
      <c r="O396" s="253"/>
    </row>
    <row r="397" spans="1:15">
      <c r="A397" s="253"/>
      <c r="B397" s="253"/>
      <c r="C397" s="253"/>
      <c r="D397" s="253"/>
      <c r="E397" s="253"/>
      <c r="F397" s="253"/>
      <c r="G397" s="253"/>
      <c r="H397" s="253"/>
      <c r="I397" s="253"/>
      <c r="J397" s="253"/>
      <c r="K397" s="253"/>
      <c r="L397" s="253"/>
      <c r="M397" s="253"/>
      <c r="N397" s="253"/>
      <c r="O397" s="253"/>
    </row>
    <row r="398" spans="1:15">
      <c r="A398" s="253"/>
      <c r="B398" s="253"/>
      <c r="C398" s="253"/>
      <c r="D398" s="253"/>
      <c r="E398" s="253"/>
      <c r="F398" s="253"/>
      <c r="G398" s="253"/>
      <c r="H398" s="253"/>
      <c r="I398" s="253"/>
      <c r="J398" s="253"/>
      <c r="K398" s="253"/>
      <c r="L398" s="253"/>
      <c r="M398" s="253"/>
      <c r="N398" s="253"/>
      <c r="O398" s="253"/>
    </row>
    <row r="399" spans="1:15">
      <c r="A399" s="253"/>
      <c r="B399" s="253"/>
      <c r="C399" s="253"/>
      <c r="D399" s="253"/>
      <c r="E399" s="253"/>
      <c r="F399" s="253"/>
      <c r="G399" s="253"/>
      <c r="H399" s="253"/>
      <c r="I399" s="253"/>
      <c r="J399" s="253"/>
      <c r="K399" s="253"/>
      <c r="L399" s="253"/>
      <c r="M399" s="253"/>
      <c r="N399" s="253"/>
      <c r="O399" s="253"/>
    </row>
    <row r="400" spans="1:15">
      <c r="A400" s="253"/>
      <c r="B400" s="253"/>
      <c r="C400" s="253"/>
      <c r="D400" s="253"/>
      <c r="E400" s="253"/>
      <c r="F400" s="253"/>
      <c r="G400" s="253"/>
      <c r="H400" s="253"/>
      <c r="I400" s="253"/>
      <c r="J400" s="253"/>
      <c r="K400" s="253"/>
      <c r="L400" s="253"/>
      <c r="M400" s="253"/>
      <c r="N400" s="253"/>
      <c r="O400" s="253"/>
    </row>
    <row r="401" spans="1:15">
      <c r="A401" s="253"/>
      <c r="B401" s="253"/>
      <c r="C401" s="253"/>
      <c r="D401" s="253"/>
      <c r="E401" s="253"/>
      <c r="F401" s="253"/>
      <c r="G401" s="253"/>
      <c r="H401" s="253"/>
      <c r="I401" s="253"/>
      <c r="J401" s="253"/>
      <c r="K401" s="253"/>
      <c r="L401" s="253"/>
      <c r="M401" s="253"/>
      <c r="N401" s="253"/>
      <c r="O401" s="253"/>
    </row>
    <row r="402" spans="1:15">
      <c r="A402" s="253"/>
      <c r="B402" s="253"/>
      <c r="C402" s="253"/>
      <c r="D402" s="253"/>
      <c r="E402" s="253"/>
      <c r="F402" s="253"/>
      <c r="G402" s="253"/>
      <c r="H402" s="253"/>
      <c r="I402" s="253"/>
      <c r="J402" s="253"/>
      <c r="K402" s="253"/>
      <c r="L402" s="253"/>
      <c r="M402" s="253"/>
      <c r="N402" s="253"/>
      <c r="O402" s="253"/>
    </row>
    <row r="403" spans="1:15">
      <c r="A403" s="253"/>
      <c r="B403" s="253"/>
      <c r="C403" s="253"/>
      <c r="D403" s="253"/>
      <c r="E403" s="253"/>
      <c r="F403" s="253"/>
      <c r="G403" s="253"/>
      <c r="H403" s="253"/>
      <c r="I403" s="253"/>
      <c r="J403" s="253"/>
      <c r="K403" s="253"/>
      <c r="L403" s="253"/>
      <c r="M403" s="253"/>
      <c r="N403" s="253"/>
      <c r="O403" s="253"/>
    </row>
    <row r="404" spans="1:15">
      <c r="A404" s="253"/>
      <c r="B404" s="253"/>
      <c r="C404" s="253"/>
      <c r="D404" s="253"/>
      <c r="E404" s="253"/>
      <c r="F404" s="253"/>
      <c r="G404" s="253"/>
      <c r="H404" s="253"/>
      <c r="I404" s="253"/>
      <c r="J404" s="253"/>
      <c r="K404" s="253"/>
      <c r="L404" s="253"/>
      <c r="M404" s="253"/>
      <c r="N404" s="253"/>
      <c r="O404" s="253"/>
    </row>
    <row r="405" spans="1:15">
      <c r="A405" s="253"/>
      <c r="B405" s="253"/>
      <c r="C405" s="253"/>
      <c r="D405" s="253"/>
      <c r="E405" s="253"/>
      <c r="F405" s="253"/>
      <c r="G405" s="253"/>
      <c r="H405" s="253"/>
      <c r="I405" s="253"/>
      <c r="J405" s="253"/>
      <c r="K405" s="253"/>
      <c r="L405" s="253"/>
      <c r="M405" s="253"/>
      <c r="N405" s="253"/>
      <c r="O405" s="253"/>
    </row>
    <row r="406" spans="1:15">
      <c r="A406" s="253"/>
      <c r="B406" s="253"/>
      <c r="C406" s="253"/>
      <c r="D406" s="253"/>
      <c r="E406" s="253"/>
      <c r="F406" s="253"/>
      <c r="G406" s="253"/>
      <c r="H406" s="253"/>
      <c r="I406" s="253"/>
      <c r="J406" s="253"/>
      <c r="K406" s="253"/>
      <c r="L406" s="253"/>
      <c r="M406" s="253"/>
      <c r="N406" s="253"/>
      <c r="O406" s="253"/>
    </row>
    <row r="407" spans="1:15">
      <c r="A407" s="253"/>
      <c r="B407" s="253"/>
      <c r="C407" s="253"/>
      <c r="D407" s="253"/>
      <c r="E407" s="253"/>
      <c r="F407" s="253"/>
      <c r="G407" s="253"/>
      <c r="H407" s="253"/>
      <c r="I407" s="253"/>
      <c r="J407" s="253"/>
      <c r="K407" s="253"/>
      <c r="L407" s="253"/>
      <c r="M407" s="253"/>
      <c r="N407" s="253"/>
      <c r="O407" s="253"/>
    </row>
    <row r="408" spans="1:15">
      <c r="A408" s="253"/>
      <c r="B408" s="253"/>
      <c r="C408" s="253"/>
      <c r="D408" s="253"/>
      <c r="E408" s="253"/>
      <c r="F408" s="253"/>
      <c r="G408" s="253"/>
      <c r="H408" s="253"/>
      <c r="I408" s="253"/>
      <c r="J408" s="253"/>
      <c r="K408" s="253"/>
      <c r="L408" s="253"/>
      <c r="M408" s="253"/>
      <c r="N408" s="253"/>
      <c r="O408" s="253"/>
    </row>
    <row r="409" spans="1:15">
      <c r="A409" s="253"/>
      <c r="B409" s="253"/>
      <c r="C409" s="253"/>
      <c r="D409" s="253"/>
      <c r="E409" s="253"/>
      <c r="F409" s="253"/>
      <c r="G409" s="253"/>
      <c r="H409" s="253"/>
      <c r="I409" s="253"/>
      <c r="J409" s="253"/>
      <c r="K409" s="253"/>
      <c r="L409" s="253"/>
      <c r="M409" s="253"/>
      <c r="N409" s="253"/>
      <c r="O409" s="253"/>
    </row>
    <row r="410" spans="1:15">
      <c r="A410" s="253"/>
      <c r="B410" s="253"/>
      <c r="C410" s="253"/>
      <c r="D410" s="253"/>
      <c r="E410" s="253"/>
      <c r="F410" s="253"/>
      <c r="G410" s="253"/>
      <c r="H410" s="253"/>
      <c r="I410" s="253"/>
      <c r="J410" s="253"/>
      <c r="K410" s="253"/>
      <c r="L410" s="253"/>
      <c r="M410" s="253"/>
      <c r="N410" s="253"/>
      <c r="O410" s="253"/>
    </row>
    <row r="411" spans="1:15">
      <c r="A411" s="253"/>
      <c r="B411" s="253"/>
      <c r="C411" s="253"/>
      <c r="D411" s="253"/>
      <c r="E411" s="253"/>
      <c r="F411" s="253"/>
      <c r="G411" s="253"/>
      <c r="H411" s="253"/>
      <c r="I411" s="253"/>
      <c r="J411" s="253"/>
      <c r="K411" s="253"/>
      <c r="L411" s="253"/>
      <c r="M411" s="253"/>
      <c r="N411" s="253"/>
      <c r="O411" s="253"/>
    </row>
    <row r="412" spans="1:15">
      <c r="A412" s="253"/>
      <c r="B412" s="253"/>
      <c r="C412" s="253"/>
      <c r="D412" s="253"/>
      <c r="E412" s="253"/>
      <c r="F412" s="253"/>
      <c r="G412" s="253"/>
      <c r="H412" s="253"/>
      <c r="I412" s="253"/>
      <c r="J412" s="253"/>
      <c r="K412" s="253"/>
      <c r="L412" s="253"/>
      <c r="M412" s="253"/>
      <c r="N412" s="253"/>
      <c r="O412" s="253"/>
    </row>
    <row r="413" spans="1:15">
      <c r="A413" s="253"/>
      <c r="B413" s="253"/>
      <c r="C413" s="253"/>
      <c r="D413" s="253"/>
      <c r="E413" s="253"/>
      <c r="F413" s="253"/>
      <c r="G413" s="253"/>
      <c r="H413" s="253"/>
      <c r="I413" s="253"/>
      <c r="J413" s="253"/>
      <c r="K413" s="253"/>
      <c r="L413" s="253"/>
      <c r="M413" s="253"/>
      <c r="N413" s="253"/>
      <c r="O413" s="253"/>
    </row>
    <row r="414" spans="1:15">
      <c r="A414" s="253"/>
      <c r="B414" s="253"/>
      <c r="C414" s="253"/>
      <c r="D414" s="253"/>
      <c r="E414" s="253"/>
      <c r="F414" s="253"/>
      <c r="G414" s="253"/>
      <c r="H414" s="253"/>
      <c r="I414" s="253"/>
      <c r="J414" s="253"/>
      <c r="K414" s="253"/>
      <c r="L414" s="253"/>
      <c r="M414" s="253"/>
      <c r="N414" s="253"/>
      <c r="O414" s="253"/>
    </row>
    <row r="415" spans="1:15">
      <c r="A415" s="253"/>
      <c r="B415" s="253"/>
      <c r="C415" s="253"/>
      <c r="D415" s="253"/>
      <c r="E415" s="253"/>
      <c r="F415" s="253"/>
      <c r="G415" s="253"/>
      <c r="H415" s="253"/>
      <c r="I415" s="253"/>
      <c r="J415" s="253"/>
      <c r="K415" s="253"/>
      <c r="L415" s="253"/>
      <c r="M415" s="253"/>
      <c r="N415" s="253"/>
      <c r="O415" s="253"/>
    </row>
    <row r="416" spans="1:15">
      <c r="A416" s="253"/>
      <c r="B416" s="253"/>
      <c r="C416" s="253"/>
      <c r="D416" s="253"/>
      <c r="E416" s="253"/>
      <c r="F416" s="253"/>
      <c r="G416" s="253"/>
      <c r="H416" s="253"/>
      <c r="I416" s="253"/>
      <c r="J416" s="253"/>
      <c r="K416" s="253"/>
      <c r="L416" s="253"/>
      <c r="M416" s="253"/>
      <c r="N416" s="253"/>
      <c r="O416" s="253"/>
    </row>
    <row r="417" spans="1:15">
      <c r="A417" s="253"/>
      <c r="B417" s="253"/>
      <c r="C417" s="253"/>
      <c r="D417" s="253"/>
      <c r="E417" s="253"/>
      <c r="F417" s="253"/>
      <c r="G417" s="253"/>
      <c r="H417" s="253"/>
      <c r="I417" s="253"/>
      <c r="J417" s="253"/>
      <c r="K417" s="253"/>
      <c r="L417" s="253"/>
      <c r="M417" s="253"/>
      <c r="N417" s="253"/>
      <c r="O417" s="253"/>
    </row>
    <row r="418" spans="1:15">
      <c r="A418" s="253"/>
      <c r="B418" s="253"/>
      <c r="C418" s="253"/>
      <c r="D418" s="253"/>
      <c r="E418" s="253"/>
      <c r="F418" s="253"/>
      <c r="G418" s="253"/>
      <c r="H418" s="253"/>
      <c r="I418" s="253"/>
      <c r="J418" s="253"/>
      <c r="K418" s="253"/>
      <c r="L418" s="253"/>
      <c r="M418" s="253"/>
      <c r="N418" s="253"/>
      <c r="O418" s="253"/>
    </row>
    <row r="419" spans="1:15">
      <c r="A419" s="253"/>
      <c r="B419" s="253"/>
      <c r="C419" s="253"/>
      <c r="D419" s="253"/>
      <c r="E419" s="253"/>
      <c r="F419" s="253"/>
      <c r="G419" s="253"/>
      <c r="H419" s="253"/>
      <c r="I419" s="253"/>
      <c r="J419" s="253"/>
      <c r="K419" s="253"/>
      <c r="L419" s="253"/>
      <c r="M419" s="253"/>
      <c r="N419" s="253"/>
      <c r="O419" s="253"/>
    </row>
    <row r="420" spans="1:15">
      <c r="A420" s="253"/>
      <c r="B420" s="253"/>
      <c r="C420" s="253"/>
      <c r="D420" s="253"/>
      <c r="E420" s="253"/>
      <c r="F420" s="253"/>
      <c r="G420" s="253"/>
      <c r="H420" s="253"/>
      <c r="I420" s="253"/>
      <c r="J420" s="253"/>
      <c r="K420" s="253"/>
      <c r="L420" s="253"/>
      <c r="M420" s="253"/>
      <c r="N420" s="253"/>
      <c r="O420" s="253"/>
    </row>
    <row r="421" spans="1:15">
      <c r="A421" s="253"/>
      <c r="B421" s="253"/>
      <c r="C421" s="253"/>
      <c r="D421" s="253"/>
      <c r="E421" s="253"/>
      <c r="F421" s="253"/>
      <c r="G421" s="253"/>
      <c r="H421" s="253"/>
      <c r="I421" s="253"/>
      <c r="J421" s="253"/>
      <c r="K421" s="253"/>
      <c r="L421" s="253"/>
      <c r="M421" s="253"/>
      <c r="N421" s="253"/>
      <c r="O421" s="253"/>
    </row>
    <row r="422" spans="1:15">
      <c r="A422" s="253"/>
      <c r="B422" s="253"/>
      <c r="C422" s="253"/>
      <c r="D422" s="253"/>
      <c r="E422" s="253"/>
      <c r="F422" s="253"/>
      <c r="G422" s="253"/>
      <c r="H422" s="253"/>
      <c r="I422" s="253"/>
      <c r="J422" s="253"/>
      <c r="K422" s="253"/>
      <c r="L422" s="253"/>
      <c r="M422" s="253"/>
      <c r="N422" s="253"/>
      <c r="O422" s="253"/>
    </row>
    <row r="423" spans="1:15">
      <c r="A423" s="253"/>
      <c r="B423" s="253"/>
      <c r="C423" s="253"/>
      <c r="D423" s="253"/>
      <c r="E423" s="253"/>
      <c r="F423" s="253"/>
      <c r="G423" s="253"/>
      <c r="H423" s="253"/>
      <c r="I423" s="253"/>
      <c r="J423" s="253"/>
      <c r="K423" s="253"/>
      <c r="L423" s="253"/>
      <c r="M423" s="253"/>
      <c r="N423" s="253"/>
      <c r="O423" s="253"/>
    </row>
    <row r="424" spans="1:15">
      <c r="A424" s="253"/>
      <c r="B424" s="253"/>
      <c r="C424" s="253"/>
      <c r="D424" s="253"/>
      <c r="E424" s="253"/>
      <c r="F424" s="253"/>
      <c r="G424" s="253"/>
      <c r="H424" s="253"/>
      <c r="I424" s="253"/>
      <c r="J424" s="253"/>
      <c r="K424" s="253"/>
      <c r="L424" s="253"/>
      <c r="M424" s="253"/>
      <c r="N424" s="253"/>
      <c r="O424" s="253"/>
    </row>
    <row r="425" spans="1:15">
      <c r="A425" s="253"/>
      <c r="B425" s="253"/>
      <c r="C425" s="253"/>
      <c r="D425" s="253"/>
      <c r="E425" s="253"/>
      <c r="F425" s="253"/>
      <c r="G425" s="253"/>
      <c r="H425" s="253"/>
      <c r="I425" s="253"/>
      <c r="J425" s="253"/>
      <c r="K425" s="253"/>
      <c r="L425" s="253"/>
      <c r="M425" s="253"/>
      <c r="N425" s="253"/>
      <c r="O425" s="253"/>
    </row>
    <row r="426" spans="1:15">
      <c r="A426" s="253"/>
      <c r="B426" s="253"/>
      <c r="C426" s="253"/>
      <c r="D426" s="253"/>
      <c r="E426" s="253"/>
      <c r="F426" s="253"/>
      <c r="G426" s="253"/>
      <c r="H426" s="253"/>
      <c r="I426" s="253"/>
      <c r="J426" s="253"/>
      <c r="K426" s="253"/>
      <c r="L426" s="253"/>
      <c r="M426" s="253"/>
      <c r="N426" s="253"/>
      <c r="O426" s="253"/>
    </row>
    <row r="427" spans="1:15">
      <c r="A427" s="253"/>
      <c r="B427" s="253"/>
      <c r="C427" s="253"/>
      <c r="D427" s="253"/>
      <c r="E427" s="253"/>
      <c r="F427" s="253"/>
      <c r="G427" s="253"/>
      <c r="H427" s="253"/>
      <c r="I427" s="253"/>
      <c r="J427" s="253"/>
      <c r="K427" s="253"/>
      <c r="L427" s="253"/>
      <c r="M427" s="253"/>
      <c r="N427" s="253"/>
      <c r="O427" s="253"/>
    </row>
    <row r="428" spans="1:15">
      <c r="A428" s="253"/>
      <c r="B428" s="253"/>
      <c r="C428" s="253"/>
      <c r="D428" s="253"/>
      <c r="E428" s="253"/>
      <c r="F428" s="253"/>
      <c r="G428" s="253"/>
      <c r="H428" s="253"/>
      <c r="I428" s="253"/>
      <c r="J428" s="253"/>
      <c r="K428" s="253"/>
      <c r="L428" s="253"/>
      <c r="M428" s="253"/>
      <c r="N428" s="253"/>
      <c r="O428" s="253"/>
    </row>
    <row r="429" spans="1:15">
      <c r="A429" s="253"/>
      <c r="B429" s="253"/>
      <c r="C429" s="253"/>
      <c r="D429" s="253"/>
      <c r="E429" s="253"/>
      <c r="F429" s="253"/>
      <c r="G429" s="253"/>
      <c r="H429" s="253"/>
      <c r="I429" s="253"/>
      <c r="J429" s="253"/>
      <c r="K429" s="253"/>
      <c r="L429" s="253"/>
      <c r="M429" s="253"/>
      <c r="N429" s="253"/>
      <c r="O429" s="253"/>
    </row>
    <row r="430" spans="1:15">
      <c r="A430" s="253"/>
      <c r="B430" s="253"/>
      <c r="C430" s="253"/>
      <c r="D430" s="253"/>
      <c r="E430" s="253"/>
      <c r="F430" s="253"/>
      <c r="G430" s="253"/>
      <c r="H430" s="253"/>
      <c r="I430" s="253"/>
      <c r="J430" s="253"/>
      <c r="K430" s="253"/>
      <c r="L430" s="253"/>
      <c r="M430" s="253"/>
      <c r="N430" s="253"/>
      <c r="O430" s="253"/>
    </row>
    <row r="431" spans="1:15">
      <c r="A431" s="253"/>
      <c r="B431" s="253"/>
      <c r="C431" s="253"/>
      <c r="D431" s="253"/>
      <c r="E431" s="253"/>
      <c r="F431" s="253"/>
      <c r="G431" s="253"/>
      <c r="H431" s="253"/>
      <c r="I431" s="253"/>
      <c r="J431" s="253"/>
      <c r="K431" s="253"/>
      <c r="L431" s="253"/>
      <c r="M431" s="253"/>
      <c r="N431" s="253"/>
      <c r="O431" s="253"/>
    </row>
    <row r="432" spans="1:15">
      <c r="A432" s="253"/>
      <c r="B432" s="253"/>
      <c r="C432" s="253"/>
      <c r="D432" s="253"/>
      <c r="E432" s="253"/>
      <c r="F432" s="253"/>
      <c r="G432" s="253"/>
      <c r="H432" s="253"/>
      <c r="I432" s="253"/>
      <c r="J432" s="253"/>
      <c r="K432" s="253"/>
      <c r="L432" s="253"/>
      <c r="M432" s="253"/>
      <c r="N432" s="253"/>
      <c r="O432" s="253"/>
    </row>
    <row r="433" spans="1:15">
      <c r="A433" s="253"/>
      <c r="B433" s="253"/>
      <c r="C433" s="253"/>
      <c r="D433" s="253"/>
      <c r="E433" s="253"/>
      <c r="F433" s="253"/>
      <c r="G433" s="253"/>
      <c r="H433" s="253"/>
      <c r="I433" s="253"/>
      <c r="J433" s="253"/>
      <c r="K433" s="253"/>
      <c r="L433" s="253"/>
      <c r="M433" s="253"/>
      <c r="N433" s="253"/>
      <c r="O433" s="253"/>
    </row>
    <row r="434" spans="1:15">
      <c r="A434" s="253"/>
      <c r="B434" s="253"/>
      <c r="C434" s="253"/>
      <c r="D434" s="253"/>
      <c r="E434" s="253"/>
      <c r="F434" s="253"/>
      <c r="G434" s="253"/>
      <c r="I434" s="253"/>
      <c r="J434" s="253"/>
      <c r="K434" s="253"/>
      <c r="L434" s="253"/>
      <c r="M434" s="253"/>
      <c r="N434" s="253"/>
      <c r="O434" s="253"/>
    </row>
    <row r="435" spans="1:15">
      <c r="B435" s="253"/>
      <c r="C435" s="253"/>
      <c r="D435" s="253"/>
      <c r="E435" s="253"/>
      <c r="F435" s="253"/>
      <c r="G435" s="253"/>
      <c r="I435" s="253"/>
      <c r="J435" s="253"/>
      <c r="K435" s="253"/>
      <c r="L435" s="253"/>
      <c r="M435" s="253"/>
      <c r="N435" s="253"/>
      <c r="O435" s="253"/>
    </row>
    <row r="436" spans="1:15">
      <c r="B436" s="253"/>
      <c r="C436" s="253"/>
      <c r="D436" s="253"/>
      <c r="E436" s="253"/>
      <c r="F436" s="253"/>
      <c r="G436" s="253"/>
      <c r="I436" s="253"/>
      <c r="J436" s="253"/>
      <c r="K436" s="253"/>
      <c r="L436" s="253"/>
      <c r="M436" s="253"/>
      <c r="N436" s="253"/>
      <c r="O436" s="253"/>
    </row>
    <row r="437" spans="1:15">
      <c r="B437" s="253"/>
      <c r="C437" s="253"/>
      <c r="D437" s="253"/>
      <c r="E437" s="253"/>
      <c r="F437" s="253"/>
      <c r="G437" s="253"/>
      <c r="I437" s="253"/>
      <c r="J437" s="253"/>
      <c r="K437" s="253"/>
      <c r="L437" s="253"/>
      <c r="M437" s="253"/>
      <c r="N437" s="253"/>
      <c r="O437" s="253"/>
    </row>
    <row r="438" spans="1:15">
      <c r="B438" s="253"/>
      <c r="C438" s="253"/>
      <c r="D438" s="253"/>
      <c r="E438" s="253"/>
      <c r="F438" s="253"/>
      <c r="G438" s="253"/>
      <c r="I438" s="253"/>
      <c r="J438" s="253"/>
      <c r="K438" s="253"/>
      <c r="L438" s="253"/>
      <c r="M438" s="253"/>
      <c r="N438" s="253"/>
      <c r="O438" s="253"/>
    </row>
    <row r="439" spans="1:15">
      <c r="I439" s="253"/>
      <c r="J439" s="253"/>
      <c r="K439" s="253"/>
      <c r="L439" s="253"/>
      <c r="M439" s="253"/>
      <c r="N439" s="253"/>
      <c r="O439" s="253"/>
    </row>
    <row r="440" spans="1:15">
      <c r="I440" s="253"/>
      <c r="J440" s="253"/>
      <c r="K440" s="253"/>
      <c r="L440" s="253"/>
      <c r="M440" s="253"/>
      <c r="N440" s="253"/>
      <c r="O440" s="253"/>
    </row>
    <row r="441" spans="1:15">
      <c r="I441" s="253"/>
      <c r="J441" s="253"/>
      <c r="K441" s="253"/>
      <c r="L441" s="253"/>
      <c r="M441" s="253"/>
      <c r="N441" s="253"/>
      <c r="O441" s="253"/>
    </row>
    <row r="442" spans="1:15">
      <c r="I442" s="253"/>
      <c r="J442" s="253"/>
      <c r="K442" s="253"/>
      <c r="L442" s="253"/>
      <c r="M442" s="253"/>
      <c r="N442" s="253"/>
      <c r="O442" s="253"/>
    </row>
    <row r="443" spans="1:15">
      <c r="I443" s="253"/>
      <c r="J443" s="253"/>
      <c r="K443" s="253"/>
      <c r="L443" s="253"/>
      <c r="M443" s="253"/>
      <c r="N443" s="253"/>
      <c r="O443" s="253"/>
    </row>
    <row r="444" spans="1:15">
      <c r="I444" s="253"/>
      <c r="J444" s="253"/>
      <c r="K444" s="253"/>
      <c r="L444" s="253"/>
      <c r="M444" s="253"/>
      <c r="N444" s="253"/>
      <c r="O444" s="253"/>
    </row>
    <row r="445" spans="1:15">
      <c r="I445" s="253"/>
      <c r="J445" s="253"/>
      <c r="K445" s="253"/>
      <c r="L445" s="253"/>
      <c r="M445" s="253"/>
      <c r="N445" s="253"/>
      <c r="O445" s="253"/>
    </row>
    <row r="446" spans="1:15">
      <c r="I446" s="253"/>
      <c r="J446" s="253"/>
      <c r="K446" s="253"/>
      <c r="L446" s="253"/>
      <c r="M446" s="253"/>
      <c r="N446" s="253"/>
      <c r="O446" s="253"/>
    </row>
    <row r="447" spans="1:15">
      <c r="I447" s="253"/>
      <c r="J447" s="253"/>
      <c r="K447" s="253"/>
      <c r="L447" s="253"/>
      <c r="M447" s="253"/>
      <c r="N447" s="253"/>
      <c r="O447" s="253"/>
    </row>
    <row r="448" spans="1:15">
      <c r="I448" s="253"/>
      <c r="J448" s="253"/>
      <c r="K448" s="253"/>
      <c r="L448" s="253"/>
      <c r="M448" s="253"/>
      <c r="N448" s="253"/>
      <c r="O448" s="253"/>
    </row>
    <row r="449" spans="9:15">
      <c r="I449" s="253"/>
      <c r="J449" s="253"/>
      <c r="K449" s="253"/>
      <c r="L449" s="253"/>
      <c r="M449" s="253"/>
      <c r="N449" s="253"/>
      <c r="O449" s="253"/>
    </row>
    <row r="450" spans="9:15">
      <c r="I450" s="253"/>
      <c r="J450" s="253"/>
      <c r="K450" s="253"/>
      <c r="L450" s="253"/>
      <c r="M450" s="253"/>
      <c r="N450" s="253"/>
      <c r="O450" s="253"/>
    </row>
    <row r="451" spans="9:15">
      <c r="I451" s="253"/>
      <c r="J451" s="253"/>
      <c r="K451" s="253"/>
      <c r="L451" s="253"/>
      <c r="M451" s="253"/>
      <c r="N451" s="253"/>
      <c r="O451" s="253"/>
    </row>
    <row r="452" spans="9:15">
      <c r="I452" s="253"/>
      <c r="J452" s="253"/>
      <c r="K452" s="253"/>
      <c r="L452" s="253"/>
      <c r="M452" s="253"/>
      <c r="N452" s="253"/>
      <c r="O452" s="253"/>
    </row>
    <row r="453" spans="9:15">
      <c r="I453" s="253"/>
      <c r="J453" s="253"/>
      <c r="K453" s="253"/>
      <c r="L453" s="253"/>
      <c r="M453" s="253"/>
      <c r="N453" s="253"/>
      <c r="O453" s="253"/>
    </row>
    <row r="454" spans="9:15">
      <c r="I454" s="253"/>
      <c r="J454" s="253"/>
      <c r="K454" s="253"/>
      <c r="L454" s="253"/>
      <c r="M454" s="253"/>
      <c r="N454" s="253"/>
      <c r="O454" s="253"/>
    </row>
    <row r="455" spans="9:15">
      <c r="I455" s="253"/>
      <c r="J455" s="253"/>
      <c r="K455" s="253"/>
      <c r="L455" s="253"/>
      <c r="M455" s="253"/>
      <c r="N455" s="253"/>
      <c r="O455" s="253"/>
    </row>
    <row r="456" spans="9:15">
      <c r="I456" s="253"/>
      <c r="J456" s="253"/>
      <c r="K456" s="253"/>
      <c r="L456" s="253"/>
      <c r="M456" s="253"/>
      <c r="N456" s="253"/>
      <c r="O456" s="253"/>
    </row>
    <row r="457" spans="9:15">
      <c r="I457" s="253"/>
      <c r="J457" s="253"/>
      <c r="K457" s="253"/>
      <c r="L457" s="253"/>
      <c r="M457" s="253"/>
      <c r="N457" s="253"/>
      <c r="O457" s="253"/>
    </row>
    <row r="458" spans="9:15">
      <c r="I458" s="253"/>
      <c r="J458" s="253"/>
      <c r="K458" s="253"/>
      <c r="L458" s="253"/>
      <c r="M458" s="253"/>
      <c r="N458" s="253"/>
      <c r="O458" s="253"/>
    </row>
    <row r="459" spans="9:15">
      <c r="I459" s="253"/>
      <c r="J459" s="253"/>
      <c r="K459" s="253"/>
      <c r="L459" s="253"/>
      <c r="M459" s="253"/>
      <c r="N459" s="253"/>
      <c r="O459" s="253"/>
    </row>
    <row r="460" spans="9:15">
      <c r="I460" s="253"/>
      <c r="J460" s="253"/>
      <c r="K460" s="253"/>
      <c r="L460" s="253"/>
      <c r="M460" s="253"/>
      <c r="N460" s="253"/>
      <c r="O460" s="253"/>
    </row>
    <row r="461" spans="9:15">
      <c r="I461" s="253"/>
      <c r="J461" s="253"/>
      <c r="K461" s="253"/>
      <c r="L461" s="253"/>
      <c r="M461" s="253"/>
      <c r="N461" s="253"/>
      <c r="O461" s="253"/>
    </row>
    <row r="462" spans="9:15">
      <c r="I462" s="253"/>
      <c r="J462" s="253"/>
      <c r="K462" s="253"/>
      <c r="L462" s="253"/>
      <c r="M462" s="253"/>
      <c r="N462" s="253"/>
      <c r="O462" s="253"/>
    </row>
    <row r="463" spans="9:15">
      <c r="I463" s="253"/>
      <c r="J463" s="253"/>
      <c r="K463" s="253"/>
      <c r="L463" s="253"/>
      <c r="M463" s="253"/>
      <c r="N463" s="253"/>
      <c r="O463" s="253"/>
    </row>
    <row r="464" spans="9:15">
      <c r="I464" s="253"/>
      <c r="J464" s="253"/>
      <c r="K464" s="253"/>
      <c r="L464" s="253"/>
      <c r="M464" s="253"/>
      <c r="N464" s="253"/>
      <c r="O464" s="253"/>
    </row>
    <row r="465" spans="9:15">
      <c r="I465" s="253"/>
      <c r="J465" s="253"/>
      <c r="K465" s="253"/>
      <c r="L465" s="253"/>
      <c r="M465" s="253"/>
      <c r="N465" s="253"/>
      <c r="O465" s="253"/>
    </row>
    <row r="466" spans="9:15">
      <c r="I466" s="253"/>
      <c r="J466" s="253"/>
      <c r="K466" s="253"/>
      <c r="L466" s="253"/>
      <c r="M466" s="253"/>
      <c r="N466" s="253"/>
      <c r="O466" s="253"/>
    </row>
    <row r="467" spans="9:15">
      <c r="I467" s="253"/>
      <c r="J467" s="253"/>
      <c r="K467" s="253"/>
      <c r="L467" s="253"/>
      <c r="M467" s="253"/>
      <c r="N467" s="253"/>
      <c r="O467" s="253"/>
    </row>
    <row r="468" spans="9:15">
      <c r="I468" s="253"/>
      <c r="J468" s="253"/>
      <c r="K468" s="253"/>
      <c r="L468" s="253"/>
      <c r="M468" s="253"/>
      <c r="N468" s="253"/>
      <c r="O468" s="253"/>
    </row>
    <row r="469" spans="9:15">
      <c r="I469" s="253"/>
      <c r="J469" s="253"/>
      <c r="K469" s="253"/>
      <c r="L469" s="253"/>
      <c r="M469" s="253"/>
      <c r="N469" s="253"/>
      <c r="O469" s="253"/>
    </row>
    <row r="470" spans="9:15">
      <c r="I470" s="253"/>
      <c r="J470" s="253"/>
      <c r="K470" s="253"/>
      <c r="L470" s="253"/>
      <c r="M470" s="253"/>
      <c r="N470" s="253"/>
      <c r="O470" s="253"/>
    </row>
    <row r="471" spans="9:15">
      <c r="I471" s="253"/>
      <c r="J471" s="253"/>
      <c r="K471" s="253"/>
      <c r="L471" s="253"/>
      <c r="M471" s="253"/>
      <c r="N471" s="253"/>
      <c r="O471" s="253"/>
    </row>
    <row r="472" spans="9:15">
      <c r="I472" s="253"/>
      <c r="J472" s="253"/>
      <c r="K472" s="253"/>
      <c r="L472" s="253"/>
      <c r="M472" s="253"/>
      <c r="N472" s="253"/>
      <c r="O472" s="253"/>
    </row>
    <row r="473" spans="9:15">
      <c r="I473" s="253"/>
      <c r="J473" s="253"/>
      <c r="K473" s="253"/>
      <c r="L473" s="253"/>
      <c r="M473" s="253"/>
      <c r="N473" s="253"/>
      <c r="O473" s="253"/>
    </row>
    <row r="474" spans="9:15">
      <c r="I474" s="253"/>
      <c r="J474" s="253"/>
      <c r="K474" s="253"/>
      <c r="L474" s="253"/>
      <c r="M474" s="253"/>
      <c r="N474" s="253"/>
      <c r="O474" s="253"/>
    </row>
    <row r="475" spans="9:15">
      <c r="I475" s="253"/>
      <c r="J475" s="253"/>
      <c r="K475" s="253"/>
      <c r="L475" s="253"/>
      <c r="M475" s="253"/>
      <c r="N475" s="253"/>
      <c r="O475" s="253"/>
    </row>
    <row r="476" spans="9:15">
      <c r="I476" s="253"/>
      <c r="J476" s="253"/>
      <c r="K476" s="253"/>
      <c r="L476" s="253"/>
      <c r="M476" s="253"/>
      <c r="N476" s="253"/>
      <c r="O476" s="253"/>
    </row>
    <row r="477" spans="9:15">
      <c r="I477" s="253"/>
      <c r="J477" s="253"/>
      <c r="K477" s="253"/>
      <c r="L477" s="253"/>
      <c r="M477" s="253"/>
      <c r="N477" s="253"/>
      <c r="O477" s="253"/>
    </row>
    <row r="478" spans="9:15">
      <c r="I478" s="253"/>
      <c r="J478" s="253"/>
      <c r="K478" s="253"/>
      <c r="L478" s="253"/>
      <c r="M478" s="253"/>
      <c r="N478" s="253"/>
      <c r="O478" s="253"/>
    </row>
    <row r="479" spans="9:15">
      <c r="I479" s="253"/>
      <c r="J479" s="253"/>
      <c r="K479" s="253"/>
      <c r="L479" s="253"/>
      <c r="M479" s="253"/>
      <c r="N479" s="253"/>
      <c r="O479" s="253"/>
    </row>
    <row r="480" spans="9:15">
      <c r="I480" s="253"/>
      <c r="J480" s="253"/>
      <c r="K480" s="253"/>
      <c r="L480" s="253"/>
      <c r="M480" s="253"/>
      <c r="N480" s="253"/>
      <c r="O480" s="253"/>
    </row>
    <row r="481" spans="9:15">
      <c r="I481" s="253"/>
      <c r="J481" s="253"/>
      <c r="K481" s="253"/>
      <c r="L481" s="253"/>
      <c r="M481" s="253"/>
      <c r="N481" s="253"/>
      <c r="O481" s="253"/>
    </row>
    <row r="482" spans="9:15">
      <c r="I482" s="253"/>
      <c r="J482" s="253"/>
      <c r="K482" s="253"/>
      <c r="L482" s="253"/>
      <c r="M482" s="253"/>
      <c r="N482" s="253"/>
      <c r="O482" s="253"/>
    </row>
    <row r="483" spans="9:15">
      <c r="I483" s="253"/>
      <c r="J483" s="253"/>
      <c r="K483" s="253"/>
      <c r="L483" s="253"/>
      <c r="M483" s="253"/>
      <c r="N483" s="253"/>
      <c r="O483" s="253"/>
    </row>
    <row r="484" spans="9:15">
      <c r="I484" s="253"/>
      <c r="J484" s="253"/>
      <c r="K484" s="253"/>
      <c r="L484" s="253"/>
      <c r="M484" s="253"/>
      <c r="N484" s="253"/>
      <c r="O484" s="253"/>
    </row>
    <row r="485" spans="9:15">
      <c r="I485" s="253"/>
      <c r="J485" s="253"/>
      <c r="K485" s="253"/>
      <c r="L485" s="253"/>
      <c r="M485" s="253"/>
      <c r="N485" s="253"/>
      <c r="O485" s="253"/>
    </row>
    <row r="486" spans="9:15">
      <c r="I486" s="253"/>
      <c r="J486" s="253"/>
      <c r="K486" s="253"/>
      <c r="L486" s="253"/>
      <c r="M486" s="253"/>
      <c r="N486" s="253"/>
      <c r="O486" s="253"/>
    </row>
    <row r="487" spans="9:15">
      <c r="I487" s="253"/>
      <c r="J487" s="253"/>
      <c r="K487" s="253"/>
      <c r="L487" s="253"/>
      <c r="M487" s="253"/>
      <c r="N487" s="253"/>
      <c r="O487" s="253"/>
    </row>
    <row r="488" spans="9:15">
      <c r="I488" s="253"/>
      <c r="J488" s="253"/>
      <c r="K488" s="253"/>
      <c r="L488" s="253"/>
      <c r="M488" s="253"/>
      <c r="N488" s="253"/>
      <c r="O488" s="253"/>
    </row>
    <row r="489" spans="9:15">
      <c r="I489" s="253"/>
      <c r="J489" s="253"/>
      <c r="K489" s="253"/>
      <c r="L489" s="253"/>
      <c r="M489" s="253"/>
      <c r="N489" s="253"/>
      <c r="O489" s="253"/>
    </row>
    <row r="490" spans="9:15">
      <c r="I490" s="253"/>
      <c r="J490" s="253"/>
      <c r="K490" s="253"/>
      <c r="L490" s="253"/>
      <c r="M490" s="253"/>
      <c r="N490" s="253"/>
      <c r="O490" s="253"/>
    </row>
    <row r="491" spans="9:15">
      <c r="I491" s="253"/>
      <c r="J491" s="253"/>
      <c r="K491" s="253"/>
      <c r="L491" s="253"/>
      <c r="M491" s="253"/>
      <c r="N491" s="253"/>
      <c r="O491" s="253"/>
    </row>
    <row r="492" spans="9:15">
      <c r="I492" s="253"/>
      <c r="J492" s="253"/>
      <c r="K492" s="253"/>
      <c r="L492" s="253"/>
      <c r="M492" s="253"/>
      <c r="N492" s="253"/>
      <c r="O492" s="253"/>
    </row>
    <row r="493" spans="9:15">
      <c r="I493" s="253"/>
      <c r="J493" s="253"/>
      <c r="K493" s="253"/>
      <c r="L493" s="253"/>
      <c r="M493" s="253"/>
      <c r="N493" s="253"/>
      <c r="O493" s="253"/>
    </row>
    <row r="494" spans="9:15">
      <c r="I494" s="253"/>
      <c r="J494" s="253"/>
      <c r="K494" s="253"/>
      <c r="L494" s="253"/>
      <c r="M494" s="253"/>
      <c r="N494" s="253"/>
      <c r="O494" s="253"/>
    </row>
    <row r="495" spans="9:15">
      <c r="I495" s="253"/>
      <c r="J495" s="253"/>
      <c r="K495" s="253"/>
      <c r="L495" s="253"/>
      <c r="M495" s="253"/>
      <c r="N495" s="253"/>
      <c r="O495" s="253"/>
    </row>
    <row r="496" spans="9:15">
      <c r="I496" s="253"/>
      <c r="J496" s="253"/>
      <c r="K496" s="253"/>
      <c r="L496" s="253"/>
      <c r="M496" s="253"/>
      <c r="N496" s="253"/>
      <c r="O496" s="253"/>
    </row>
    <row r="497" spans="9:15">
      <c r="I497" s="253"/>
      <c r="J497" s="253"/>
      <c r="K497" s="253"/>
      <c r="L497" s="253"/>
      <c r="M497" s="253"/>
      <c r="N497" s="253"/>
      <c r="O497" s="253"/>
    </row>
    <row r="498" spans="9:15">
      <c r="I498" s="253"/>
      <c r="J498" s="253"/>
      <c r="K498" s="253"/>
      <c r="L498" s="253"/>
      <c r="M498" s="253"/>
      <c r="N498" s="253"/>
      <c r="O498" s="253"/>
    </row>
    <row r="499" spans="9:15">
      <c r="I499" s="253"/>
      <c r="J499" s="253"/>
      <c r="K499" s="253"/>
      <c r="L499" s="253"/>
      <c r="M499" s="253"/>
      <c r="N499" s="253"/>
      <c r="O499" s="253"/>
    </row>
    <row r="500" spans="9:15">
      <c r="I500" s="253"/>
      <c r="J500" s="253"/>
      <c r="K500" s="253"/>
      <c r="L500" s="253"/>
      <c r="M500" s="253"/>
      <c r="N500" s="253"/>
      <c r="O500" s="253"/>
    </row>
    <row r="501" spans="9:15">
      <c r="I501" s="253"/>
      <c r="J501" s="253"/>
      <c r="K501" s="253"/>
      <c r="L501" s="253"/>
      <c r="M501" s="253"/>
      <c r="N501" s="253"/>
      <c r="O501" s="253"/>
    </row>
    <row r="502" spans="9:15">
      <c r="I502" s="253"/>
      <c r="J502" s="253"/>
      <c r="K502" s="253"/>
      <c r="L502" s="253"/>
      <c r="M502" s="253"/>
      <c r="N502" s="253"/>
      <c r="O502" s="253"/>
    </row>
    <row r="503" spans="9:15">
      <c r="I503" s="253"/>
      <c r="J503" s="253"/>
      <c r="K503" s="253"/>
      <c r="L503" s="253"/>
      <c r="M503" s="253"/>
      <c r="N503" s="253"/>
      <c r="O503" s="253"/>
    </row>
    <row r="504" spans="9:15">
      <c r="I504" s="253"/>
      <c r="J504" s="253"/>
      <c r="K504" s="253"/>
      <c r="L504" s="253"/>
      <c r="M504" s="253"/>
      <c r="N504" s="253"/>
      <c r="O504" s="253"/>
    </row>
    <row r="505" spans="9:15">
      <c r="I505" s="253"/>
      <c r="J505" s="253"/>
      <c r="K505" s="253"/>
      <c r="L505" s="253"/>
      <c r="M505" s="253"/>
      <c r="N505" s="253"/>
      <c r="O505" s="253"/>
    </row>
    <row r="506" spans="9:15">
      <c r="I506" s="253"/>
      <c r="J506" s="253"/>
      <c r="K506" s="253"/>
      <c r="L506" s="253"/>
      <c r="M506" s="253"/>
      <c r="N506" s="253"/>
      <c r="O506" s="253"/>
    </row>
    <row r="507" spans="9:15">
      <c r="I507" s="253"/>
      <c r="J507" s="253"/>
      <c r="K507" s="253"/>
      <c r="L507" s="253"/>
      <c r="M507" s="253"/>
      <c r="N507" s="253"/>
      <c r="O507" s="253"/>
    </row>
    <row r="508" spans="9:15">
      <c r="I508" s="253"/>
      <c r="J508" s="253"/>
      <c r="K508" s="253"/>
      <c r="L508" s="253"/>
      <c r="M508" s="253"/>
      <c r="N508" s="253"/>
      <c r="O508" s="253"/>
    </row>
    <row r="509" spans="9:15">
      <c r="I509" s="253"/>
      <c r="J509" s="253"/>
      <c r="K509" s="253"/>
      <c r="L509" s="253"/>
      <c r="M509" s="253"/>
    </row>
    <row r="510" spans="9:15">
      <c r="I510" s="253"/>
      <c r="J510" s="253"/>
      <c r="K510" s="253"/>
      <c r="L510" s="253"/>
      <c r="M510" s="253"/>
    </row>
    <row r="511" spans="9:15">
      <c r="I511" s="253"/>
      <c r="J511" s="253"/>
      <c r="K511" s="253"/>
      <c r="L511" s="253"/>
      <c r="M511" s="253"/>
    </row>
    <row r="512" spans="9:15">
      <c r="I512" s="255"/>
      <c r="J512" s="255"/>
      <c r="K512" s="255"/>
      <c r="L512" s="255"/>
      <c r="M512" s="255"/>
    </row>
    <row r="513" spans="9:13">
      <c r="I513" s="255"/>
      <c r="J513" s="255"/>
      <c r="K513" s="255"/>
      <c r="L513" s="255"/>
      <c r="M513" s="255"/>
    </row>
  </sheetData>
  <mergeCells count="10">
    <mergeCell ref="B142:G142"/>
    <mergeCell ref="B102:G102"/>
    <mergeCell ref="I1:M1"/>
    <mergeCell ref="B1:G1"/>
    <mergeCell ref="I8:M8"/>
    <mergeCell ref="I51:M51"/>
    <mergeCell ref="I93:M93"/>
    <mergeCell ref="B99:G100"/>
    <mergeCell ref="G14:G15"/>
    <mergeCell ref="G58:G59"/>
  </mergeCells>
  <pageMargins left="0.25" right="0.25" top="0" bottom="0" header="0.3" footer="0"/>
  <pageSetup scale="65" fitToHeight="0" orientation="portrait" r:id="rId1"/>
  <headerFooter>
    <oddFooter>&amp;R&amp;P of &amp;N</oddFooter>
  </headerFooter>
  <rowBreaks count="3" manualBreakCount="3">
    <brk id="48" max="16383" man="1"/>
    <brk id="127" max="16383" man="1"/>
    <brk id="179" max="16383" man="1"/>
  </rowBreaks>
  <ignoredErrors>
    <ignoredError sqref="D76" 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KM384"/>
  <sheetViews>
    <sheetView topLeftCell="A12" zoomScale="80" zoomScaleNormal="80" workbookViewId="0">
      <selection activeCell="C57" sqref="C57"/>
    </sheetView>
  </sheetViews>
  <sheetFormatPr defaultColWidth="9.42578125" defaultRowHeight="12.75"/>
  <cols>
    <col min="1" max="1" width="9.42578125" style="253" customWidth="1"/>
    <col min="2" max="2" width="28" style="8" customWidth="1"/>
    <col min="3" max="4" width="12.42578125" style="8" customWidth="1"/>
    <col min="5" max="5" width="13.42578125" style="8" hidden="1" customWidth="1"/>
    <col min="6" max="6" width="8.42578125" style="8" bestFit="1" customWidth="1"/>
    <col min="7" max="7" width="53.42578125" style="8" customWidth="1"/>
    <col min="8" max="8" width="4" style="8" customWidth="1"/>
    <col min="9" max="9" width="30.5703125" style="8" customWidth="1"/>
    <col min="10" max="10" width="9.42578125" style="8"/>
    <col min="11" max="11" width="11.85546875" style="8" customWidth="1"/>
    <col min="12" max="12" width="13" style="8" customWidth="1"/>
    <col min="13" max="13" width="14.42578125" style="8" customWidth="1"/>
    <col min="14" max="14" width="13.42578125" style="253" customWidth="1"/>
    <col min="15" max="15" width="48.42578125" style="8" customWidth="1"/>
    <col min="16" max="16" width="9.42578125" style="8"/>
    <col min="17" max="17" width="13.5703125" style="8" customWidth="1"/>
    <col min="18" max="18" width="10.5703125" style="8" customWidth="1"/>
    <col min="19" max="19" width="15.42578125" style="8" bestFit="1" customWidth="1"/>
    <col min="20" max="20" width="10.5703125" style="8" customWidth="1"/>
    <col min="21" max="21" width="15.5703125" style="8" customWidth="1"/>
    <col min="22" max="37" width="9.42578125" style="8"/>
    <col min="38" max="299" width="9.42578125" style="255"/>
    <col min="300" max="16384" width="9.42578125" style="8"/>
  </cols>
  <sheetData>
    <row r="1" spans="2:46" ht="13.5" thickBot="1">
      <c r="B1" s="2554" t="s">
        <v>546</v>
      </c>
      <c r="C1" s="2554"/>
      <c r="D1" s="2554"/>
      <c r="E1" s="2554"/>
      <c r="F1" s="2554"/>
      <c r="G1" s="2554"/>
      <c r="H1" s="253"/>
      <c r="I1" s="2587" t="s">
        <v>381</v>
      </c>
      <c r="J1" s="2587"/>
      <c r="K1" s="2587"/>
      <c r="L1" s="2587"/>
      <c r="M1" s="2587"/>
    </row>
    <row r="2" spans="2:46" ht="13.5" thickBot="1">
      <c r="B2" s="254"/>
      <c r="C2" s="253"/>
      <c r="D2" s="253"/>
      <c r="E2" s="253"/>
      <c r="F2" s="253"/>
      <c r="G2" s="253"/>
      <c r="H2" s="253"/>
      <c r="I2" s="253"/>
      <c r="J2" s="253"/>
      <c r="K2" s="253"/>
      <c r="L2" s="253"/>
      <c r="M2" s="253"/>
    </row>
    <row r="3" spans="2:46">
      <c r="B3" s="138" t="s">
        <v>0</v>
      </c>
      <c r="C3" s="139" t="s">
        <v>1</v>
      </c>
      <c r="D3" s="163" t="s">
        <v>2</v>
      </c>
      <c r="E3" s="253"/>
      <c r="F3" s="253"/>
      <c r="G3" s="253"/>
      <c r="H3" s="253"/>
      <c r="I3" s="253"/>
      <c r="J3" s="253"/>
      <c r="K3" s="253"/>
      <c r="L3" s="253"/>
      <c r="M3" s="253"/>
    </row>
    <row r="4" spans="2:46">
      <c r="B4" s="140" t="s">
        <v>370</v>
      </c>
      <c r="C4" s="141">
        <v>15</v>
      </c>
      <c r="D4" s="164">
        <f>C4*8</f>
        <v>120</v>
      </c>
      <c r="E4" s="253"/>
      <c r="F4" s="253"/>
      <c r="G4" s="253"/>
      <c r="H4" s="253"/>
      <c r="I4" s="253"/>
      <c r="J4" s="253"/>
      <c r="K4" s="253"/>
      <c r="L4" s="253"/>
      <c r="M4" s="253"/>
    </row>
    <row r="5" spans="2:46">
      <c r="B5" s="140" t="s">
        <v>378</v>
      </c>
      <c r="C5" s="141">
        <v>8</v>
      </c>
      <c r="D5" s="164">
        <f>C5*8</f>
        <v>64</v>
      </c>
      <c r="E5" s="253"/>
      <c r="F5" s="253"/>
      <c r="G5" s="253"/>
      <c r="H5" s="253"/>
      <c r="I5" s="253"/>
      <c r="J5" s="253"/>
      <c r="K5" s="253"/>
      <c r="L5" s="253"/>
      <c r="M5" s="253"/>
    </row>
    <row r="6" spans="2:46">
      <c r="B6" s="140" t="s">
        <v>372</v>
      </c>
      <c r="C6" s="141">
        <v>11</v>
      </c>
      <c r="D6" s="164">
        <f>C6*8</f>
        <v>88</v>
      </c>
      <c r="E6" s="253"/>
      <c r="F6" s="253"/>
      <c r="G6" s="253"/>
      <c r="H6" s="253"/>
      <c r="I6" s="253"/>
      <c r="J6" s="253"/>
      <c r="K6" s="253"/>
      <c r="L6" s="253"/>
      <c r="M6" s="253"/>
    </row>
    <row r="7" spans="2:46" ht="13.5" thickBot="1">
      <c r="B7" s="142" t="s">
        <v>902</v>
      </c>
      <c r="C7" s="141">
        <v>5</v>
      </c>
      <c r="D7" s="165">
        <f>C7*8</f>
        <v>40</v>
      </c>
      <c r="E7" s="253"/>
      <c r="F7" s="253"/>
      <c r="G7" s="253"/>
      <c r="H7" s="253"/>
      <c r="I7" s="253"/>
      <c r="J7" s="253"/>
      <c r="K7" s="253"/>
      <c r="L7" s="253"/>
      <c r="M7" s="253"/>
    </row>
    <row r="8" spans="2:46" ht="13.5" thickBot="1">
      <c r="B8" s="140"/>
      <c r="C8" s="143" t="s">
        <v>3</v>
      </c>
      <c r="D8" s="164">
        <f>SUM(D4:D7)</f>
        <v>312</v>
      </c>
      <c r="E8" s="253"/>
      <c r="F8" s="253"/>
      <c r="G8" s="253"/>
      <c r="H8" s="253"/>
      <c r="I8" s="2588" t="s">
        <v>577</v>
      </c>
      <c r="J8" s="2589"/>
      <c r="K8" s="2589"/>
      <c r="L8" s="2589"/>
      <c r="M8" s="2590"/>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row>
    <row r="9" spans="2:46" ht="13.5" thickBot="1">
      <c r="B9" s="144"/>
      <c r="C9" s="145" t="s">
        <v>4</v>
      </c>
      <c r="D9" s="1385">
        <f>D8/(52*40)</f>
        <v>0.15</v>
      </c>
      <c r="E9" s="253"/>
      <c r="F9" s="253"/>
      <c r="G9" s="253"/>
      <c r="H9" s="253"/>
      <c r="I9" s="146" t="s">
        <v>277</v>
      </c>
      <c r="J9" s="147">
        <v>5</v>
      </c>
      <c r="K9" s="148"/>
      <c r="L9" s="149" t="s">
        <v>133</v>
      </c>
      <c r="M9" s="150">
        <f>J9*365</f>
        <v>1825</v>
      </c>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row>
    <row r="10" spans="2:46" ht="13.5" thickBot="1">
      <c r="B10" s="253"/>
      <c r="C10" s="253"/>
      <c r="D10" s="253"/>
      <c r="E10" s="253"/>
      <c r="F10" s="253"/>
      <c r="G10" s="253"/>
      <c r="H10" s="253"/>
      <c r="I10" s="104"/>
      <c r="J10" s="72"/>
      <c r="K10" s="72"/>
      <c r="L10" s="72"/>
      <c r="M10" s="105"/>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row>
    <row r="11" spans="2:46" ht="25.5">
      <c r="B11" s="42"/>
      <c r="C11" s="153" t="s">
        <v>35</v>
      </c>
      <c r="D11" s="153" t="s">
        <v>41</v>
      </c>
      <c r="E11" s="1883" t="s">
        <v>1164</v>
      </c>
      <c r="F11" s="895"/>
      <c r="G11" s="259" t="s">
        <v>278</v>
      </c>
      <c r="H11" s="253"/>
      <c r="I11" s="106"/>
      <c r="J11" s="53"/>
      <c r="K11" s="54" t="s">
        <v>5</v>
      </c>
      <c r="L11" s="54" t="s">
        <v>6</v>
      </c>
      <c r="M11" s="107" t="s">
        <v>7</v>
      </c>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row>
    <row r="12" spans="2:46">
      <c r="B12" s="171" t="s">
        <v>29</v>
      </c>
      <c r="C12" s="45"/>
      <c r="D12" s="82"/>
      <c r="E12" s="45"/>
      <c r="F12" s="50"/>
      <c r="G12" s="260"/>
      <c r="H12" s="253"/>
      <c r="I12" s="100" t="str">
        <f t="shared" ref="I12:I21" si="0">B12</f>
        <v>Management</v>
      </c>
      <c r="J12" s="55"/>
      <c r="K12" s="56"/>
      <c r="L12" s="56"/>
      <c r="M12" s="108"/>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row>
    <row r="13" spans="2:46">
      <c r="B13" s="48" t="str">
        <f>'Int_Beh FY25'!B13</f>
        <v xml:space="preserve">Program Functional Oversight </v>
      </c>
      <c r="C13" s="1022">
        <v>0.1</v>
      </c>
      <c r="D13" s="1409">
        <f>'M2022 BLS SALARY CHART (53_PCT)'!C22</f>
        <v>79415.232000000018</v>
      </c>
      <c r="E13" s="2130">
        <v>92496.84919424048</v>
      </c>
      <c r="F13" s="2251"/>
      <c r="G13" s="304" t="s">
        <v>1401</v>
      </c>
      <c r="H13" s="253"/>
      <c r="I13" s="104" t="str">
        <f t="shared" si="0"/>
        <v xml:space="preserve">Program Functional Oversight </v>
      </c>
      <c r="J13" s="55"/>
      <c r="K13" s="1003">
        <f>D13</f>
        <v>79415.232000000018</v>
      </c>
      <c r="L13" s="1004">
        <f>C13</f>
        <v>0.1</v>
      </c>
      <c r="M13" s="110">
        <f>K13*L13</f>
        <v>7941.5232000000024</v>
      </c>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row>
    <row r="14" spans="2:46">
      <c r="B14" s="48" t="s">
        <v>402</v>
      </c>
      <c r="C14" s="1022">
        <v>1</v>
      </c>
      <c r="D14" s="999">
        <f>'Integrated Team '!E14</f>
        <v>80606.448000000004</v>
      </c>
      <c r="E14" s="1198">
        <v>60923</v>
      </c>
      <c r="F14" s="50"/>
      <c r="G14" s="2559" t="s">
        <v>1410</v>
      </c>
      <c r="H14" s="253"/>
      <c r="I14" s="104" t="str">
        <f>B14</f>
        <v xml:space="preserve">  Specialty Site Manager</v>
      </c>
      <c r="J14" s="55"/>
      <c r="K14" s="1003">
        <f>D14</f>
        <v>80606.448000000004</v>
      </c>
      <c r="L14" s="1004">
        <f>C14</f>
        <v>1</v>
      </c>
      <c r="M14" s="110">
        <f>K14*L14</f>
        <v>80606.448000000004</v>
      </c>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row>
    <row r="15" spans="2:46">
      <c r="B15" s="44" t="s">
        <v>30</v>
      </c>
      <c r="C15" s="1022"/>
      <c r="D15" s="999"/>
      <c r="E15" s="1198"/>
      <c r="F15" s="50"/>
      <c r="G15" s="2559"/>
      <c r="H15" s="253"/>
      <c r="I15" s="111" t="str">
        <f t="shared" si="0"/>
        <v>Medical and Clinical</v>
      </c>
      <c r="J15" s="57"/>
      <c r="K15" s="1003"/>
      <c r="L15" s="1004"/>
      <c r="M15" s="110"/>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row>
    <row r="16" spans="2:46">
      <c r="B16" s="48" t="s">
        <v>285</v>
      </c>
      <c r="C16" s="1022">
        <v>0.12</v>
      </c>
      <c r="D16" s="999">
        <f>'Integrated Team '!E17</f>
        <v>247470</v>
      </c>
      <c r="E16" s="1198">
        <v>208323.9231935351</v>
      </c>
      <c r="F16" s="50"/>
      <c r="G16" s="304" t="s">
        <v>1401</v>
      </c>
      <c r="H16" s="253"/>
      <c r="I16" s="109" t="str">
        <f t="shared" si="0"/>
        <v xml:space="preserve">  Psychiatrist</v>
      </c>
      <c r="J16" s="57"/>
      <c r="K16" s="1003">
        <f>D16</f>
        <v>247470</v>
      </c>
      <c r="L16" s="1004">
        <f>C16*2</f>
        <v>0.24</v>
      </c>
      <c r="M16" s="110">
        <f t="shared" ref="M16:M24" si="1">K16*L16</f>
        <v>59392.799999999996</v>
      </c>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row>
    <row r="17" spans="2:46">
      <c r="B17" s="48" t="s">
        <v>47</v>
      </c>
      <c r="C17" s="1022">
        <v>0.05</v>
      </c>
      <c r="D17" s="999">
        <f>'M2022 BLS SALARY CHART (53_PCT)'!C18</f>
        <v>80606.448000000004</v>
      </c>
      <c r="E17" s="1198">
        <v>60923.199999999997</v>
      </c>
      <c r="F17" s="50"/>
      <c r="G17" s="304" t="s">
        <v>1401</v>
      </c>
      <c r="H17" s="253"/>
      <c r="I17" s="376" t="str">
        <f t="shared" si="0"/>
        <v xml:space="preserve">  LPHA</v>
      </c>
      <c r="J17" s="377"/>
      <c r="K17" s="1003">
        <f>D17</f>
        <v>80606.448000000004</v>
      </c>
      <c r="L17" s="1004">
        <f>C17</f>
        <v>0.05</v>
      </c>
      <c r="M17" s="379">
        <f t="shared" si="1"/>
        <v>4030.3224000000005</v>
      </c>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row>
    <row r="18" spans="2:46">
      <c r="B18" s="48" t="s">
        <v>123</v>
      </c>
      <c r="C18" s="1022">
        <v>0.12</v>
      </c>
      <c r="D18" s="1409">
        <f>'M2022 BLS SALARY CHART (53_PCT)'!C24</f>
        <v>79076.399999999994</v>
      </c>
      <c r="E18" s="1198">
        <v>70360.439368742242</v>
      </c>
      <c r="F18" s="50"/>
      <c r="G18" s="304" t="s">
        <v>1401</v>
      </c>
      <c r="H18" s="253"/>
      <c r="I18" s="109" t="str">
        <f t="shared" si="0"/>
        <v xml:space="preserve">  Occupational Therapist</v>
      </c>
      <c r="J18" s="57"/>
      <c r="K18" s="1003">
        <f>D18</f>
        <v>79076.399999999994</v>
      </c>
      <c r="L18" s="1004">
        <f>C18</f>
        <v>0.12</v>
      </c>
      <c r="M18" s="110">
        <f>K18*L18</f>
        <v>9489.1679999999997</v>
      </c>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row>
    <row r="19" spans="2:46">
      <c r="B19" s="48" t="s">
        <v>126</v>
      </c>
      <c r="C19" s="1022">
        <v>0.2</v>
      </c>
      <c r="D19" s="999">
        <f>'M2022 BLS SALARY CHART (53_PCT)'!C16</f>
        <v>65676.416000000012</v>
      </c>
      <c r="E19" s="1198">
        <v>57449.599999999999</v>
      </c>
      <c r="F19" s="50"/>
      <c r="G19" s="304" t="s">
        <v>1401</v>
      </c>
      <c r="H19" s="253"/>
      <c r="I19" s="109" t="str">
        <f t="shared" si="0"/>
        <v xml:space="preserve">  LPN</v>
      </c>
      <c r="J19" s="57"/>
      <c r="K19" s="1003">
        <f>D19</f>
        <v>65676.416000000012</v>
      </c>
      <c r="L19" s="1004">
        <f>C19</f>
        <v>0.2</v>
      </c>
      <c r="M19" s="110">
        <f t="shared" si="1"/>
        <v>13135.283200000003</v>
      </c>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row>
    <row r="20" spans="2:46">
      <c r="B20" s="48" t="s">
        <v>31</v>
      </c>
      <c r="C20" s="1022"/>
      <c r="D20" s="999"/>
      <c r="E20" s="1198"/>
      <c r="F20" s="50"/>
      <c r="G20" s="260"/>
      <c r="H20" s="253"/>
      <c r="I20" s="111" t="str">
        <f t="shared" si="0"/>
        <v>Direct Care</v>
      </c>
      <c r="J20" s="57"/>
      <c r="K20" s="1003"/>
      <c r="L20" s="1004"/>
      <c r="M20" s="110"/>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row>
    <row r="21" spans="2:46">
      <c r="B21" s="48" t="str">
        <f>'Int_Beh FY25'!B20</f>
        <v xml:space="preserve">  DC Evening Supervisor (DC III)</v>
      </c>
      <c r="C21" s="1022">
        <v>0.5</v>
      </c>
      <c r="D21" s="999">
        <f>'Int_Beh FY25'!D20</f>
        <v>53206.566400000003</v>
      </c>
      <c r="E21" s="1198">
        <v>41516.800000000003</v>
      </c>
      <c r="F21" s="50"/>
      <c r="G21" s="304" t="s">
        <v>1401</v>
      </c>
      <c r="H21" s="253"/>
      <c r="I21" s="109" t="str">
        <f t="shared" si="0"/>
        <v xml:space="preserve">  DC Evening Supervisor (DC III)</v>
      </c>
      <c r="J21" s="57"/>
      <c r="K21" s="1003">
        <f>D21</f>
        <v>53206.566400000003</v>
      </c>
      <c r="L21" s="1004">
        <f>C21</f>
        <v>0.5</v>
      </c>
      <c r="M21" s="110">
        <f t="shared" si="1"/>
        <v>26603.283200000002</v>
      </c>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row>
    <row r="22" spans="2:46">
      <c r="B22" s="48" t="str">
        <f>'Int_Beh FY25'!B21</f>
        <v xml:space="preserve">  Direct Care III</v>
      </c>
      <c r="C22" s="1022">
        <v>4.3099999999999996</v>
      </c>
      <c r="D22" s="999">
        <f>'Int_Beh FY25'!D21</f>
        <v>53206.566400000003</v>
      </c>
      <c r="E22" s="1198">
        <v>41516.800000000003</v>
      </c>
      <c r="F22" s="50"/>
      <c r="G22" s="304" t="s">
        <v>1401</v>
      </c>
      <c r="H22" s="253"/>
      <c r="I22" s="109" t="str">
        <f>B22</f>
        <v xml:space="preserve">  Direct Care III</v>
      </c>
      <c r="J22" s="57"/>
      <c r="K22" s="1003">
        <f>D22</f>
        <v>53206.566400000003</v>
      </c>
      <c r="L22" s="1004">
        <f>C22</f>
        <v>4.3099999999999996</v>
      </c>
      <c r="M22" s="110">
        <f t="shared" si="1"/>
        <v>229320.30118399998</v>
      </c>
      <c r="N22" s="253">
        <v>2.62</v>
      </c>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row>
    <row r="23" spans="2:46">
      <c r="B23" s="48" t="str">
        <f>'Int_Beh FY25'!B22</f>
        <v xml:space="preserve">  Direct Care </v>
      </c>
      <c r="C23" s="1022">
        <v>4.3099999999999996</v>
      </c>
      <c r="D23" s="999">
        <f>'Int_Beh FY25'!D22</f>
        <v>41600</v>
      </c>
      <c r="E23" s="1198">
        <v>32198</v>
      </c>
      <c r="F23" s="50"/>
      <c r="G23" s="304" t="s">
        <v>1401</v>
      </c>
      <c r="H23" s="253"/>
      <c r="I23" s="1577" t="str">
        <f>B23</f>
        <v xml:space="preserve">  Direct Care </v>
      </c>
      <c r="J23" s="57"/>
      <c r="K23" s="1003">
        <f>D23</f>
        <v>41600</v>
      </c>
      <c r="L23" s="1004">
        <f>C23</f>
        <v>4.3099999999999996</v>
      </c>
      <c r="M23" s="110">
        <f t="shared" si="1"/>
        <v>179295.99999999997</v>
      </c>
      <c r="N23" s="253">
        <v>6</v>
      </c>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row>
    <row r="24" spans="2:46">
      <c r="B24" s="48" t="str">
        <f>'Int_Beh FY25'!B23</f>
        <v xml:space="preserve">  Relief</v>
      </c>
      <c r="C24" s="1022">
        <f>(C23+C22)*D9</f>
        <v>1.2929999999999999</v>
      </c>
      <c r="D24" s="999">
        <f>'Int_Beh FY25'!D23</f>
        <v>47403.283200000005</v>
      </c>
      <c r="E24" s="1198">
        <v>32198</v>
      </c>
      <c r="F24" s="50"/>
      <c r="G24" s="304" t="s">
        <v>1402</v>
      </c>
      <c r="H24" s="253"/>
      <c r="I24" s="109" t="str">
        <f>B24</f>
        <v xml:space="preserve">  Relief</v>
      </c>
      <c r="J24" s="57"/>
      <c r="K24" s="1003">
        <f>D24</f>
        <v>47403.283200000005</v>
      </c>
      <c r="L24" s="1004">
        <f>C24</f>
        <v>1.2929999999999999</v>
      </c>
      <c r="M24" s="110">
        <f t="shared" si="1"/>
        <v>61292.445177600006</v>
      </c>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row>
    <row r="25" spans="2:46">
      <c r="B25" s="48"/>
      <c r="C25" s="339"/>
      <c r="D25" s="46"/>
      <c r="E25" s="50"/>
      <c r="F25" s="50"/>
      <c r="G25" s="260"/>
      <c r="H25" s="253"/>
      <c r="I25" s="114" t="s">
        <v>13</v>
      </c>
      <c r="J25" s="3"/>
      <c r="K25" s="3"/>
      <c r="L25" s="64">
        <f>SUM(L13:L24)</f>
        <v>12.122999999999998</v>
      </c>
      <c r="M25" s="115">
        <f>SUM(M13:M24)</f>
        <v>671107.57436159998</v>
      </c>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row>
    <row r="26" spans="2:46">
      <c r="B26" s="48"/>
      <c r="C26" s="45"/>
      <c r="D26" s="46"/>
      <c r="E26" s="45"/>
      <c r="F26" s="45"/>
      <c r="G26" s="260"/>
      <c r="H26" s="253"/>
      <c r="I26" s="104"/>
      <c r="J26" s="72"/>
      <c r="K26" s="72"/>
      <c r="L26" s="72"/>
      <c r="M26" s="116"/>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row>
    <row r="27" spans="2:46">
      <c r="B27" s="81"/>
      <c r="C27" s="45"/>
      <c r="D27" s="82" t="s">
        <v>42</v>
      </c>
      <c r="E27" s="45"/>
      <c r="F27" s="45"/>
      <c r="G27" s="260"/>
      <c r="H27" s="253"/>
      <c r="I27" s="100" t="s">
        <v>15</v>
      </c>
      <c r="J27" s="72"/>
      <c r="K27" s="72"/>
      <c r="L27" s="4" t="s">
        <v>16</v>
      </c>
      <c r="M27" s="105"/>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row>
    <row r="28" spans="2:46">
      <c r="B28" s="81" t="s">
        <v>434</v>
      </c>
      <c r="C28" s="45"/>
      <c r="D28" s="2021">
        <f>'Int_Beh FY25'!D27</f>
        <v>0.27379999999999999</v>
      </c>
      <c r="F28" s="51"/>
      <c r="G28" s="2355" t="s">
        <v>1403</v>
      </c>
      <c r="H28" s="2355"/>
      <c r="I28" s="2357"/>
      <c r="J28" s="2356"/>
      <c r="K28" s="1811">
        <f>D28</f>
        <v>0.27379999999999999</v>
      </c>
      <c r="L28" s="72"/>
      <c r="M28" s="117">
        <f>K28*M25</f>
        <v>183749.25386020608</v>
      </c>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row>
    <row r="29" spans="2:46">
      <c r="B29" s="171"/>
      <c r="C29" s="51"/>
      <c r="D29" s="51"/>
      <c r="E29" s="51"/>
      <c r="F29" s="51"/>
      <c r="G29" s="260"/>
      <c r="H29" s="253"/>
      <c r="I29" s="114" t="s">
        <v>18</v>
      </c>
      <c r="J29" s="3"/>
      <c r="K29" s="3"/>
      <c r="L29" s="63"/>
      <c r="M29" s="118">
        <f>M25+M28</f>
        <v>854856.82822180609</v>
      </c>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row>
    <row r="30" spans="2:46">
      <c r="B30" s="48"/>
      <c r="C30" s="51"/>
      <c r="D30" s="82" t="s">
        <v>367</v>
      </c>
      <c r="E30" s="51"/>
      <c r="F30" s="51"/>
      <c r="G30" s="260"/>
      <c r="H30" s="253"/>
      <c r="I30" s="109"/>
      <c r="J30" s="936"/>
      <c r="K30" s="1820"/>
      <c r="L30" s="72"/>
      <c r="M30" s="117"/>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row>
    <row r="31" spans="2:46">
      <c r="B31" s="2076" t="str">
        <f>Int_Beh!B163</f>
        <v xml:space="preserve">  Staff Training</v>
      </c>
      <c r="C31" s="339"/>
      <c r="D31" s="89">
        <f ca="1">'Med_Int_Spec  '!D33</f>
        <v>192.10807561388694</v>
      </c>
      <c r="E31" s="2074">
        <v>277.77888799999999</v>
      </c>
      <c r="F31" s="2075"/>
      <c r="G31" s="1401" t="s">
        <v>1105</v>
      </c>
      <c r="H31" s="253"/>
      <c r="I31" s="1091" t="str">
        <f>B31</f>
        <v xml:space="preserve">  Staff Training</v>
      </c>
      <c r="J31" s="72"/>
      <c r="K31" s="89">
        <f ca="1">D31</f>
        <v>192.10807561388694</v>
      </c>
      <c r="L31" s="611"/>
      <c r="M31" s="1098">
        <f ca="1">K31*L25</f>
        <v>2328.9262006671511</v>
      </c>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row>
    <row r="32" spans="2:46">
      <c r="B32" s="2350"/>
      <c r="C32" s="2351"/>
      <c r="D32" s="2352"/>
      <c r="E32" s="2351"/>
      <c r="F32" s="2351"/>
      <c r="G32" s="2353"/>
      <c r="H32" s="253"/>
      <c r="I32" s="109" t="str">
        <f>B33</f>
        <v xml:space="preserve">  Transportation</v>
      </c>
      <c r="J32" s="72"/>
      <c r="K32" s="882">
        <f>D33</f>
        <v>2.0190812303224459</v>
      </c>
      <c r="L32" s="122"/>
      <c r="M32" s="1311">
        <f>M9*K32</f>
        <v>3684.8232453384639</v>
      </c>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row>
    <row r="33" spans="1:299">
      <c r="B33" s="889" t="s">
        <v>435</v>
      </c>
      <c r="C33" s="925"/>
      <c r="D33" s="2354">
        <f>'Med_Int_Spec  '!D34</f>
        <v>2.0190812303224459</v>
      </c>
      <c r="F33" s="1672"/>
      <c r="G33" s="1816" t="s">
        <v>1306</v>
      </c>
      <c r="H33" s="253"/>
      <c r="I33" s="109" t="str">
        <f>B35</f>
        <v xml:space="preserve">  Meals / Food</v>
      </c>
      <c r="J33" s="72"/>
      <c r="K33" s="882">
        <f>D35</f>
        <v>10.004761904761907</v>
      </c>
      <c r="L33" s="122"/>
      <c r="M33" s="1311">
        <f>K33*M9</f>
        <v>18258.690476190481</v>
      </c>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row>
    <row r="34" spans="1:299">
      <c r="B34" s="889" t="s">
        <v>454</v>
      </c>
      <c r="C34" s="925"/>
      <c r="D34" s="1206">
        <f ca="1">'Integrated Team '!E43</f>
        <v>693.71474143152727</v>
      </c>
      <c r="E34" s="1821">
        <v>642.72053101483573</v>
      </c>
      <c r="F34" s="925"/>
      <c r="G34" s="1538" t="str">
        <f>Int_Beh!G31</f>
        <v>Program Supplies &amp; Materials (33E) per FTE.</v>
      </c>
      <c r="H34" s="253"/>
      <c r="I34" s="291" t="str">
        <f>B34</f>
        <v xml:space="preserve">  Program Supplies &amp; Materials</v>
      </c>
      <c r="J34" s="72"/>
      <c r="K34" s="170">
        <f ca="1">D34</f>
        <v>693.71474143152727</v>
      </c>
      <c r="M34" s="290">
        <f ca="1">K34*L25</f>
        <v>8409.9038103744042</v>
      </c>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row>
    <row r="35" spans="1:299">
      <c r="B35" s="48" t="s">
        <v>1108</v>
      </c>
      <c r="C35" s="339"/>
      <c r="D35" s="89">
        <f>'GLE SIE'!C33</f>
        <v>10.004761904761907</v>
      </c>
      <c r="E35" s="1821">
        <v>8.16</v>
      </c>
      <c r="G35" s="274" t="s">
        <v>1104</v>
      </c>
      <c r="H35" s="253"/>
      <c r="I35" s="104"/>
      <c r="J35" s="72"/>
      <c r="K35" s="72"/>
      <c r="L35" s="185"/>
      <c r="M35" s="124">
        <f ca="1">SUM(M30:M34)</f>
        <v>32682.343732570502</v>
      </c>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row>
    <row r="36" spans="1:299">
      <c r="B36" s="81"/>
      <c r="C36" s="45"/>
      <c r="D36" s="45"/>
      <c r="E36" s="45"/>
      <c r="F36" s="45"/>
      <c r="G36" s="260"/>
      <c r="H36" s="253"/>
      <c r="I36" s="104"/>
      <c r="J36" s="72"/>
      <c r="K36" s="72"/>
      <c r="L36" s="66"/>
      <c r="M36" s="125"/>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row>
    <row r="37" spans="1:299">
      <c r="B37" s="81" t="s">
        <v>437</v>
      </c>
      <c r="C37" s="45"/>
      <c r="D37" s="983">
        <f>'Integrated Team (FY21)'!E46</f>
        <v>0.12</v>
      </c>
      <c r="E37" s="45"/>
      <c r="F37" s="45"/>
      <c r="G37" s="384" t="s">
        <v>1099</v>
      </c>
      <c r="H37" s="253"/>
      <c r="I37" s="114" t="s">
        <v>23</v>
      </c>
      <c r="J37" s="3"/>
      <c r="K37" s="3"/>
      <c r="L37" s="3"/>
      <c r="M37" s="126">
        <f ca="1">SUM(M29,M35)</f>
        <v>887539.17195437662</v>
      </c>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row>
    <row r="38" spans="1:299">
      <c r="B38" s="935"/>
      <c r="C38" s="339"/>
      <c r="D38" s="1442"/>
      <c r="E38" s="45"/>
      <c r="F38" s="45"/>
      <c r="G38" s="49"/>
      <c r="H38" s="253"/>
      <c r="I38" s="104"/>
      <c r="J38" s="72"/>
      <c r="K38" s="72"/>
      <c r="L38" s="73"/>
      <c r="M38" s="127"/>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row>
    <row r="39" spans="1:299">
      <c r="B39" s="81"/>
      <c r="C39" s="45"/>
      <c r="D39" s="339"/>
      <c r="E39" s="45"/>
      <c r="F39" s="45"/>
      <c r="G39" s="260"/>
      <c r="H39" s="253"/>
      <c r="I39" s="104" t="str">
        <f>B37</f>
        <v xml:space="preserve">  Admin. Allocation</v>
      </c>
      <c r="J39" s="72"/>
      <c r="K39" s="1033">
        <f>D37</f>
        <v>0.12</v>
      </c>
      <c r="L39" s="72"/>
      <c r="M39" s="117">
        <f ca="1">K39*M37</f>
        <v>106504.70063452519</v>
      </c>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row>
    <row r="40" spans="1:299" ht="13.5" thickBot="1">
      <c r="B40" s="2073" t="s">
        <v>37</v>
      </c>
      <c r="C40" s="95"/>
      <c r="D40" s="2019">
        <f>'Int_Beh FY25'!D41</f>
        <v>2.5758086673353865E-2</v>
      </c>
      <c r="E40" s="95"/>
      <c r="F40" s="95"/>
      <c r="G40" s="1169" t="s">
        <v>893</v>
      </c>
      <c r="H40" s="253"/>
      <c r="I40" s="104"/>
      <c r="J40" s="72"/>
      <c r="K40" s="156"/>
      <c r="L40" s="72"/>
      <c r="M40" s="1538"/>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row>
    <row r="41" spans="1:299">
      <c r="B41" s="2610"/>
      <c r="C41" s="2610"/>
      <c r="D41" s="2610"/>
      <c r="E41" s="2610"/>
      <c r="F41" s="2610"/>
      <c r="G41" s="2610"/>
      <c r="H41" s="253"/>
      <c r="I41" s="104"/>
      <c r="J41" s="72"/>
      <c r="K41" s="156"/>
      <c r="L41" s="72"/>
      <c r="M41" s="128"/>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row>
    <row r="42" spans="1:299" ht="13.5" thickBot="1">
      <c r="B42" s="2611"/>
      <c r="C42" s="2611"/>
      <c r="D42" s="2611"/>
      <c r="E42" s="2611"/>
      <c r="F42" s="2611"/>
      <c r="G42" s="2611"/>
      <c r="H42" s="253"/>
      <c r="I42" s="129" t="s">
        <v>25</v>
      </c>
      <c r="J42" s="74"/>
      <c r="K42" s="1043"/>
      <c r="L42" s="74"/>
      <c r="M42" s="130">
        <f ca="1">SUM(M37:M41)</f>
        <v>994043.87258890178</v>
      </c>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row>
    <row r="43" spans="1:299" ht="13.5" thickTop="1">
      <c r="B43" s="2611"/>
      <c r="C43" s="2611"/>
      <c r="D43" s="2611"/>
      <c r="E43" s="2611"/>
      <c r="F43" s="2611"/>
      <c r="G43" s="2611"/>
      <c r="H43" s="253"/>
      <c r="I43" s="104"/>
      <c r="J43" s="72"/>
      <c r="K43" s="985"/>
      <c r="L43" s="72"/>
      <c r="M43" s="10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row>
    <row r="44" spans="1:299">
      <c r="B44" s="2611"/>
      <c r="C44" s="2611"/>
      <c r="D44" s="2611"/>
      <c r="E44" s="2611"/>
      <c r="F44" s="2611"/>
      <c r="G44" s="2611"/>
      <c r="H44" s="253"/>
      <c r="I44" s="104" t="str">
        <f>B40</f>
        <v>CAF rate</v>
      </c>
      <c r="J44" s="72"/>
      <c r="K44" s="1033">
        <f>D40</f>
        <v>2.5758086673353865E-2</v>
      </c>
      <c r="L44" s="72"/>
      <c r="M44" s="132">
        <f ca="1">M42+(M42*K44)-(M25*K44)</f>
        <v>1002362.0937486127</v>
      </c>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row>
    <row r="45" spans="1:299" ht="13.5" thickBot="1">
      <c r="B45" s="2611"/>
      <c r="C45" s="2611"/>
      <c r="D45" s="2611"/>
      <c r="E45" s="2611"/>
      <c r="F45" s="2611"/>
      <c r="G45" s="2611"/>
      <c r="H45" s="253"/>
      <c r="I45" s="570"/>
      <c r="J45" s="571"/>
      <c r="K45" s="877"/>
      <c r="L45" s="571"/>
      <c r="M45" s="575"/>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row>
    <row r="46" spans="1:299" ht="13.5" thickTop="1">
      <c r="B46" s="253"/>
      <c r="C46" s="253"/>
      <c r="D46" s="253"/>
      <c r="E46" s="253"/>
      <c r="F46" s="253"/>
      <c r="G46" s="253"/>
      <c r="H46" s="253"/>
      <c r="I46" s="104"/>
      <c r="J46" s="72"/>
      <c r="K46" s="131"/>
      <c r="L46" s="72"/>
      <c r="M46" s="132"/>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row>
    <row r="47" spans="1:299" s="253" customFormat="1">
      <c r="I47" s="104"/>
      <c r="J47" s="72"/>
      <c r="K47" s="72"/>
      <c r="L47" s="72"/>
      <c r="M47" s="136"/>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c r="IX47" s="255"/>
      <c r="IY47" s="255"/>
      <c r="IZ47" s="255"/>
      <c r="JA47" s="255"/>
      <c r="JB47" s="255"/>
      <c r="JC47" s="255"/>
      <c r="JD47" s="255"/>
      <c r="JE47" s="255"/>
      <c r="JF47" s="255"/>
      <c r="JG47" s="255"/>
      <c r="JH47" s="255"/>
      <c r="JI47" s="255"/>
      <c r="JJ47" s="255"/>
      <c r="JK47" s="255"/>
      <c r="JL47" s="255"/>
      <c r="JM47" s="255"/>
      <c r="JN47" s="255"/>
      <c r="JO47" s="255"/>
      <c r="JP47" s="255"/>
      <c r="JQ47" s="255"/>
      <c r="JR47" s="255"/>
      <c r="JS47" s="255"/>
      <c r="JT47" s="255"/>
      <c r="JU47" s="255"/>
      <c r="JV47" s="255"/>
      <c r="JW47" s="255"/>
      <c r="JX47" s="255"/>
      <c r="JY47" s="255"/>
      <c r="JZ47" s="255"/>
      <c r="KA47" s="255"/>
      <c r="KB47" s="255"/>
      <c r="KC47" s="255"/>
      <c r="KD47" s="255"/>
      <c r="KE47" s="255"/>
      <c r="KF47" s="255"/>
      <c r="KG47" s="255"/>
      <c r="KH47" s="255"/>
      <c r="KI47" s="255"/>
      <c r="KJ47" s="255"/>
      <c r="KK47" s="255"/>
      <c r="KL47" s="255"/>
      <c r="KM47" s="255"/>
    </row>
    <row r="48" spans="1:299" s="255" customFormat="1" ht="13.5" thickBot="1">
      <c r="A48" s="253"/>
      <c r="B48" s="253"/>
      <c r="C48" s="253"/>
      <c r="D48" s="253"/>
      <c r="E48" s="253"/>
      <c r="F48" s="253"/>
      <c r="G48" s="253"/>
      <c r="H48" s="253"/>
      <c r="I48" s="550" t="s">
        <v>28</v>
      </c>
      <c r="J48" s="548"/>
      <c r="K48" s="548"/>
      <c r="L48" s="549"/>
      <c r="M48" s="1973">
        <f ca="1">M44/M9</f>
        <v>549.2395034238973</v>
      </c>
      <c r="N48" s="593">
        <f ca="1">M50/M49</f>
        <v>4.804471480476147E-4</v>
      </c>
      <c r="O48" s="8"/>
      <c r="P48" s="8"/>
      <c r="Q48" s="8"/>
      <c r="R48" s="8"/>
      <c r="S48" s="8"/>
      <c r="T48" s="8"/>
      <c r="U48" s="8"/>
      <c r="V48" s="8"/>
      <c r="W48" s="8"/>
      <c r="X48" s="8"/>
      <c r="Y48" s="8"/>
      <c r="Z48" s="8"/>
      <c r="AA48" s="8"/>
      <c r="AB48" s="8"/>
      <c r="AC48" s="8"/>
      <c r="AD48" s="8"/>
      <c r="AE48" s="8"/>
      <c r="AF48" s="8"/>
      <c r="AG48" s="8"/>
      <c r="AH48" s="8"/>
      <c r="AI48" s="8"/>
      <c r="AJ48" s="8"/>
      <c r="AK48" s="8"/>
    </row>
    <row r="49" spans="1:37" s="255" customFormat="1">
      <c r="A49" s="253"/>
      <c r="B49" s="253"/>
      <c r="C49" s="253"/>
      <c r="D49" s="253"/>
      <c r="E49" s="253"/>
      <c r="F49" s="253"/>
      <c r="G49" s="253"/>
      <c r="H49" s="253"/>
      <c r="I49" s="253"/>
      <c r="J49" s="253"/>
      <c r="K49" s="253"/>
      <c r="L49" s="253" t="s">
        <v>817</v>
      </c>
      <c r="M49" s="253">
        <v>451.36</v>
      </c>
      <c r="N49" s="253"/>
      <c r="O49" s="8"/>
      <c r="P49" s="8"/>
      <c r="Q49" s="8"/>
      <c r="R49" s="8"/>
      <c r="S49" s="8"/>
      <c r="T49" s="8"/>
      <c r="U49" s="8"/>
      <c r="V49" s="8"/>
      <c r="W49" s="8"/>
      <c r="X49" s="8"/>
      <c r="Y49" s="8"/>
      <c r="Z49" s="8"/>
      <c r="AA49" s="8"/>
      <c r="AB49" s="8"/>
      <c r="AC49" s="8"/>
      <c r="AD49" s="8"/>
      <c r="AE49" s="8"/>
      <c r="AF49" s="8"/>
      <c r="AG49" s="8"/>
      <c r="AH49" s="8"/>
      <c r="AI49" s="8"/>
      <c r="AJ49" s="8"/>
      <c r="AK49" s="8"/>
    </row>
    <row r="50" spans="1:37" s="255" customFormat="1" ht="21">
      <c r="A50" s="253"/>
      <c r="B50" s="2247"/>
      <c r="C50" s="2248"/>
      <c r="D50" s="2248"/>
      <c r="E50" s="2248"/>
      <c r="F50" s="1879"/>
      <c r="G50" s="1879"/>
      <c r="H50" s="253"/>
      <c r="I50" s="253"/>
      <c r="J50" s="253"/>
      <c r="K50" s="253"/>
      <c r="L50" s="253"/>
      <c r="M50" s="593">
        <f ca="1">(M48-M49)/M49</f>
        <v>0.21685462474277137</v>
      </c>
      <c r="N50" s="253"/>
      <c r="O50" s="8"/>
      <c r="P50" s="8"/>
      <c r="Q50" s="8"/>
      <c r="R50" s="8"/>
      <c r="S50" s="8"/>
      <c r="T50" s="8"/>
      <c r="U50" s="8"/>
      <c r="V50" s="8"/>
      <c r="W50" s="8"/>
      <c r="X50" s="8"/>
      <c r="Y50" s="8"/>
      <c r="Z50" s="8"/>
      <c r="AA50" s="8"/>
      <c r="AB50" s="8"/>
      <c r="AC50" s="8"/>
      <c r="AD50" s="8"/>
      <c r="AE50" s="8"/>
      <c r="AF50" s="8"/>
      <c r="AG50" s="8"/>
      <c r="AH50" s="8"/>
      <c r="AI50" s="8"/>
      <c r="AJ50" s="8"/>
      <c r="AK50" s="8"/>
    </row>
    <row r="51" spans="1:37" s="255" customFormat="1" ht="21">
      <c r="A51" s="8"/>
      <c r="B51" s="2171"/>
      <c r="C51" s="1879"/>
      <c r="D51" s="1879"/>
      <c r="E51" s="1879"/>
      <c r="F51" s="1879"/>
      <c r="G51" s="1879"/>
      <c r="H51" s="253"/>
      <c r="I51" s="253"/>
      <c r="J51" s="253"/>
      <c r="K51" s="253"/>
      <c r="L51" s="253"/>
      <c r="M51" s="253"/>
      <c r="N51" s="253"/>
      <c r="O51" s="8"/>
      <c r="P51" s="8"/>
      <c r="Q51" s="8"/>
      <c r="R51" s="8"/>
      <c r="S51" s="8"/>
      <c r="T51" s="8"/>
      <c r="U51" s="8"/>
      <c r="V51" s="8"/>
      <c r="W51" s="8"/>
      <c r="X51" s="8"/>
      <c r="Y51" s="8"/>
      <c r="Z51" s="8"/>
      <c r="AA51" s="8"/>
      <c r="AB51" s="8"/>
      <c r="AC51" s="8"/>
      <c r="AD51" s="8"/>
      <c r="AE51" s="8"/>
      <c r="AF51" s="8"/>
      <c r="AG51" s="8"/>
      <c r="AH51" s="8"/>
      <c r="AI51" s="8"/>
      <c r="AJ51" s="8"/>
      <c r="AK51" s="8"/>
    </row>
    <row r="52" spans="1:37" s="255" customFormat="1" ht="15">
      <c r="A52" s="8"/>
      <c r="B52" s="2401"/>
      <c r="C52" s="985"/>
      <c r="D52" s="1400"/>
      <c r="E52" s="1400"/>
      <c r="F52" s="985"/>
      <c r="G52" s="1879"/>
      <c r="H52" s="253"/>
      <c r="I52" s="253"/>
      <c r="J52" s="253"/>
      <c r="K52" s="253"/>
      <c r="L52" s="253"/>
      <c r="M52" s="253"/>
      <c r="N52" s="253"/>
      <c r="O52" s="8"/>
      <c r="P52" s="8"/>
      <c r="Q52" s="8"/>
      <c r="R52" s="8"/>
      <c r="S52" s="8"/>
      <c r="T52" s="8"/>
      <c r="U52" s="8"/>
      <c r="V52" s="8"/>
      <c r="W52" s="8"/>
      <c r="X52" s="8"/>
      <c r="Y52" s="8"/>
      <c r="Z52" s="8"/>
      <c r="AA52" s="8"/>
      <c r="AB52" s="8"/>
      <c r="AC52" s="8"/>
      <c r="AD52" s="8"/>
      <c r="AE52" s="8"/>
      <c r="AF52" s="8"/>
      <c r="AG52" s="8"/>
      <c r="AH52" s="8"/>
      <c r="AI52" s="8"/>
      <c r="AJ52" s="8"/>
      <c r="AK52" s="8"/>
    </row>
    <row r="53" spans="1:37" s="255" customFormat="1" ht="15">
      <c r="A53" s="8"/>
      <c r="B53" s="2402"/>
      <c r="C53" s="985"/>
      <c r="D53" s="1400"/>
      <c r="E53" s="1400"/>
      <c r="F53" s="985"/>
      <c r="G53" s="1879"/>
      <c r="H53" s="253"/>
      <c r="I53" s="253"/>
      <c r="J53" s="253"/>
      <c r="K53" s="253"/>
      <c r="L53" s="253"/>
      <c r="M53" s="253"/>
      <c r="N53" s="253"/>
      <c r="O53" s="8"/>
      <c r="P53" s="8"/>
      <c r="Q53" s="8"/>
      <c r="R53" s="8"/>
      <c r="S53" s="8"/>
      <c r="T53" s="8"/>
      <c r="U53" s="8"/>
      <c r="V53" s="8"/>
      <c r="W53" s="8"/>
      <c r="X53" s="8"/>
      <c r="Y53" s="8"/>
      <c r="Z53" s="8"/>
      <c r="AA53" s="8"/>
      <c r="AB53" s="8"/>
      <c r="AC53" s="8"/>
      <c r="AD53" s="8"/>
      <c r="AE53" s="8"/>
      <c r="AF53" s="8"/>
      <c r="AG53" s="8"/>
      <c r="AH53" s="8"/>
      <c r="AI53" s="8"/>
      <c r="AJ53" s="8"/>
      <c r="AK53" s="8"/>
    </row>
    <row r="54" spans="1:37" s="255" customFormat="1" ht="15">
      <c r="A54" s="8"/>
      <c r="B54" s="2402"/>
      <c r="C54" s="985"/>
      <c r="D54" s="1400"/>
      <c r="E54" s="1400"/>
      <c r="F54" s="985"/>
      <c r="G54" s="1879"/>
      <c r="H54" s="253"/>
      <c r="I54" s="253"/>
      <c r="J54" s="253"/>
      <c r="K54" s="253"/>
      <c r="L54" s="253"/>
      <c r="M54" s="253"/>
      <c r="N54" s="253"/>
      <c r="O54" s="8"/>
      <c r="P54" s="8"/>
      <c r="Q54" s="8"/>
      <c r="R54" s="8"/>
      <c r="S54" s="8"/>
      <c r="T54" s="8"/>
      <c r="U54" s="8"/>
      <c r="V54" s="8"/>
      <c r="W54" s="8"/>
      <c r="X54" s="8"/>
      <c r="Y54" s="8"/>
      <c r="Z54" s="8"/>
      <c r="AA54" s="8"/>
      <c r="AB54" s="8"/>
      <c r="AC54" s="8"/>
      <c r="AD54" s="8"/>
      <c r="AE54" s="8"/>
      <c r="AF54" s="8"/>
      <c r="AG54" s="8"/>
      <c r="AH54" s="8"/>
      <c r="AI54" s="8"/>
      <c r="AJ54" s="8"/>
      <c r="AK54" s="8"/>
    </row>
    <row r="55" spans="1:37" s="255" customFormat="1" ht="15">
      <c r="A55" s="8"/>
      <c r="B55" s="2402"/>
      <c r="C55" s="985"/>
      <c r="D55" s="1400"/>
      <c r="E55" s="1400"/>
      <c r="F55" s="985"/>
      <c r="G55" s="1879"/>
      <c r="H55" s="253"/>
      <c r="I55" s="253"/>
      <c r="J55" s="253"/>
      <c r="K55" s="253"/>
      <c r="L55" s="253"/>
      <c r="M55" s="253"/>
      <c r="N55" s="253"/>
      <c r="O55" s="8"/>
      <c r="P55" s="8"/>
      <c r="Q55" s="8"/>
      <c r="R55" s="8"/>
      <c r="S55" s="8"/>
      <c r="T55" s="8"/>
      <c r="U55" s="8"/>
      <c r="V55" s="8"/>
      <c r="W55" s="8"/>
      <c r="X55" s="8"/>
      <c r="Y55" s="8"/>
      <c r="Z55" s="8"/>
      <c r="AA55" s="8"/>
      <c r="AB55" s="8"/>
      <c r="AC55" s="8"/>
      <c r="AD55" s="8"/>
      <c r="AE55" s="8"/>
      <c r="AF55" s="8"/>
      <c r="AG55" s="8"/>
      <c r="AH55" s="8"/>
      <c r="AI55" s="8"/>
      <c r="AJ55" s="8"/>
      <c r="AK55" s="8"/>
    </row>
    <row r="56" spans="1:37" s="255" customFormat="1" ht="21">
      <c r="A56" s="8"/>
      <c r="B56" s="2171"/>
      <c r="C56" s="1879"/>
      <c r="D56" s="1879"/>
      <c r="E56" s="1879"/>
      <c r="F56" s="1879"/>
      <c r="G56" s="1879"/>
      <c r="H56" s="253"/>
      <c r="I56" s="253"/>
      <c r="J56" s="253"/>
      <c r="K56" s="253"/>
      <c r="L56" s="253"/>
      <c r="M56" s="253"/>
      <c r="N56" s="253"/>
      <c r="O56" s="8"/>
      <c r="P56" s="8"/>
      <c r="Q56" s="8"/>
      <c r="R56" s="8"/>
      <c r="S56" s="8"/>
      <c r="T56" s="8"/>
      <c r="U56" s="8"/>
      <c r="V56" s="8"/>
      <c r="W56" s="8"/>
      <c r="X56" s="8"/>
      <c r="Y56" s="8"/>
      <c r="Z56" s="8"/>
      <c r="AA56" s="8"/>
      <c r="AB56" s="8"/>
      <c r="AC56" s="8"/>
      <c r="AD56" s="8"/>
      <c r="AE56" s="8"/>
      <c r="AF56" s="8"/>
      <c r="AG56" s="8"/>
      <c r="AH56" s="8"/>
      <c r="AI56" s="8"/>
      <c r="AJ56" s="8"/>
      <c r="AK56" s="8"/>
    </row>
    <row r="57" spans="1:37" s="255" customFormat="1" ht="21">
      <c r="A57" s="253"/>
      <c r="B57" s="2171"/>
      <c r="C57" s="2249"/>
      <c r="D57" s="2250"/>
      <c r="E57" s="1879"/>
      <c r="F57" s="1879"/>
      <c r="G57" s="1879"/>
      <c r="H57" s="253"/>
      <c r="I57" s="253"/>
      <c r="J57" s="253"/>
      <c r="K57" s="253"/>
      <c r="L57" s="253"/>
      <c r="M57" s="253"/>
      <c r="N57" s="253"/>
      <c r="O57" s="8"/>
      <c r="P57" s="8"/>
      <c r="Q57" s="8"/>
      <c r="R57" s="8"/>
      <c r="S57" s="8"/>
      <c r="T57" s="8"/>
      <c r="U57" s="8"/>
      <c r="V57" s="8"/>
      <c r="W57" s="8"/>
      <c r="X57" s="8"/>
      <c r="Y57" s="8"/>
      <c r="Z57" s="8"/>
      <c r="AA57" s="8"/>
      <c r="AB57" s="8"/>
      <c r="AC57" s="8"/>
      <c r="AD57" s="8"/>
      <c r="AE57" s="8"/>
      <c r="AF57" s="8"/>
      <c r="AG57" s="8"/>
      <c r="AH57" s="8"/>
      <c r="AI57" s="8"/>
      <c r="AJ57" s="8"/>
      <c r="AK57" s="8"/>
    </row>
    <row r="58" spans="1:37" s="255" customFormat="1" ht="15">
      <c r="A58" s="253"/>
      <c r="B58" s="1879"/>
      <c r="C58" s="1879"/>
      <c r="D58" s="1879"/>
      <c r="E58" s="1879"/>
      <c r="F58" s="1879"/>
      <c r="G58" s="1879"/>
      <c r="H58" s="253"/>
      <c r="I58" s="253"/>
      <c r="J58" s="253"/>
      <c r="K58" s="253"/>
      <c r="L58" s="253"/>
      <c r="M58" s="253"/>
      <c r="N58" s="253"/>
      <c r="O58" s="8"/>
      <c r="P58" s="8"/>
      <c r="Q58" s="8"/>
      <c r="R58" s="8"/>
      <c r="S58" s="8"/>
      <c r="T58" s="8"/>
      <c r="U58" s="8"/>
      <c r="V58" s="8"/>
      <c r="W58" s="8"/>
      <c r="X58" s="8"/>
      <c r="Y58" s="8"/>
      <c r="Z58" s="8"/>
      <c r="AA58" s="8"/>
      <c r="AB58" s="8"/>
      <c r="AC58" s="8"/>
      <c r="AD58" s="8"/>
      <c r="AE58" s="8"/>
      <c r="AF58" s="8"/>
      <c r="AG58" s="8"/>
      <c r="AH58" s="8"/>
      <c r="AI58" s="8"/>
      <c r="AJ58" s="8"/>
      <c r="AK58" s="8"/>
    </row>
    <row r="59" spans="1:37" s="255" customFormat="1" ht="15">
      <c r="A59" s="253"/>
      <c r="B59" s="1879"/>
      <c r="C59" s="1879"/>
      <c r="D59" s="1879"/>
      <c r="E59" s="1879"/>
      <c r="F59" s="1879"/>
      <c r="G59" s="1879"/>
      <c r="H59" s="253"/>
      <c r="I59" s="253"/>
      <c r="J59" s="253"/>
      <c r="K59" s="253"/>
      <c r="L59" s="253"/>
      <c r="M59" s="253"/>
      <c r="N59" s="253"/>
      <c r="O59" s="8"/>
      <c r="P59" s="8"/>
      <c r="Q59" s="8"/>
      <c r="R59" s="8"/>
      <c r="S59" s="8"/>
      <c r="T59" s="8"/>
      <c r="U59" s="8"/>
      <c r="V59" s="8"/>
      <c r="W59" s="8"/>
      <c r="X59" s="8"/>
      <c r="Y59" s="8"/>
      <c r="Z59" s="8"/>
      <c r="AA59" s="8"/>
      <c r="AB59" s="8"/>
      <c r="AC59" s="8"/>
      <c r="AD59" s="8"/>
      <c r="AE59" s="8"/>
      <c r="AF59" s="8"/>
      <c r="AG59" s="8"/>
      <c r="AH59" s="8"/>
      <c r="AI59" s="8"/>
      <c r="AJ59" s="8"/>
      <c r="AK59" s="8"/>
    </row>
    <row r="60" spans="1:37" s="255" customFormat="1">
      <c r="A60" s="253"/>
      <c r="B60" s="253"/>
      <c r="C60" s="253"/>
      <c r="D60" s="253"/>
      <c r="E60" s="253"/>
      <c r="F60" s="253"/>
      <c r="G60" s="253"/>
      <c r="H60" s="253"/>
      <c r="I60" s="253"/>
      <c r="J60" s="253"/>
      <c r="K60" s="253"/>
      <c r="L60" s="253"/>
      <c r="M60" s="253"/>
      <c r="N60" s="253"/>
      <c r="O60" s="8"/>
      <c r="P60" s="8"/>
      <c r="Q60" s="8"/>
      <c r="R60" s="8"/>
      <c r="S60" s="8"/>
      <c r="T60" s="8"/>
      <c r="U60" s="8"/>
      <c r="V60" s="8"/>
      <c r="W60" s="8"/>
      <c r="X60" s="8"/>
      <c r="Y60" s="8"/>
      <c r="Z60" s="8"/>
      <c r="AA60" s="8"/>
      <c r="AB60" s="8"/>
      <c r="AC60" s="8"/>
      <c r="AD60" s="8"/>
      <c r="AE60" s="8"/>
      <c r="AF60" s="8"/>
      <c r="AG60" s="8"/>
      <c r="AH60" s="8"/>
      <c r="AI60" s="8"/>
      <c r="AJ60" s="8"/>
      <c r="AK60" s="8"/>
    </row>
    <row r="61" spans="1:37" s="255" customFormat="1" ht="21">
      <c r="A61" s="253"/>
      <c r="B61" s="2247"/>
      <c r="C61" s="2248"/>
      <c r="D61" s="2248"/>
      <c r="E61" s="2248"/>
      <c r="F61" s="1879"/>
      <c r="G61" s="1879"/>
      <c r="H61" s="253"/>
      <c r="I61" s="253"/>
      <c r="J61" s="253"/>
      <c r="K61" s="253"/>
      <c r="L61" s="253"/>
      <c r="M61" s="253"/>
      <c r="N61" s="253"/>
      <c r="O61" s="8"/>
      <c r="P61" s="8"/>
      <c r="Q61" s="8"/>
      <c r="R61" s="8"/>
      <c r="S61" s="8"/>
      <c r="T61" s="8"/>
      <c r="U61" s="8"/>
      <c r="V61" s="8"/>
      <c r="W61" s="8"/>
      <c r="X61" s="8"/>
      <c r="Y61" s="8"/>
      <c r="Z61" s="8"/>
      <c r="AA61" s="8"/>
      <c r="AB61" s="8"/>
      <c r="AC61" s="8"/>
      <c r="AD61" s="8"/>
      <c r="AE61" s="8"/>
      <c r="AF61" s="8"/>
      <c r="AG61" s="8"/>
      <c r="AH61" s="8"/>
      <c r="AI61" s="8"/>
      <c r="AJ61" s="8"/>
      <c r="AK61" s="8"/>
    </row>
    <row r="62" spans="1:37" s="255" customFormat="1" ht="21">
      <c r="A62" s="253"/>
      <c r="B62" s="2171"/>
      <c r="C62" s="1879"/>
      <c r="D62" s="1879"/>
      <c r="E62" s="1879"/>
      <c r="F62" s="1879"/>
      <c r="G62" s="1879"/>
      <c r="H62" s="253"/>
      <c r="I62" s="253"/>
      <c r="J62" s="253"/>
      <c r="K62" s="253"/>
      <c r="L62" s="253"/>
      <c r="M62" s="253"/>
      <c r="N62" s="253"/>
      <c r="O62" s="8"/>
      <c r="P62" s="8"/>
      <c r="Q62" s="8"/>
      <c r="R62" s="8"/>
      <c r="S62" s="8"/>
      <c r="T62" s="8"/>
      <c r="U62" s="8"/>
      <c r="V62" s="8"/>
      <c r="W62" s="8"/>
      <c r="X62" s="8"/>
      <c r="Y62" s="8"/>
      <c r="Z62" s="8"/>
      <c r="AA62" s="8"/>
      <c r="AB62" s="8"/>
      <c r="AC62" s="8"/>
      <c r="AD62" s="8"/>
      <c r="AE62" s="8"/>
      <c r="AF62" s="8"/>
      <c r="AG62" s="8"/>
      <c r="AH62" s="8"/>
      <c r="AI62" s="8"/>
      <c r="AJ62" s="8"/>
      <c r="AK62" s="8"/>
    </row>
    <row r="63" spans="1:37" s="255" customFormat="1" ht="21">
      <c r="A63" s="253"/>
      <c r="B63" s="2171"/>
      <c r="C63" s="1879"/>
      <c r="D63" s="1879"/>
      <c r="E63" s="1879"/>
      <c r="F63" s="1879"/>
      <c r="G63" s="1879"/>
      <c r="H63" s="253"/>
      <c r="I63" s="253"/>
      <c r="J63" s="253"/>
      <c r="K63" s="253"/>
      <c r="L63" s="253"/>
      <c r="M63" s="253"/>
      <c r="N63" s="253"/>
      <c r="O63" s="8"/>
      <c r="P63" s="8"/>
      <c r="Q63" s="8"/>
      <c r="R63" s="8"/>
      <c r="S63" s="8"/>
      <c r="T63" s="8"/>
      <c r="U63" s="8"/>
      <c r="V63" s="8"/>
      <c r="W63" s="8"/>
      <c r="X63" s="8"/>
      <c r="Y63" s="8"/>
      <c r="Z63" s="8"/>
      <c r="AA63" s="8"/>
      <c r="AB63" s="8"/>
      <c r="AC63" s="8"/>
      <c r="AD63" s="8"/>
      <c r="AE63" s="8"/>
      <c r="AF63" s="8"/>
      <c r="AG63" s="8"/>
      <c r="AH63" s="8"/>
      <c r="AI63" s="8"/>
      <c r="AJ63" s="8"/>
      <c r="AK63" s="8"/>
    </row>
    <row r="64" spans="1:37" s="255" customFormat="1" ht="21">
      <c r="A64" s="253"/>
      <c r="B64" s="2171"/>
      <c r="C64" s="1879"/>
      <c r="D64" s="1879"/>
      <c r="E64" s="1879"/>
      <c r="F64" s="1879"/>
      <c r="G64" s="1879"/>
      <c r="H64" s="253"/>
      <c r="I64" s="253"/>
      <c r="J64" s="253"/>
      <c r="K64" s="253"/>
      <c r="L64" s="253"/>
      <c r="M64" s="253"/>
      <c r="N64" s="253"/>
      <c r="O64" s="8"/>
      <c r="P64" s="8"/>
      <c r="Q64" s="8"/>
      <c r="R64" s="8"/>
      <c r="S64" s="8"/>
      <c r="T64" s="8"/>
      <c r="U64" s="8"/>
      <c r="V64" s="8"/>
      <c r="W64" s="8"/>
      <c r="X64" s="8"/>
      <c r="Y64" s="8"/>
      <c r="Z64" s="8"/>
      <c r="AA64" s="8"/>
      <c r="AB64" s="8"/>
      <c r="AC64" s="8"/>
      <c r="AD64" s="8"/>
      <c r="AE64" s="8"/>
      <c r="AF64" s="8"/>
      <c r="AG64" s="8"/>
      <c r="AH64" s="8"/>
      <c r="AI64" s="8"/>
      <c r="AJ64" s="8"/>
      <c r="AK64" s="8"/>
    </row>
    <row r="65" spans="1:37" s="255" customFormat="1" ht="21">
      <c r="A65" s="253"/>
      <c r="B65" s="2171"/>
      <c r="C65" s="1879"/>
      <c r="D65" s="1879"/>
      <c r="E65" s="1879"/>
      <c r="F65" s="1879"/>
      <c r="G65" s="1879"/>
      <c r="H65" s="253"/>
      <c r="I65" s="253"/>
      <c r="J65" s="253"/>
      <c r="K65" s="253"/>
      <c r="L65" s="253"/>
      <c r="M65" s="253"/>
      <c r="N65" s="253"/>
      <c r="O65" s="8"/>
      <c r="P65" s="8"/>
      <c r="Q65" s="8"/>
      <c r="R65" s="8"/>
      <c r="S65" s="8"/>
      <c r="T65" s="8"/>
      <c r="U65" s="8"/>
      <c r="V65" s="8"/>
      <c r="W65" s="8"/>
      <c r="X65" s="8"/>
      <c r="Y65" s="8"/>
      <c r="Z65" s="8"/>
      <c r="AA65" s="8"/>
      <c r="AB65" s="8"/>
      <c r="AC65" s="8"/>
      <c r="AD65" s="8"/>
      <c r="AE65" s="8"/>
      <c r="AF65" s="8"/>
      <c r="AG65" s="8"/>
      <c r="AH65" s="8"/>
      <c r="AI65" s="8"/>
      <c r="AJ65" s="8"/>
      <c r="AK65" s="8"/>
    </row>
    <row r="66" spans="1:37" s="255" customFormat="1" ht="21">
      <c r="A66" s="253"/>
      <c r="B66" s="2171"/>
      <c r="C66" s="1879"/>
      <c r="D66" s="1879"/>
      <c r="E66" s="1879"/>
      <c r="F66" s="1879"/>
      <c r="G66" s="1879"/>
      <c r="H66" s="253"/>
      <c r="I66" s="253"/>
      <c r="J66" s="253"/>
      <c r="K66" s="253"/>
      <c r="L66" s="253"/>
      <c r="M66" s="253"/>
      <c r="N66" s="253"/>
      <c r="O66" s="8"/>
      <c r="P66" s="8"/>
      <c r="Q66" s="8"/>
      <c r="R66" s="8"/>
      <c r="S66" s="8"/>
      <c r="T66" s="8"/>
      <c r="U66" s="8"/>
      <c r="V66" s="8"/>
      <c r="W66" s="8"/>
      <c r="X66" s="8"/>
      <c r="Y66" s="8"/>
      <c r="Z66" s="8"/>
      <c r="AA66" s="8"/>
      <c r="AB66" s="8"/>
      <c r="AC66" s="8"/>
      <c r="AD66" s="8"/>
      <c r="AE66" s="8"/>
      <c r="AF66" s="8"/>
      <c r="AG66" s="8"/>
      <c r="AH66" s="8"/>
      <c r="AI66" s="8"/>
      <c r="AJ66" s="8"/>
      <c r="AK66" s="8"/>
    </row>
    <row r="67" spans="1:37" s="255" customFormat="1">
      <c r="A67" s="253"/>
      <c r="B67" s="253"/>
      <c r="C67" s="253"/>
      <c r="D67" s="253"/>
      <c r="E67" s="253"/>
      <c r="F67" s="253"/>
      <c r="G67" s="253"/>
      <c r="H67" s="253"/>
      <c r="I67" s="253"/>
      <c r="J67" s="253"/>
      <c r="K67" s="253"/>
      <c r="L67" s="253"/>
      <c r="M67" s="253"/>
      <c r="N67" s="253"/>
      <c r="O67" s="8"/>
      <c r="P67" s="8"/>
      <c r="Q67" s="8"/>
      <c r="R67" s="8"/>
      <c r="S67" s="8"/>
      <c r="T67" s="8"/>
      <c r="U67" s="8"/>
      <c r="V67" s="8"/>
      <c r="W67" s="8"/>
      <c r="X67" s="8"/>
      <c r="Y67" s="8"/>
      <c r="Z67" s="8"/>
      <c r="AA67" s="8"/>
      <c r="AB67" s="8"/>
      <c r="AC67" s="8"/>
      <c r="AD67" s="8"/>
      <c r="AE67" s="8"/>
      <c r="AF67" s="8"/>
      <c r="AG67" s="8"/>
      <c r="AH67" s="8"/>
      <c r="AI67" s="8"/>
      <c r="AJ67" s="8"/>
      <c r="AK67" s="8"/>
    </row>
    <row r="68" spans="1:37" s="255" customFormat="1">
      <c r="A68" s="253"/>
      <c r="B68" s="253"/>
      <c r="C68" s="253"/>
      <c r="D68" s="253"/>
      <c r="E68" s="253"/>
      <c r="F68" s="253"/>
      <c r="G68" s="253"/>
      <c r="H68" s="253"/>
      <c r="I68" s="253"/>
      <c r="J68" s="253"/>
      <c r="K68" s="253"/>
      <c r="L68" s="253"/>
      <c r="M68" s="253"/>
      <c r="N68" s="253"/>
      <c r="O68" s="8"/>
      <c r="P68" s="8"/>
      <c r="Q68" s="8"/>
      <c r="R68" s="8"/>
      <c r="S68" s="8"/>
      <c r="T68" s="8"/>
      <c r="U68" s="8"/>
      <c r="V68" s="8"/>
      <c r="W68" s="8"/>
      <c r="X68" s="8"/>
      <c r="Y68" s="8"/>
      <c r="Z68" s="8"/>
      <c r="AA68" s="8"/>
      <c r="AB68" s="8"/>
      <c r="AC68" s="8"/>
      <c r="AD68" s="8"/>
      <c r="AE68" s="8"/>
      <c r="AF68" s="8"/>
      <c r="AG68" s="8"/>
      <c r="AH68" s="8"/>
      <c r="AI68" s="8"/>
      <c r="AJ68" s="8"/>
      <c r="AK68" s="8"/>
    </row>
    <row r="69" spans="1:37" s="255" customFormat="1">
      <c r="A69" s="253"/>
      <c r="B69" s="253"/>
      <c r="C69" s="253"/>
      <c r="D69" s="253"/>
      <c r="E69" s="253"/>
      <c r="F69" s="253"/>
      <c r="G69" s="253"/>
      <c r="H69" s="253"/>
      <c r="I69" s="253"/>
      <c r="J69" s="253"/>
      <c r="K69" s="253"/>
      <c r="L69" s="253"/>
      <c r="M69" s="253"/>
      <c r="N69" s="253"/>
      <c r="O69" s="8"/>
      <c r="P69" s="8"/>
      <c r="Q69" s="8"/>
      <c r="R69" s="8"/>
      <c r="S69" s="8"/>
      <c r="T69" s="8"/>
      <c r="U69" s="8"/>
      <c r="V69" s="8"/>
      <c r="W69" s="8"/>
      <c r="X69" s="8"/>
      <c r="Y69" s="8"/>
      <c r="Z69" s="8"/>
      <c r="AA69" s="8"/>
      <c r="AB69" s="8"/>
      <c r="AC69" s="8"/>
      <c r="AD69" s="8"/>
      <c r="AE69" s="8"/>
      <c r="AF69" s="8"/>
      <c r="AG69" s="8"/>
      <c r="AH69" s="8"/>
      <c r="AI69" s="8"/>
      <c r="AJ69" s="8"/>
      <c r="AK69" s="8"/>
    </row>
    <row r="70" spans="1:37" s="255" customFormat="1">
      <c r="A70" s="253"/>
      <c r="B70" s="253"/>
      <c r="C70" s="253"/>
      <c r="D70" s="253"/>
      <c r="E70" s="253"/>
      <c r="F70" s="253"/>
      <c r="G70" s="253"/>
      <c r="H70" s="253"/>
      <c r="I70" s="253"/>
      <c r="J70" s="253"/>
      <c r="K70" s="253"/>
      <c r="L70" s="253"/>
      <c r="M70" s="253"/>
      <c r="N70" s="253"/>
      <c r="O70" s="8"/>
      <c r="P70" s="8"/>
      <c r="Q70" s="8"/>
      <c r="R70" s="8"/>
      <c r="S70" s="8"/>
      <c r="T70" s="8"/>
      <c r="U70" s="8"/>
      <c r="V70" s="8"/>
      <c r="W70" s="8"/>
      <c r="X70" s="8"/>
      <c r="Y70" s="8"/>
      <c r="Z70" s="8"/>
      <c r="AA70" s="8"/>
      <c r="AB70" s="8"/>
      <c r="AC70" s="8"/>
      <c r="AD70" s="8"/>
      <c r="AE70" s="8"/>
      <c r="AF70" s="8"/>
      <c r="AG70" s="8"/>
      <c r="AH70" s="8"/>
      <c r="AI70" s="8"/>
      <c r="AJ70" s="8"/>
      <c r="AK70" s="8"/>
    </row>
    <row r="71" spans="1:37" s="255" customFormat="1">
      <c r="A71" s="253"/>
      <c r="B71" s="253"/>
      <c r="C71" s="253"/>
      <c r="D71" s="253"/>
      <c r="E71" s="253"/>
      <c r="F71" s="253"/>
      <c r="G71" s="253"/>
      <c r="H71" s="253"/>
      <c r="I71" s="253"/>
      <c r="J71" s="253"/>
      <c r="K71" s="253"/>
      <c r="L71" s="253"/>
      <c r="M71" s="253"/>
      <c r="N71" s="253"/>
      <c r="O71" s="8"/>
      <c r="P71" s="8"/>
      <c r="Q71" s="8"/>
      <c r="R71" s="8"/>
      <c r="S71" s="8"/>
      <c r="T71" s="8"/>
      <c r="U71" s="8"/>
      <c r="V71" s="8"/>
      <c r="W71" s="8"/>
      <c r="X71" s="8"/>
      <c r="Y71" s="8"/>
      <c r="Z71" s="8"/>
      <c r="AA71" s="8"/>
      <c r="AB71" s="8"/>
      <c r="AC71" s="8"/>
      <c r="AD71" s="8"/>
      <c r="AE71" s="8"/>
      <c r="AF71" s="8"/>
      <c r="AG71" s="8"/>
      <c r="AH71" s="8"/>
      <c r="AI71" s="8"/>
      <c r="AJ71" s="8"/>
      <c r="AK71" s="8"/>
    </row>
    <row r="72" spans="1:37" s="255" customFormat="1">
      <c r="A72" s="253"/>
      <c r="B72" s="253"/>
      <c r="C72" s="253"/>
      <c r="D72" s="253"/>
      <c r="E72" s="253"/>
      <c r="F72" s="253"/>
      <c r="G72" s="253"/>
      <c r="H72" s="253"/>
      <c r="I72" s="253"/>
      <c r="J72" s="253"/>
      <c r="K72" s="253"/>
      <c r="L72" s="253"/>
      <c r="M72" s="253"/>
      <c r="N72" s="253"/>
      <c r="O72" s="8"/>
      <c r="P72" s="8"/>
      <c r="Q72" s="8"/>
      <c r="R72" s="8"/>
      <c r="S72" s="8"/>
      <c r="T72" s="8"/>
      <c r="U72" s="8"/>
      <c r="V72" s="8"/>
      <c r="W72" s="8"/>
      <c r="X72" s="8"/>
      <c r="Y72" s="8"/>
      <c r="Z72" s="8"/>
      <c r="AA72" s="8"/>
      <c r="AB72" s="8"/>
      <c r="AC72" s="8"/>
      <c r="AD72" s="8"/>
      <c r="AE72" s="8"/>
      <c r="AF72" s="8"/>
      <c r="AG72" s="8"/>
      <c r="AH72" s="8"/>
      <c r="AI72" s="8"/>
      <c r="AJ72" s="8"/>
      <c r="AK72" s="8"/>
    </row>
    <row r="73" spans="1:37" s="255" customFormat="1">
      <c r="A73" s="253"/>
      <c r="B73" s="253"/>
      <c r="C73" s="253"/>
      <c r="D73" s="253"/>
      <c r="E73" s="253"/>
      <c r="F73" s="253"/>
      <c r="G73" s="253"/>
      <c r="H73" s="253"/>
      <c r="I73" s="253"/>
      <c r="J73" s="253"/>
      <c r="K73" s="253"/>
      <c r="L73" s="253"/>
      <c r="M73" s="253"/>
      <c r="N73" s="253"/>
      <c r="O73" s="8"/>
      <c r="P73" s="8"/>
      <c r="Q73" s="8"/>
      <c r="R73" s="8"/>
      <c r="S73" s="8"/>
      <c r="T73" s="8"/>
      <c r="U73" s="8"/>
      <c r="V73" s="8"/>
      <c r="W73" s="8"/>
      <c r="X73" s="8"/>
      <c r="Y73" s="8"/>
      <c r="Z73" s="8"/>
      <c r="AA73" s="8"/>
      <c r="AB73" s="8"/>
      <c r="AC73" s="8"/>
      <c r="AD73" s="8"/>
      <c r="AE73" s="8"/>
      <c r="AF73" s="8"/>
      <c r="AG73" s="8"/>
      <c r="AH73" s="8"/>
      <c r="AI73" s="8"/>
      <c r="AJ73" s="8"/>
      <c r="AK73" s="8"/>
    </row>
    <row r="74" spans="1:37" s="255" customFormat="1">
      <c r="A74" s="253"/>
      <c r="B74" s="253"/>
      <c r="C74" s="253"/>
      <c r="D74" s="253"/>
      <c r="E74" s="253"/>
      <c r="F74" s="253"/>
      <c r="G74" s="253"/>
      <c r="H74" s="253"/>
      <c r="I74" s="253"/>
      <c r="J74" s="253"/>
      <c r="K74" s="253"/>
      <c r="L74" s="253"/>
      <c r="M74" s="253"/>
      <c r="N74" s="253"/>
      <c r="O74" s="8"/>
      <c r="P74" s="8"/>
      <c r="Q74" s="8"/>
      <c r="R74" s="8"/>
      <c r="S74" s="8"/>
      <c r="T74" s="8"/>
      <c r="U74" s="8"/>
      <c r="V74" s="8"/>
      <c r="W74" s="8"/>
      <c r="X74" s="8"/>
      <c r="Y74" s="8"/>
      <c r="Z74" s="8"/>
      <c r="AA74" s="8"/>
      <c r="AB74" s="8"/>
      <c r="AC74" s="8"/>
      <c r="AD74" s="8"/>
      <c r="AE74" s="8"/>
      <c r="AF74" s="8"/>
      <c r="AG74" s="8"/>
      <c r="AH74" s="8"/>
      <c r="AI74" s="8"/>
      <c r="AJ74" s="8"/>
      <c r="AK74" s="8"/>
    </row>
    <row r="75" spans="1:37" s="255" customFormat="1">
      <c r="A75" s="253"/>
      <c r="B75" s="253"/>
      <c r="C75" s="253"/>
      <c r="D75" s="253"/>
      <c r="E75" s="253"/>
      <c r="F75" s="253"/>
      <c r="G75" s="253"/>
      <c r="H75" s="253"/>
      <c r="I75" s="253"/>
      <c r="J75" s="253"/>
      <c r="K75" s="253"/>
      <c r="L75" s="253"/>
      <c r="M75" s="253"/>
      <c r="N75" s="253"/>
      <c r="O75" s="8"/>
      <c r="P75" s="8"/>
      <c r="Q75" s="8"/>
      <c r="R75" s="8"/>
      <c r="S75" s="8"/>
      <c r="T75" s="8"/>
      <c r="U75" s="8"/>
      <c r="V75" s="8"/>
      <c r="W75" s="8"/>
      <c r="X75" s="8"/>
      <c r="Y75" s="8"/>
      <c r="Z75" s="8"/>
      <c r="AA75" s="8"/>
      <c r="AB75" s="8"/>
      <c r="AC75" s="8"/>
      <c r="AD75" s="8"/>
      <c r="AE75" s="8"/>
      <c r="AF75" s="8"/>
      <c r="AG75" s="8"/>
      <c r="AH75" s="8"/>
      <c r="AI75" s="8"/>
      <c r="AJ75" s="8"/>
      <c r="AK75" s="8"/>
    </row>
    <row r="76" spans="1:37" s="255" customFormat="1">
      <c r="A76" s="253"/>
      <c r="B76" s="253"/>
      <c r="C76" s="253"/>
      <c r="D76" s="253"/>
      <c r="E76" s="253"/>
      <c r="F76" s="253"/>
      <c r="G76" s="253"/>
      <c r="H76" s="253"/>
      <c r="I76" s="253"/>
      <c r="J76" s="253"/>
      <c r="K76" s="253"/>
      <c r="L76" s="253"/>
      <c r="M76" s="253"/>
      <c r="N76" s="253"/>
      <c r="O76" s="8"/>
      <c r="P76" s="8"/>
      <c r="Q76" s="8"/>
      <c r="R76" s="8"/>
      <c r="S76" s="8"/>
      <c r="T76" s="8"/>
      <c r="U76" s="8"/>
      <c r="V76" s="8"/>
      <c r="W76" s="8"/>
      <c r="X76" s="8"/>
      <c r="Y76" s="8"/>
      <c r="Z76" s="8"/>
      <c r="AA76" s="8"/>
      <c r="AB76" s="8"/>
      <c r="AC76" s="8"/>
      <c r="AD76" s="8"/>
      <c r="AE76" s="8"/>
      <c r="AF76" s="8"/>
      <c r="AG76" s="8"/>
      <c r="AH76" s="8"/>
      <c r="AI76" s="8"/>
      <c r="AJ76" s="8"/>
      <c r="AK76" s="8"/>
    </row>
    <row r="77" spans="1:37" s="255" customFormat="1">
      <c r="A77" s="253"/>
      <c r="B77" s="253"/>
      <c r="C77" s="253"/>
      <c r="D77" s="253"/>
      <c r="E77" s="253"/>
      <c r="F77" s="253"/>
      <c r="G77" s="253"/>
      <c r="H77" s="253"/>
      <c r="I77" s="253"/>
      <c r="J77" s="253"/>
      <c r="K77" s="253"/>
      <c r="L77" s="253"/>
      <c r="M77" s="253"/>
      <c r="N77" s="253"/>
      <c r="O77" s="8"/>
      <c r="P77" s="8"/>
      <c r="Q77" s="8"/>
      <c r="R77" s="8"/>
      <c r="S77" s="8"/>
      <c r="T77" s="8"/>
      <c r="U77" s="8"/>
      <c r="V77" s="8"/>
      <c r="W77" s="8"/>
      <c r="X77" s="8"/>
      <c r="Y77" s="8"/>
      <c r="Z77" s="8"/>
      <c r="AA77" s="8"/>
      <c r="AB77" s="8"/>
      <c r="AC77" s="8"/>
      <c r="AD77" s="8"/>
      <c r="AE77" s="8"/>
      <c r="AF77" s="8"/>
      <c r="AG77" s="8"/>
      <c r="AH77" s="8"/>
      <c r="AI77" s="8"/>
      <c r="AJ77" s="8"/>
      <c r="AK77" s="8"/>
    </row>
    <row r="78" spans="1:37" s="255" customFormat="1">
      <c r="A78" s="253"/>
      <c r="B78" s="253"/>
      <c r="C78" s="253"/>
      <c r="D78" s="253"/>
      <c r="E78" s="253"/>
      <c r="F78" s="253"/>
      <c r="G78" s="253"/>
      <c r="H78" s="253"/>
      <c r="I78" s="253"/>
      <c r="J78" s="253"/>
      <c r="K78" s="253"/>
      <c r="L78" s="253"/>
      <c r="M78" s="253"/>
      <c r="N78" s="253"/>
      <c r="O78" s="8"/>
      <c r="P78" s="8"/>
      <c r="Q78" s="8"/>
      <c r="R78" s="8"/>
      <c r="S78" s="8"/>
      <c r="T78" s="8"/>
      <c r="U78" s="8"/>
      <c r="V78" s="8"/>
      <c r="W78" s="8"/>
      <c r="X78" s="8"/>
      <c r="Y78" s="8"/>
      <c r="Z78" s="8"/>
      <c r="AA78" s="8"/>
      <c r="AB78" s="8"/>
      <c r="AC78" s="8"/>
      <c r="AD78" s="8"/>
      <c r="AE78" s="8"/>
      <c r="AF78" s="8"/>
      <c r="AG78" s="8"/>
      <c r="AH78" s="8"/>
      <c r="AI78" s="8"/>
      <c r="AJ78" s="8"/>
      <c r="AK78" s="8"/>
    </row>
    <row r="79" spans="1:37" s="255" customFormat="1">
      <c r="A79" s="253"/>
      <c r="B79" s="253"/>
      <c r="C79" s="253"/>
      <c r="D79" s="253"/>
      <c r="E79" s="253"/>
      <c r="F79" s="253"/>
      <c r="G79" s="253"/>
      <c r="H79" s="253"/>
      <c r="I79" s="253"/>
      <c r="J79" s="253"/>
      <c r="K79" s="253"/>
      <c r="L79" s="253"/>
      <c r="M79" s="253"/>
      <c r="N79" s="253"/>
      <c r="O79" s="8"/>
      <c r="P79" s="8"/>
      <c r="Q79" s="8"/>
      <c r="R79" s="8"/>
      <c r="S79" s="8"/>
      <c r="T79" s="8"/>
      <c r="U79" s="8"/>
      <c r="V79" s="8"/>
      <c r="W79" s="8"/>
      <c r="X79" s="8"/>
      <c r="Y79" s="8"/>
      <c r="Z79" s="8"/>
      <c r="AA79" s="8"/>
      <c r="AB79" s="8"/>
      <c r="AC79" s="8"/>
      <c r="AD79" s="8"/>
      <c r="AE79" s="8"/>
      <c r="AF79" s="8"/>
      <c r="AG79" s="8"/>
      <c r="AH79" s="8"/>
      <c r="AI79" s="8"/>
      <c r="AJ79" s="8"/>
      <c r="AK79" s="8"/>
    </row>
    <row r="80" spans="1:37" s="255" customFormat="1">
      <c r="A80" s="253"/>
      <c r="B80" s="253"/>
      <c r="C80" s="253"/>
      <c r="D80" s="253"/>
      <c r="E80" s="253"/>
      <c r="F80" s="253"/>
      <c r="G80" s="253"/>
      <c r="H80" s="253"/>
      <c r="I80" s="253"/>
      <c r="J80" s="253"/>
      <c r="K80" s="253"/>
      <c r="L80" s="253"/>
      <c r="M80" s="253"/>
      <c r="N80" s="253"/>
      <c r="O80" s="8"/>
      <c r="P80" s="8"/>
      <c r="Q80" s="8"/>
      <c r="R80" s="8"/>
      <c r="S80" s="8"/>
      <c r="T80" s="8"/>
      <c r="U80" s="8"/>
      <c r="V80" s="8"/>
      <c r="W80" s="8"/>
      <c r="X80" s="8"/>
      <c r="Y80" s="8"/>
      <c r="Z80" s="8"/>
      <c r="AA80" s="8"/>
      <c r="AB80" s="8"/>
      <c r="AC80" s="8"/>
      <c r="AD80" s="8"/>
      <c r="AE80" s="8"/>
      <c r="AF80" s="8"/>
      <c r="AG80" s="8"/>
      <c r="AH80" s="8"/>
      <c r="AI80" s="8"/>
      <c r="AJ80" s="8"/>
      <c r="AK80" s="8"/>
    </row>
    <row r="81" spans="1:37" s="255" customFormat="1">
      <c r="A81" s="253"/>
      <c r="B81" s="253"/>
      <c r="C81" s="253"/>
      <c r="D81" s="253"/>
      <c r="E81" s="253"/>
      <c r="F81" s="253"/>
      <c r="G81" s="253"/>
      <c r="H81" s="253"/>
      <c r="I81" s="253"/>
      <c r="J81" s="253"/>
      <c r="K81" s="253"/>
      <c r="L81" s="253"/>
      <c r="M81" s="253"/>
      <c r="N81" s="253"/>
      <c r="O81" s="8"/>
      <c r="P81" s="8"/>
      <c r="Q81" s="8"/>
      <c r="R81" s="8"/>
      <c r="S81" s="8"/>
      <c r="T81" s="8"/>
      <c r="U81" s="8"/>
      <c r="V81" s="8"/>
      <c r="W81" s="8"/>
      <c r="X81" s="8"/>
      <c r="Y81" s="8"/>
      <c r="Z81" s="8"/>
      <c r="AA81" s="8"/>
      <c r="AB81" s="8"/>
      <c r="AC81" s="8"/>
      <c r="AD81" s="8"/>
      <c r="AE81" s="8"/>
      <c r="AF81" s="8"/>
      <c r="AG81" s="8"/>
      <c r="AH81" s="8"/>
      <c r="AI81" s="8"/>
      <c r="AJ81" s="8"/>
      <c r="AK81" s="8"/>
    </row>
    <row r="82" spans="1:37" s="255" customFormat="1">
      <c r="A82" s="253"/>
      <c r="B82" s="253"/>
      <c r="C82" s="253"/>
      <c r="D82" s="253"/>
      <c r="E82" s="253"/>
      <c r="F82" s="253"/>
      <c r="G82" s="253"/>
      <c r="H82" s="253"/>
      <c r="I82" s="253"/>
      <c r="J82" s="253"/>
      <c r="K82" s="253"/>
      <c r="L82" s="253"/>
      <c r="M82" s="253"/>
      <c r="N82" s="253"/>
      <c r="O82" s="8"/>
      <c r="P82" s="8"/>
      <c r="Q82" s="8"/>
      <c r="R82" s="8"/>
      <c r="S82" s="8"/>
      <c r="T82" s="8"/>
      <c r="U82" s="8"/>
      <c r="V82" s="8"/>
      <c r="W82" s="8"/>
      <c r="X82" s="8"/>
      <c r="Y82" s="8"/>
      <c r="Z82" s="8"/>
      <c r="AA82" s="8"/>
      <c r="AB82" s="8"/>
      <c r="AC82" s="8"/>
      <c r="AD82" s="8"/>
      <c r="AE82" s="8"/>
      <c r="AF82" s="8"/>
      <c r="AG82" s="8"/>
      <c r="AH82" s="8"/>
      <c r="AI82" s="8"/>
      <c r="AJ82" s="8"/>
      <c r="AK82" s="8"/>
    </row>
    <row r="83" spans="1:37" s="255" customFormat="1">
      <c r="A83" s="253"/>
      <c r="B83" s="253"/>
      <c r="C83" s="253"/>
      <c r="D83" s="253"/>
      <c r="E83" s="253"/>
      <c r="F83" s="253"/>
      <c r="G83" s="253"/>
      <c r="H83" s="253"/>
      <c r="I83" s="253"/>
      <c r="J83" s="253"/>
      <c r="K83" s="253"/>
      <c r="L83" s="253"/>
      <c r="M83" s="253"/>
      <c r="N83" s="253"/>
      <c r="O83" s="8"/>
      <c r="P83" s="8"/>
      <c r="Q83" s="8"/>
      <c r="R83" s="8"/>
      <c r="S83" s="8"/>
      <c r="T83" s="8"/>
      <c r="U83" s="8"/>
      <c r="V83" s="8"/>
      <c r="W83" s="8"/>
      <c r="X83" s="8"/>
      <c r="Y83" s="8"/>
      <c r="Z83" s="8"/>
      <c r="AA83" s="8"/>
      <c r="AB83" s="8"/>
      <c r="AC83" s="8"/>
      <c r="AD83" s="8"/>
      <c r="AE83" s="8"/>
      <c r="AF83" s="8"/>
      <c r="AG83" s="8"/>
      <c r="AH83" s="8"/>
      <c r="AI83" s="8"/>
      <c r="AJ83" s="8"/>
      <c r="AK83" s="8"/>
    </row>
    <row r="84" spans="1:37" s="255" customFormat="1">
      <c r="A84" s="253"/>
      <c r="B84" s="253"/>
      <c r="C84" s="253"/>
      <c r="D84" s="253"/>
      <c r="E84" s="253"/>
      <c r="F84" s="253"/>
      <c r="G84" s="253"/>
      <c r="H84" s="253"/>
      <c r="I84" s="253"/>
      <c r="J84" s="253"/>
      <c r="K84" s="253"/>
      <c r="L84" s="253"/>
      <c r="M84" s="253"/>
      <c r="N84" s="253"/>
      <c r="O84" s="8"/>
      <c r="P84" s="8"/>
      <c r="Q84" s="8"/>
      <c r="R84" s="8"/>
      <c r="S84" s="8"/>
      <c r="T84" s="8"/>
      <c r="U84" s="8"/>
      <c r="V84" s="8"/>
      <c r="W84" s="8"/>
      <c r="X84" s="8"/>
      <c r="Y84" s="8"/>
      <c r="Z84" s="8"/>
      <c r="AA84" s="8"/>
      <c r="AB84" s="8"/>
      <c r="AC84" s="8"/>
      <c r="AD84" s="8"/>
      <c r="AE84" s="8"/>
      <c r="AF84" s="8"/>
      <c r="AG84" s="8"/>
      <c r="AH84" s="8"/>
      <c r="AI84" s="8"/>
      <c r="AJ84" s="8"/>
      <c r="AK84" s="8"/>
    </row>
    <row r="85" spans="1:37" s="255" customFormat="1">
      <c r="A85" s="253"/>
      <c r="B85" s="253"/>
      <c r="C85" s="253"/>
      <c r="D85" s="253"/>
      <c r="E85" s="253"/>
      <c r="F85" s="253"/>
      <c r="G85" s="253"/>
      <c r="H85" s="253"/>
      <c r="I85" s="253"/>
      <c r="J85" s="253"/>
      <c r="K85" s="253"/>
      <c r="L85" s="253"/>
      <c r="M85" s="253"/>
      <c r="N85" s="253"/>
      <c r="O85" s="8"/>
      <c r="P85" s="8"/>
      <c r="Q85" s="8"/>
      <c r="R85" s="8"/>
      <c r="S85" s="8"/>
      <c r="T85" s="8"/>
      <c r="U85" s="8"/>
      <c r="V85" s="8"/>
      <c r="W85" s="8"/>
      <c r="X85" s="8"/>
      <c r="Y85" s="8"/>
      <c r="Z85" s="8"/>
      <c r="AA85" s="8"/>
      <c r="AB85" s="8"/>
      <c r="AC85" s="8"/>
      <c r="AD85" s="8"/>
      <c r="AE85" s="8"/>
      <c r="AF85" s="8"/>
      <c r="AG85" s="8"/>
      <c r="AH85" s="8"/>
      <c r="AI85" s="8"/>
      <c r="AJ85" s="8"/>
      <c r="AK85" s="8"/>
    </row>
    <row r="86" spans="1:37" s="255" customFormat="1">
      <c r="A86" s="253"/>
      <c r="B86" s="253"/>
      <c r="C86" s="253"/>
      <c r="D86" s="253"/>
      <c r="E86" s="253"/>
      <c r="F86" s="253"/>
      <c r="G86" s="253"/>
      <c r="H86" s="253"/>
      <c r="I86" s="253"/>
      <c r="J86" s="253"/>
      <c r="K86" s="253"/>
      <c r="L86" s="253"/>
      <c r="M86" s="253"/>
      <c r="N86" s="253"/>
      <c r="O86" s="8"/>
      <c r="P86" s="8"/>
      <c r="Q86" s="8"/>
      <c r="R86" s="8"/>
      <c r="S86" s="8"/>
      <c r="T86" s="8"/>
      <c r="U86" s="8"/>
      <c r="V86" s="8"/>
      <c r="W86" s="8"/>
      <c r="X86" s="8"/>
      <c r="Y86" s="8"/>
      <c r="Z86" s="8"/>
      <c r="AA86" s="8"/>
      <c r="AB86" s="8"/>
      <c r="AC86" s="8"/>
      <c r="AD86" s="8"/>
      <c r="AE86" s="8"/>
      <c r="AF86" s="8"/>
      <c r="AG86" s="8"/>
      <c r="AH86" s="8"/>
      <c r="AI86" s="8"/>
      <c r="AJ86" s="8"/>
      <c r="AK86" s="8"/>
    </row>
    <row r="87" spans="1:37" s="255" customFormat="1">
      <c r="A87" s="253"/>
      <c r="B87" s="253"/>
      <c r="C87" s="253"/>
      <c r="D87" s="253"/>
      <c r="E87" s="253"/>
      <c r="F87" s="253"/>
      <c r="G87" s="253"/>
      <c r="H87" s="253"/>
      <c r="I87" s="253"/>
      <c r="J87" s="253"/>
      <c r="K87" s="253"/>
      <c r="L87" s="253"/>
      <c r="M87" s="253"/>
      <c r="N87" s="253"/>
      <c r="O87" s="8"/>
      <c r="P87" s="8"/>
      <c r="Q87" s="8"/>
      <c r="R87" s="8"/>
      <c r="S87" s="8"/>
      <c r="T87" s="8"/>
      <c r="U87" s="8"/>
      <c r="V87" s="8"/>
      <c r="W87" s="8"/>
      <c r="X87" s="8"/>
      <c r="Y87" s="8"/>
      <c r="Z87" s="8"/>
      <c r="AA87" s="8"/>
      <c r="AB87" s="8"/>
      <c r="AC87" s="8"/>
      <c r="AD87" s="8"/>
      <c r="AE87" s="8"/>
      <c r="AF87" s="8"/>
      <c r="AG87" s="8"/>
      <c r="AH87" s="8"/>
      <c r="AI87" s="8"/>
      <c r="AJ87" s="8"/>
      <c r="AK87" s="8"/>
    </row>
    <row r="88" spans="1:37" s="255" customFormat="1">
      <c r="A88" s="253"/>
      <c r="B88" s="253"/>
      <c r="C88" s="253"/>
      <c r="D88" s="253"/>
      <c r="E88" s="253"/>
      <c r="F88" s="253"/>
      <c r="G88" s="253"/>
      <c r="H88" s="253"/>
      <c r="I88" s="253"/>
      <c r="J88" s="253"/>
      <c r="K88" s="253"/>
      <c r="L88" s="253"/>
      <c r="M88" s="253"/>
      <c r="N88" s="253"/>
      <c r="O88" s="8"/>
      <c r="P88" s="8"/>
      <c r="Q88" s="8"/>
      <c r="R88" s="8"/>
      <c r="S88" s="8"/>
      <c r="T88" s="8"/>
      <c r="U88" s="8"/>
      <c r="V88" s="8"/>
      <c r="W88" s="8"/>
      <c r="X88" s="8"/>
      <c r="Y88" s="8"/>
      <c r="Z88" s="8"/>
      <c r="AA88" s="8"/>
      <c r="AB88" s="8"/>
      <c r="AC88" s="8"/>
      <c r="AD88" s="8"/>
      <c r="AE88" s="8"/>
      <c r="AF88" s="8"/>
      <c r="AG88" s="8"/>
      <c r="AH88" s="8"/>
      <c r="AI88" s="8"/>
      <c r="AJ88" s="8"/>
      <c r="AK88" s="8"/>
    </row>
    <row r="89" spans="1:37" s="255" customFormat="1">
      <c r="A89" s="253"/>
      <c r="B89" s="253"/>
      <c r="C89" s="253"/>
      <c r="D89" s="253"/>
      <c r="E89" s="253"/>
      <c r="F89" s="253"/>
      <c r="G89" s="253"/>
      <c r="H89" s="253"/>
      <c r="I89" s="253"/>
      <c r="J89" s="253"/>
      <c r="K89" s="253"/>
      <c r="L89" s="253"/>
      <c r="M89" s="253"/>
      <c r="N89" s="253"/>
      <c r="O89" s="8"/>
      <c r="P89" s="8"/>
      <c r="Q89" s="8"/>
      <c r="R89" s="8"/>
      <c r="S89" s="8"/>
      <c r="T89" s="8"/>
      <c r="U89" s="8"/>
      <c r="V89" s="8"/>
      <c r="W89" s="8"/>
      <c r="X89" s="8"/>
      <c r="Y89" s="8"/>
      <c r="Z89" s="8"/>
      <c r="AA89" s="8"/>
      <c r="AB89" s="8"/>
      <c r="AC89" s="8"/>
      <c r="AD89" s="8"/>
      <c r="AE89" s="8"/>
      <c r="AF89" s="8"/>
      <c r="AG89" s="8"/>
      <c r="AH89" s="8"/>
      <c r="AI89" s="8"/>
      <c r="AJ89" s="8"/>
      <c r="AK89" s="8"/>
    </row>
    <row r="90" spans="1:37" s="255" customFormat="1">
      <c r="A90" s="253"/>
      <c r="B90" s="253"/>
      <c r="C90" s="253"/>
      <c r="D90" s="253"/>
      <c r="E90" s="253"/>
      <c r="F90" s="253"/>
      <c r="G90" s="253"/>
      <c r="H90" s="253"/>
      <c r="I90" s="253"/>
      <c r="J90" s="253"/>
      <c r="K90" s="253"/>
      <c r="L90" s="253"/>
      <c r="M90" s="253"/>
      <c r="N90" s="253"/>
      <c r="O90" s="8"/>
      <c r="P90" s="8"/>
      <c r="Q90" s="8"/>
      <c r="R90" s="8"/>
      <c r="S90" s="8"/>
      <c r="T90" s="8"/>
      <c r="U90" s="8"/>
      <c r="V90" s="8"/>
      <c r="W90" s="8"/>
      <c r="X90" s="8"/>
      <c r="Y90" s="8"/>
      <c r="Z90" s="8"/>
      <c r="AA90" s="8"/>
      <c r="AB90" s="8"/>
      <c r="AC90" s="8"/>
      <c r="AD90" s="8"/>
      <c r="AE90" s="8"/>
      <c r="AF90" s="8"/>
      <c r="AG90" s="8"/>
      <c r="AH90" s="8"/>
      <c r="AI90" s="8"/>
      <c r="AJ90" s="8"/>
      <c r="AK90" s="8"/>
    </row>
    <row r="91" spans="1:37" s="255" customFormat="1">
      <c r="A91" s="253"/>
      <c r="B91" s="253"/>
      <c r="C91" s="253"/>
      <c r="D91" s="253"/>
      <c r="E91" s="253"/>
      <c r="F91" s="253"/>
      <c r="G91" s="253"/>
      <c r="H91" s="253"/>
      <c r="I91" s="253"/>
      <c r="J91" s="253"/>
      <c r="K91" s="253"/>
      <c r="L91" s="253"/>
      <c r="M91" s="253"/>
      <c r="N91" s="253"/>
      <c r="O91" s="8"/>
      <c r="P91" s="8"/>
      <c r="Q91" s="8"/>
      <c r="R91" s="8"/>
      <c r="S91" s="8"/>
      <c r="T91" s="8"/>
      <c r="U91" s="8"/>
      <c r="V91" s="8"/>
      <c r="W91" s="8"/>
      <c r="X91" s="8"/>
      <c r="Y91" s="8"/>
      <c r="Z91" s="8"/>
      <c r="AA91" s="8"/>
      <c r="AB91" s="8"/>
      <c r="AC91" s="8"/>
      <c r="AD91" s="8"/>
      <c r="AE91" s="8"/>
      <c r="AF91" s="8"/>
      <c r="AG91" s="8"/>
      <c r="AH91" s="8"/>
      <c r="AI91" s="8"/>
      <c r="AJ91" s="8"/>
      <c r="AK91" s="8"/>
    </row>
    <row r="92" spans="1:37" s="255" customFormat="1">
      <c r="A92" s="253"/>
      <c r="B92" s="253"/>
      <c r="C92" s="253"/>
      <c r="D92" s="253"/>
      <c r="E92" s="253"/>
      <c r="F92" s="253"/>
      <c r="G92" s="253"/>
      <c r="H92" s="253"/>
      <c r="I92" s="253"/>
      <c r="J92" s="253"/>
      <c r="K92" s="253"/>
      <c r="L92" s="253"/>
      <c r="M92" s="253"/>
      <c r="N92" s="253"/>
      <c r="O92" s="8"/>
      <c r="P92" s="8"/>
      <c r="Q92" s="8"/>
      <c r="R92" s="8"/>
      <c r="S92" s="8"/>
      <c r="T92" s="8"/>
      <c r="U92" s="8"/>
      <c r="V92" s="8"/>
      <c r="W92" s="8"/>
      <c r="X92" s="8"/>
      <c r="Y92" s="8"/>
      <c r="Z92" s="8"/>
      <c r="AA92" s="8"/>
      <c r="AB92" s="8"/>
      <c r="AC92" s="8"/>
      <c r="AD92" s="8"/>
      <c r="AE92" s="8"/>
      <c r="AF92" s="8"/>
      <c r="AG92" s="8"/>
      <c r="AH92" s="8"/>
      <c r="AI92" s="8"/>
      <c r="AJ92" s="8"/>
      <c r="AK92" s="8"/>
    </row>
    <row r="93" spans="1:37" s="255" customFormat="1">
      <c r="A93" s="253"/>
      <c r="B93" s="253"/>
      <c r="C93" s="253"/>
      <c r="D93" s="253"/>
      <c r="E93" s="253"/>
      <c r="F93" s="253"/>
      <c r="G93" s="253"/>
      <c r="H93" s="253"/>
      <c r="I93" s="253"/>
      <c r="J93" s="253"/>
      <c r="K93" s="253"/>
      <c r="L93" s="253"/>
      <c r="M93" s="253"/>
      <c r="N93" s="253"/>
      <c r="O93" s="8"/>
      <c r="P93" s="8"/>
      <c r="Q93" s="8"/>
      <c r="R93" s="8"/>
      <c r="S93" s="8"/>
      <c r="T93" s="8"/>
      <c r="U93" s="8"/>
      <c r="V93" s="8"/>
      <c r="W93" s="8"/>
      <c r="X93" s="8"/>
      <c r="Y93" s="8"/>
      <c r="Z93" s="8"/>
      <c r="AA93" s="8"/>
      <c r="AB93" s="8"/>
      <c r="AC93" s="8"/>
      <c r="AD93" s="8"/>
      <c r="AE93" s="8"/>
      <c r="AF93" s="8"/>
      <c r="AG93" s="8"/>
      <c r="AH93" s="8"/>
      <c r="AI93" s="8"/>
      <c r="AJ93" s="8"/>
      <c r="AK93" s="8"/>
    </row>
    <row r="94" spans="1:37" s="255" customFormat="1">
      <c r="A94" s="253"/>
      <c r="B94" s="253"/>
      <c r="C94" s="253"/>
      <c r="D94" s="253"/>
      <c r="E94" s="253"/>
      <c r="F94" s="253"/>
      <c r="G94" s="253"/>
      <c r="H94" s="253"/>
      <c r="I94" s="253"/>
      <c r="J94" s="253"/>
      <c r="K94" s="253"/>
      <c r="L94" s="253"/>
      <c r="M94" s="253"/>
      <c r="N94" s="253"/>
      <c r="O94" s="8"/>
      <c r="P94" s="8"/>
      <c r="Q94" s="8"/>
      <c r="R94" s="8"/>
      <c r="S94" s="8"/>
      <c r="T94" s="8"/>
      <c r="U94" s="8"/>
      <c r="V94" s="8"/>
      <c r="W94" s="8"/>
      <c r="X94" s="8"/>
      <c r="Y94" s="8"/>
      <c r="Z94" s="8"/>
      <c r="AA94" s="8"/>
      <c r="AB94" s="8"/>
      <c r="AC94" s="8"/>
      <c r="AD94" s="8"/>
      <c r="AE94" s="8"/>
      <c r="AF94" s="8"/>
      <c r="AG94" s="8"/>
      <c r="AH94" s="8"/>
      <c r="AI94" s="8"/>
      <c r="AJ94" s="8"/>
      <c r="AK94" s="8"/>
    </row>
    <row r="95" spans="1:37" s="255" customFormat="1">
      <c r="A95" s="253"/>
      <c r="B95" s="253"/>
      <c r="C95" s="253"/>
      <c r="D95" s="253"/>
      <c r="E95" s="253"/>
      <c r="F95" s="253"/>
      <c r="G95" s="253"/>
      <c r="H95" s="253"/>
      <c r="I95" s="253"/>
      <c r="J95" s="253"/>
      <c r="K95" s="253"/>
      <c r="L95" s="253"/>
      <c r="M95" s="253"/>
      <c r="N95" s="253"/>
      <c r="O95" s="8"/>
      <c r="P95" s="8"/>
      <c r="Q95" s="8"/>
      <c r="R95" s="8"/>
      <c r="S95" s="8"/>
      <c r="T95" s="8"/>
      <c r="U95" s="8"/>
      <c r="V95" s="8"/>
      <c r="W95" s="8"/>
      <c r="X95" s="8"/>
      <c r="Y95" s="8"/>
      <c r="Z95" s="8"/>
      <c r="AA95" s="8"/>
      <c r="AB95" s="8"/>
      <c r="AC95" s="8"/>
      <c r="AD95" s="8"/>
      <c r="AE95" s="8"/>
      <c r="AF95" s="8"/>
      <c r="AG95" s="8"/>
      <c r="AH95" s="8"/>
      <c r="AI95" s="8"/>
      <c r="AJ95" s="8"/>
      <c r="AK95" s="8"/>
    </row>
    <row r="96" spans="1:37" s="255" customFormat="1">
      <c r="A96" s="253"/>
      <c r="B96" s="253"/>
      <c r="C96" s="253"/>
      <c r="D96" s="253"/>
      <c r="E96" s="253"/>
      <c r="F96" s="253"/>
      <c r="G96" s="253"/>
      <c r="H96" s="253"/>
      <c r="I96" s="253"/>
      <c r="J96" s="253"/>
      <c r="K96" s="253"/>
      <c r="L96" s="253"/>
      <c r="M96" s="253"/>
      <c r="N96" s="253"/>
      <c r="O96" s="8"/>
      <c r="P96" s="8"/>
      <c r="Q96" s="8"/>
      <c r="R96" s="8"/>
      <c r="S96" s="8"/>
      <c r="T96" s="8"/>
      <c r="U96" s="8"/>
      <c r="V96" s="8"/>
      <c r="W96" s="8"/>
      <c r="X96" s="8"/>
      <c r="Y96" s="8"/>
      <c r="Z96" s="8"/>
      <c r="AA96" s="8"/>
      <c r="AB96" s="8"/>
      <c r="AC96" s="8"/>
      <c r="AD96" s="8"/>
      <c r="AE96" s="8"/>
      <c r="AF96" s="8"/>
      <c r="AG96" s="8"/>
      <c r="AH96" s="8"/>
      <c r="AI96" s="8"/>
      <c r="AJ96" s="8"/>
      <c r="AK96" s="8"/>
    </row>
    <row r="97" spans="1:37" s="255" customFormat="1">
      <c r="A97" s="253"/>
      <c r="B97" s="253"/>
      <c r="C97" s="253"/>
      <c r="D97" s="253"/>
      <c r="E97" s="253"/>
      <c r="F97" s="253"/>
      <c r="G97" s="253"/>
      <c r="H97" s="253"/>
      <c r="I97" s="253"/>
      <c r="J97" s="253"/>
      <c r="K97" s="253"/>
      <c r="L97" s="253"/>
      <c r="M97" s="253"/>
      <c r="N97" s="253"/>
      <c r="O97" s="8"/>
      <c r="P97" s="8"/>
      <c r="Q97" s="8"/>
      <c r="R97" s="8"/>
      <c r="S97" s="8"/>
      <c r="T97" s="8"/>
      <c r="U97" s="8"/>
      <c r="V97" s="8"/>
      <c r="W97" s="8"/>
      <c r="X97" s="8"/>
      <c r="Y97" s="8"/>
      <c r="Z97" s="8"/>
      <c r="AA97" s="8"/>
      <c r="AB97" s="8"/>
      <c r="AC97" s="8"/>
      <c r="AD97" s="8"/>
      <c r="AE97" s="8"/>
      <c r="AF97" s="8"/>
      <c r="AG97" s="8"/>
      <c r="AH97" s="8"/>
      <c r="AI97" s="8"/>
      <c r="AJ97" s="8"/>
      <c r="AK97" s="8"/>
    </row>
    <row r="98" spans="1:37" s="255" customFormat="1">
      <c r="A98" s="253"/>
      <c r="B98" s="253"/>
      <c r="C98" s="253"/>
      <c r="D98" s="253"/>
      <c r="E98" s="253"/>
      <c r="F98" s="253"/>
      <c r="G98" s="253"/>
      <c r="H98" s="253"/>
      <c r="I98" s="253"/>
      <c r="J98" s="253"/>
      <c r="K98" s="253"/>
      <c r="L98" s="253"/>
      <c r="M98" s="253"/>
      <c r="N98" s="253"/>
      <c r="O98" s="8"/>
      <c r="P98" s="8"/>
      <c r="Q98" s="8"/>
      <c r="R98" s="8"/>
      <c r="S98" s="8"/>
      <c r="T98" s="8"/>
      <c r="U98" s="8"/>
      <c r="V98" s="8"/>
      <c r="W98" s="8"/>
      <c r="X98" s="8"/>
      <c r="Y98" s="8"/>
      <c r="Z98" s="8"/>
      <c r="AA98" s="8"/>
      <c r="AB98" s="8"/>
      <c r="AC98" s="8"/>
      <c r="AD98" s="8"/>
      <c r="AE98" s="8"/>
      <c r="AF98" s="8"/>
      <c r="AG98" s="8"/>
      <c r="AH98" s="8"/>
      <c r="AI98" s="8"/>
      <c r="AJ98" s="8"/>
      <c r="AK98" s="8"/>
    </row>
    <row r="99" spans="1:37" s="255" customFormat="1">
      <c r="A99" s="253"/>
      <c r="B99" s="253"/>
      <c r="C99" s="253"/>
      <c r="D99" s="253"/>
      <c r="E99" s="253"/>
      <c r="F99" s="253"/>
      <c r="G99" s="253"/>
      <c r="H99" s="253"/>
      <c r="I99" s="253"/>
      <c r="J99" s="253"/>
      <c r="K99" s="253"/>
      <c r="L99" s="253"/>
      <c r="M99" s="253"/>
      <c r="N99" s="253"/>
      <c r="O99" s="8"/>
      <c r="P99" s="8"/>
      <c r="Q99" s="8"/>
      <c r="R99" s="8"/>
      <c r="S99" s="8"/>
      <c r="T99" s="8"/>
      <c r="U99" s="8"/>
      <c r="V99" s="8"/>
      <c r="W99" s="8"/>
      <c r="X99" s="8"/>
      <c r="Y99" s="8"/>
      <c r="Z99" s="8"/>
      <c r="AA99" s="8"/>
      <c r="AB99" s="8"/>
      <c r="AC99" s="8"/>
      <c r="AD99" s="8"/>
      <c r="AE99" s="8"/>
      <c r="AF99" s="8"/>
      <c r="AG99" s="8"/>
      <c r="AH99" s="8"/>
      <c r="AI99" s="8"/>
      <c r="AJ99" s="8"/>
      <c r="AK99" s="8"/>
    </row>
    <row r="100" spans="1:37" s="255" customFormat="1">
      <c r="A100" s="253"/>
      <c r="B100" s="253"/>
      <c r="C100" s="253"/>
      <c r="D100" s="253"/>
      <c r="E100" s="253"/>
      <c r="F100" s="253"/>
      <c r="G100" s="253"/>
      <c r="H100" s="253"/>
      <c r="I100" s="253"/>
      <c r="J100" s="253"/>
      <c r="K100" s="253"/>
      <c r="L100" s="253"/>
      <c r="M100" s="253"/>
      <c r="N100" s="253"/>
      <c r="O100" s="8"/>
      <c r="P100" s="8"/>
      <c r="Q100" s="8"/>
      <c r="R100" s="8"/>
      <c r="S100" s="8"/>
      <c r="T100" s="8"/>
      <c r="U100" s="8"/>
      <c r="V100" s="8"/>
      <c r="W100" s="8"/>
      <c r="X100" s="8"/>
      <c r="Y100" s="8"/>
      <c r="Z100" s="8"/>
      <c r="AA100" s="8"/>
      <c r="AB100" s="8"/>
      <c r="AC100" s="8"/>
      <c r="AD100" s="8"/>
      <c r="AE100" s="8"/>
      <c r="AF100" s="8"/>
      <c r="AG100" s="8"/>
      <c r="AH100" s="8"/>
      <c r="AI100" s="8"/>
      <c r="AJ100" s="8"/>
      <c r="AK100" s="8"/>
    </row>
    <row r="101" spans="1:37" s="255" customFormat="1">
      <c r="A101" s="253"/>
      <c r="B101" s="253"/>
      <c r="C101" s="253"/>
      <c r="D101" s="253"/>
      <c r="E101" s="253"/>
      <c r="F101" s="253"/>
      <c r="G101" s="253"/>
      <c r="H101" s="253"/>
      <c r="I101" s="253"/>
      <c r="J101" s="253"/>
      <c r="K101" s="253"/>
      <c r="L101" s="253"/>
      <c r="M101" s="253"/>
      <c r="N101" s="253"/>
      <c r="O101" s="8"/>
      <c r="P101" s="8"/>
      <c r="Q101" s="8"/>
      <c r="R101" s="8"/>
      <c r="S101" s="8"/>
      <c r="T101" s="8"/>
      <c r="U101" s="8"/>
      <c r="V101" s="8"/>
      <c r="W101" s="8"/>
      <c r="X101" s="8"/>
      <c r="Y101" s="8"/>
      <c r="Z101" s="8"/>
      <c r="AA101" s="8"/>
      <c r="AB101" s="8"/>
      <c r="AC101" s="8"/>
      <c r="AD101" s="8"/>
      <c r="AE101" s="8"/>
      <c r="AF101" s="8"/>
      <c r="AG101" s="8"/>
      <c r="AH101" s="8"/>
      <c r="AI101" s="8"/>
      <c r="AJ101" s="8"/>
      <c r="AK101" s="8"/>
    </row>
    <row r="102" spans="1:37" s="255" customFormat="1">
      <c r="A102" s="253"/>
      <c r="B102" s="253"/>
      <c r="C102" s="253"/>
      <c r="D102" s="253"/>
      <c r="E102" s="253"/>
      <c r="F102" s="253"/>
      <c r="G102" s="253"/>
      <c r="H102" s="253"/>
      <c r="I102" s="253"/>
      <c r="J102" s="253"/>
      <c r="K102" s="253"/>
      <c r="L102" s="253"/>
      <c r="M102" s="253"/>
      <c r="N102" s="253"/>
      <c r="O102" s="8"/>
      <c r="P102" s="8"/>
      <c r="Q102" s="8"/>
      <c r="R102" s="8"/>
      <c r="S102" s="8"/>
      <c r="T102" s="8"/>
      <c r="U102" s="8"/>
      <c r="V102" s="8"/>
      <c r="W102" s="8"/>
      <c r="X102" s="8"/>
      <c r="Y102" s="8"/>
      <c r="Z102" s="8"/>
      <c r="AA102" s="8"/>
      <c r="AB102" s="8"/>
      <c r="AC102" s="8"/>
      <c r="AD102" s="8"/>
      <c r="AE102" s="8"/>
      <c r="AF102" s="8"/>
      <c r="AG102" s="8"/>
      <c r="AH102" s="8"/>
      <c r="AI102" s="8"/>
      <c r="AJ102" s="8"/>
      <c r="AK102" s="8"/>
    </row>
    <row r="103" spans="1:37" s="255" customFormat="1">
      <c r="A103" s="253"/>
      <c r="B103" s="253"/>
      <c r="C103" s="253"/>
      <c r="D103" s="253"/>
      <c r="E103" s="253"/>
      <c r="F103" s="253"/>
      <c r="G103" s="253"/>
      <c r="H103" s="253"/>
      <c r="I103" s="253"/>
      <c r="J103" s="253"/>
      <c r="K103" s="253"/>
      <c r="L103" s="253"/>
      <c r="M103" s="253"/>
      <c r="N103" s="253"/>
      <c r="O103" s="8"/>
      <c r="P103" s="8"/>
      <c r="Q103" s="8"/>
      <c r="R103" s="8"/>
      <c r="S103" s="8"/>
      <c r="T103" s="8"/>
      <c r="U103" s="8"/>
      <c r="V103" s="8"/>
      <c r="W103" s="8"/>
      <c r="X103" s="8"/>
      <c r="Y103" s="8"/>
      <c r="Z103" s="8"/>
      <c r="AA103" s="8"/>
      <c r="AB103" s="8"/>
      <c r="AC103" s="8"/>
      <c r="AD103" s="8"/>
      <c r="AE103" s="8"/>
      <c r="AF103" s="8"/>
      <c r="AG103" s="8"/>
      <c r="AH103" s="8"/>
      <c r="AI103" s="8"/>
      <c r="AJ103" s="8"/>
      <c r="AK103" s="8"/>
    </row>
    <row r="104" spans="1:37" s="255" customFormat="1">
      <c r="A104" s="253"/>
      <c r="B104" s="253"/>
      <c r="C104" s="253"/>
      <c r="D104" s="253"/>
      <c r="E104" s="253"/>
      <c r="F104" s="253"/>
      <c r="G104" s="253"/>
      <c r="H104" s="253"/>
      <c r="I104" s="253"/>
      <c r="J104" s="253"/>
      <c r="K104" s="253"/>
      <c r="L104" s="253"/>
      <c r="M104" s="253"/>
      <c r="N104" s="253"/>
      <c r="O104" s="8"/>
      <c r="P104" s="8"/>
      <c r="Q104" s="8"/>
      <c r="R104" s="8"/>
      <c r="S104" s="8"/>
      <c r="T104" s="8"/>
      <c r="U104" s="8"/>
      <c r="V104" s="8"/>
      <c r="W104" s="8"/>
      <c r="X104" s="8"/>
      <c r="Y104" s="8"/>
      <c r="Z104" s="8"/>
      <c r="AA104" s="8"/>
      <c r="AB104" s="8"/>
      <c r="AC104" s="8"/>
      <c r="AD104" s="8"/>
      <c r="AE104" s="8"/>
      <c r="AF104" s="8"/>
      <c r="AG104" s="8"/>
      <c r="AH104" s="8"/>
      <c r="AI104" s="8"/>
      <c r="AJ104" s="8"/>
      <c r="AK104" s="8"/>
    </row>
    <row r="105" spans="1:37" s="255" customFormat="1">
      <c r="A105" s="253"/>
      <c r="B105" s="253"/>
      <c r="C105" s="253"/>
      <c r="D105" s="253"/>
      <c r="E105" s="253"/>
      <c r="F105" s="253"/>
      <c r="G105" s="253"/>
      <c r="H105" s="253"/>
      <c r="I105" s="253"/>
      <c r="J105" s="253"/>
      <c r="K105" s="253"/>
      <c r="L105" s="253"/>
      <c r="M105" s="253"/>
      <c r="N105" s="253"/>
      <c r="O105" s="8"/>
      <c r="P105" s="8"/>
      <c r="Q105" s="8"/>
      <c r="R105" s="8"/>
      <c r="S105" s="8"/>
      <c r="T105" s="8"/>
      <c r="U105" s="8"/>
      <c r="V105" s="8"/>
      <c r="W105" s="8"/>
      <c r="X105" s="8"/>
      <c r="Y105" s="8"/>
      <c r="Z105" s="8"/>
      <c r="AA105" s="8"/>
      <c r="AB105" s="8"/>
      <c r="AC105" s="8"/>
      <c r="AD105" s="8"/>
      <c r="AE105" s="8"/>
      <c r="AF105" s="8"/>
      <c r="AG105" s="8"/>
      <c r="AH105" s="8"/>
      <c r="AI105" s="8"/>
      <c r="AJ105" s="8"/>
      <c r="AK105" s="8"/>
    </row>
    <row r="106" spans="1:37" s="255" customFormat="1">
      <c r="B106" s="253"/>
      <c r="C106" s="253"/>
      <c r="D106" s="253"/>
      <c r="E106" s="253"/>
      <c r="F106" s="253"/>
      <c r="G106" s="253"/>
      <c r="I106" s="253"/>
      <c r="J106" s="253"/>
      <c r="K106" s="253"/>
      <c r="L106" s="253"/>
      <c r="M106" s="253"/>
      <c r="O106" s="8"/>
      <c r="P106" s="8"/>
      <c r="Q106" s="8"/>
      <c r="R106" s="8"/>
      <c r="S106" s="8"/>
      <c r="T106" s="8"/>
      <c r="U106" s="8"/>
      <c r="V106" s="8"/>
      <c r="W106" s="8"/>
      <c r="X106" s="8"/>
      <c r="Y106" s="8"/>
      <c r="Z106" s="8"/>
      <c r="AA106" s="8"/>
      <c r="AB106" s="8"/>
      <c r="AC106" s="8"/>
      <c r="AD106" s="8"/>
      <c r="AE106" s="8"/>
      <c r="AF106" s="8"/>
      <c r="AG106" s="8"/>
      <c r="AH106" s="8"/>
      <c r="AI106" s="8"/>
      <c r="AJ106" s="8"/>
      <c r="AK106" s="8"/>
    </row>
    <row r="107" spans="1:37" s="255" customFormat="1">
      <c r="B107" s="253"/>
      <c r="C107" s="253"/>
      <c r="D107" s="253"/>
      <c r="E107" s="253"/>
      <c r="F107" s="253"/>
      <c r="G107" s="253"/>
      <c r="I107" s="253"/>
      <c r="J107" s="253"/>
      <c r="K107" s="253"/>
      <c r="L107" s="253"/>
      <c r="M107" s="253"/>
      <c r="O107" s="8"/>
      <c r="P107" s="8"/>
      <c r="Q107" s="8"/>
      <c r="R107" s="8"/>
      <c r="S107" s="8"/>
      <c r="T107" s="8"/>
      <c r="U107" s="8"/>
      <c r="V107" s="8"/>
      <c r="W107" s="8"/>
      <c r="X107" s="8"/>
      <c r="Y107" s="8"/>
      <c r="Z107" s="8"/>
      <c r="AA107" s="8"/>
      <c r="AB107" s="8"/>
      <c r="AC107" s="8"/>
      <c r="AD107" s="8"/>
      <c r="AE107" s="8"/>
      <c r="AF107" s="8"/>
      <c r="AG107" s="8"/>
      <c r="AH107" s="8"/>
      <c r="AI107" s="8"/>
      <c r="AJ107" s="8"/>
      <c r="AK107" s="8"/>
    </row>
    <row r="108" spans="1:37" s="255" customFormat="1">
      <c r="I108" s="253"/>
      <c r="J108" s="253"/>
      <c r="K108" s="253"/>
      <c r="L108" s="253"/>
      <c r="M108" s="253"/>
      <c r="O108" s="8"/>
      <c r="P108" s="8"/>
      <c r="Q108" s="8"/>
      <c r="R108" s="8"/>
      <c r="S108" s="8"/>
      <c r="T108" s="8"/>
      <c r="U108" s="8"/>
      <c r="V108" s="8"/>
      <c r="W108" s="8"/>
      <c r="X108" s="8"/>
      <c r="Y108" s="8"/>
      <c r="Z108" s="8"/>
      <c r="AA108" s="8"/>
      <c r="AB108" s="8"/>
      <c r="AC108" s="8"/>
      <c r="AD108" s="8"/>
      <c r="AE108" s="8"/>
      <c r="AF108" s="8"/>
      <c r="AG108" s="8"/>
      <c r="AH108" s="8"/>
      <c r="AI108" s="8"/>
      <c r="AJ108" s="8"/>
      <c r="AK108" s="8"/>
    </row>
    <row r="109" spans="1:37" s="255" customFormat="1">
      <c r="I109" s="253"/>
      <c r="J109" s="253"/>
      <c r="K109" s="253"/>
      <c r="L109" s="253"/>
      <c r="M109" s="253"/>
      <c r="O109" s="8"/>
      <c r="P109" s="8"/>
      <c r="Q109" s="8"/>
      <c r="R109" s="8"/>
      <c r="S109" s="8"/>
      <c r="T109" s="8"/>
      <c r="U109" s="8"/>
      <c r="V109" s="8"/>
      <c r="W109" s="8"/>
      <c r="X109" s="8"/>
      <c r="Y109" s="8"/>
      <c r="Z109" s="8"/>
      <c r="AA109" s="8"/>
      <c r="AB109" s="8"/>
      <c r="AC109" s="8"/>
      <c r="AD109" s="8"/>
      <c r="AE109" s="8"/>
      <c r="AF109" s="8"/>
      <c r="AG109" s="8"/>
      <c r="AH109" s="8"/>
      <c r="AI109" s="8"/>
      <c r="AJ109" s="8"/>
      <c r="AK109" s="8"/>
    </row>
    <row r="110" spans="1:37" s="255" customFormat="1">
      <c r="O110" s="8"/>
      <c r="P110" s="8"/>
      <c r="Q110" s="8"/>
      <c r="R110" s="8"/>
      <c r="S110" s="8"/>
      <c r="T110" s="8"/>
      <c r="U110" s="8"/>
      <c r="V110" s="8"/>
      <c r="W110" s="8"/>
      <c r="X110" s="8"/>
      <c r="Y110" s="8"/>
      <c r="Z110" s="8"/>
      <c r="AA110" s="8"/>
      <c r="AB110" s="8"/>
      <c r="AC110" s="8"/>
      <c r="AD110" s="8"/>
      <c r="AE110" s="8"/>
      <c r="AF110" s="8"/>
      <c r="AG110" s="8"/>
      <c r="AH110" s="8"/>
      <c r="AI110" s="8"/>
      <c r="AJ110" s="8"/>
      <c r="AK110" s="8"/>
    </row>
    <row r="111" spans="1:37" s="255" customFormat="1">
      <c r="O111" s="8"/>
      <c r="P111" s="8"/>
      <c r="Q111" s="8"/>
      <c r="R111" s="8"/>
      <c r="S111" s="8"/>
      <c r="T111" s="8"/>
      <c r="U111" s="8"/>
      <c r="V111" s="8"/>
      <c r="W111" s="8"/>
      <c r="X111" s="8"/>
      <c r="Y111" s="8"/>
      <c r="Z111" s="8"/>
      <c r="AA111" s="8"/>
      <c r="AB111" s="8"/>
      <c r="AC111" s="8"/>
      <c r="AD111" s="8"/>
      <c r="AE111" s="8"/>
      <c r="AF111" s="8"/>
      <c r="AG111" s="8"/>
      <c r="AH111" s="8"/>
      <c r="AI111" s="8"/>
      <c r="AJ111" s="8"/>
      <c r="AK111" s="8"/>
    </row>
    <row r="112" spans="1:37" s="25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row>
    <row r="113" spans="15:37" s="25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row>
    <row r="114" spans="15:37" s="25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row>
    <row r="115" spans="15:37" s="25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row>
    <row r="116" spans="15:37" s="25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row>
    <row r="117" spans="15:37" s="25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row>
    <row r="118" spans="15:37" s="25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row>
    <row r="119" spans="15:37" s="25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row>
    <row r="120" spans="15:37" s="25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row>
    <row r="121" spans="15:37" s="25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row>
    <row r="122" spans="15:37" s="25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row>
    <row r="123" spans="15:37" s="25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row>
    <row r="124" spans="15:37" s="25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row>
    <row r="125" spans="15:37" s="25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row>
    <row r="126" spans="15:37" s="25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row>
    <row r="127" spans="15:37" s="25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row>
    <row r="128" spans="15:37" s="25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row>
    <row r="129" spans="15:37" s="25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row>
    <row r="130" spans="15:37" s="25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row>
    <row r="131" spans="15:37" s="25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row>
    <row r="132" spans="15:37" s="25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row>
    <row r="133" spans="15:37" s="25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row>
    <row r="134" spans="15:37" s="25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row>
    <row r="135" spans="15:37" s="25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row>
    <row r="136" spans="15:37" s="25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row>
    <row r="137" spans="15:37" s="25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row>
    <row r="138" spans="15:37" s="25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row>
    <row r="139" spans="15:37" s="25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row>
    <row r="140" spans="15:37" s="25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row>
    <row r="141" spans="15:37" s="25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row>
    <row r="142" spans="15:37" s="25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row>
    <row r="143" spans="15:37" s="25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row>
    <row r="144" spans="15:37" s="25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row>
    <row r="145" spans="15:37" s="25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row>
    <row r="146" spans="15:37" s="25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row>
    <row r="147" spans="15:37" s="25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row>
    <row r="148" spans="15:37" s="25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row>
    <row r="149" spans="15:37" s="25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row>
    <row r="150" spans="15:37" s="25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row>
    <row r="151" spans="15:37" s="25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row>
    <row r="152" spans="15:37" s="25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row>
    <row r="153" spans="15:37" s="25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row>
    <row r="154" spans="15:37" s="25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row>
    <row r="155" spans="15:37" s="25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row>
    <row r="156" spans="15:37" s="25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row>
    <row r="157" spans="15:37" s="25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row>
    <row r="158" spans="15:37" s="25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row>
    <row r="159" spans="15:37" s="25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row>
    <row r="160" spans="15:37" s="25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row>
    <row r="161" spans="15:37" s="25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row>
    <row r="162" spans="15:37" s="25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row>
    <row r="163" spans="15:37" s="25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row>
    <row r="164" spans="15:37" s="25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row>
    <row r="165" spans="15:37" s="25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row>
    <row r="166" spans="15:37" s="25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row>
    <row r="167" spans="15:37" s="25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row>
    <row r="168" spans="15:37" s="25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row>
    <row r="169" spans="15:37" s="25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row>
    <row r="170" spans="15:37" s="25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row>
    <row r="171" spans="15:37" s="25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row>
    <row r="172" spans="15:37" s="25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row>
    <row r="173" spans="15:37" s="25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row>
    <row r="174" spans="15:37" s="25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row>
    <row r="175" spans="15:37" s="25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row>
    <row r="176" spans="15:37" s="25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row>
    <row r="177" spans="15:37" s="25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row>
    <row r="178" spans="15:37" s="25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row>
    <row r="179" spans="15:37" s="25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row>
    <row r="180" spans="15:37" s="25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row>
    <row r="181" spans="15:37" s="25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row>
    <row r="182" spans="15:37" s="25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row>
    <row r="183" spans="15:37" s="25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row>
    <row r="184" spans="15:37" s="25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row>
    <row r="185" spans="15:37" s="25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row>
    <row r="186" spans="15:37" s="25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row>
    <row r="187" spans="15:37" s="25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row>
    <row r="188" spans="15:37" s="25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row>
    <row r="189" spans="15:37" s="25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row>
    <row r="190" spans="15:37" s="25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row>
    <row r="191" spans="15:37" s="25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row>
    <row r="192" spans="15:37" s="25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row>
    <row r="193" spans="15:37" s="25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row>
    <row r="194" spans="15:37" s="25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row>
    <row r="195" spans="15:37" s="25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row>
    <row r="196" spans="15:37" s="25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row>
    <row r="197" spans="15:37" s="25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row>
    <row r="198" spans="15:37" s="25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row>
    <row r="199" spans="15:37" s="25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row>
    <row r="200" spans="15:37" s="25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row>
    <row r="201" spans="15:37" s="25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row>
    <row r="202" spans="15:37" s="25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row>
    <row r="203" spans="15:37" s="25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row>
    <row r="204" spans="15:37" s="25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row>
    <row r="205" spans="15:37" s="25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row>
    <row r="206" spans="15:37" s="25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row>
    <row r="207" spans="15:37" s="25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row>
    <row r="208" spans="15:37" s="25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row>
    <row r="209" spans="15:37" s="25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row>
    <row r="210" spans="15:37" s="25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row>
    <row r="211" spans="15:37" s="25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row>
    <row r="212" spans="15:37" s="25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row>
    <row r="213" spans="15:37" s="25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row>
    <row r="214" spans="15:37" s="25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row>
    <row r="215" spans="15:37" s="25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row>
    <row r="216" spans="15:37" s="25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row>
    <row r="217" spans="15:37" s="25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row>
    <row r="218" spans="15:37" s="25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row>
    <row r="219" spans="15:37" s="25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row>
    <row r="220" spans="15:37" s="25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row>
    <row r="221" spans="15:37" s="25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row>
    <row r="222" spans="15:37" s="25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row>
    <row r="223" spans="15:37" s="25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row>
    <row r="224" spans="15:37" s="25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row>
    <row r="225" spans="15:37" s="25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row>
    <row r="226" spans="15:37" s="25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row>
    <row r="227" spans="15:37" s="25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row>
    <row r="228" spans="15:37" s="25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row>
    <row r="229" spans="15:37" s="25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row>
    <row r="230" spans="15:37" s="25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row>
    <row r="231" spans="15:37" s="25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row>
    <row r="232" spans="15:37" s="25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row>
    <row r="233" spans="15:37" s="25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row>
    <row r="234" spans="15:37" s="25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row>
    <row r="235" spans="15:37" s="25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row>
    <row r="236" spans="15:37" s="25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row>
    <row r="237" spans="15:37" s="25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row>
    <row r="238" spans="15:37" s="25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row>
    <row r="239" spans="15:37" s="25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row>
    <row r="240" spans="15:37" s="25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row>
    <row r="241" spans="15:37" s="25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row>
    <row r="242" spans="15:37" s="25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row>
    <row r="243" spans="15:37" s="25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row>
    <row r="244" spans="15:37" s="25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row>
    <row r="245" spans="15:37" s="25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row>
    <row r="246" spans="15:37" s="25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row>
    <row r="247" spans="15:37" s="25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row>
    <row r="248" spans="15:37" s="25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row>
    <row r="249" spans="15:37" s="25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row>
    <row r="250" spans="15:37" s="25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row>
    <row r="251" spans="15:37" s="25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row>
    <row r="252" spans="15:37" s="25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row>
    <row r="253" spans="15:37" s="25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row>
    <row r="254" spans="15:37" s="25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row>
    <row r="255" spans="15:37" s="25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row>
    <row r="256" spans="15:37" s="25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row>
    <row r="257" spans="15:37" s="25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row>
    <row r="258" spans="15:37" s="25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row>
    <row r="259" spans="15:37" s="25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row>
    <row r="260" spans="15:37" s="25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row>
    <row r="261" spans="15:37" s="25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row>
    <row r="262" spans="15:37" s="25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row>
    <row r="263" spans="15:37" s="25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row>
    <row r="264" spans="15:37" s="25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row>
    <row r="265" spans="15:37" s="25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row>
    <row r="266" spans="15:37" s="25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row>
    <row r="267" spans="15:37" s="25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row>
    <row r="268" spans="15:37" s="25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row>
    <row r="269" spans="15:37" s="25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row>
    <row r="270" spans="15:37" s="25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row>
    <row r="271" spans="15:37" s="25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row>
    <row r="272" spans="15:37" s="25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row>
    <row r="273" spans="15:37" s="25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row>
    <row r="274" spans="15:37" s="25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row>
    <row r="275" spans="15:37" s="25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row>
    <row r="276" spans="15:37" s="25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row>
    <row r="277" spans="15:37" s="25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row>
    <row r="278" spans="15:37" s="25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row>
    <row r="279" spans="15:37" s="25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row>
    <row r="280" spans="15:37" s="25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row>
    <row r="281" spans="15:37" s="25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row>
    <row r="282" spans="15:37" s="25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row>
    <row r="283" spans="15:37" s="25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row>
    <row r="284" spans="15:37" s="25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row>
    <row r="285" spans="15:37" s="25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row>
    <row r="286" spans="15:37" s="25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row>
    <row r="287" spans="15:37" s="25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row>
    <row r="288" spans="15:37" s="25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row>
    <row r="289" spans="15:37" s="25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row>
    <row r="290" spans="15:37" s="25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row>
    <row r="291" spans="15:37" s="25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row>
    <row r="292" spans="15:37" s="25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row>
    <row r="293" spans="15:37" s="25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row>
    <row r="294" spans="15:37" s="25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row>
    <row r="295" spans="15:37" s="25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row>
    <row r="296" spans="15:37" s="25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row>
    <row r="297" spans="15:37" s="25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row>
    <row r="298" spans="15:37" s="25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row>
    <row r="299" spans="15:37" s="25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row>
    <row r="300" spans="15:37" s="25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row>
    <row r="301" spans="15:37" s="25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row>
    <row r="302" spans="15:37" s="25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row>
    <row r="303" spans="15:37" s="25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row>
    <row r="304" spans="15:37" s="25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row>
    <row r="305" spans="15:37" s="25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row>
    <row r="306" spans="15:37" s="25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row>
    <row r="307" spans="15:37" s="25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row>
    <row r="308" spans="15:37" s="25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row>
    <row r="309" spans="15:37" s="25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row>
    <row r="310" spans="15:37" s="25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row>
    <row r="311" spans="15:37" s="25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row>
    <row r="312" spans="15:37" s="25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row>
    <row r="313" spans="15:37" s="25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row>
    <row r="314" spans="15:37" s="25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row>
    <row r="315" spans="15:37" s="25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row>
    <row r="316" spans="15:37" s="25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row>
    <row r="317" spans="15:37" s="25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row>
    <row r="318" spans="15:37" s="25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row>
    <row r="319" spans="15:37" s="25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row>
    <row r="320" spans="15:37" s="25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row>
    <row r="321" spans="15:37" s="25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row>
    <row r="322" spans="15:37" s="25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row>
    <row r="323" spans="15:37" s="25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row>
    <row r="324" spans="15:37" s="25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row>
    <row r="325" spans="15:37" s="25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row>
    <row r="326" spans="15:37" s="25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row>
    <row r="327" spans="15:37" s="25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row>
    <row r="328" spans="15:37" s="25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row>
    <row r="329" spans="15:37" s="25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row>
    <row r="330" spans="15:37" s="25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row>
    <row r="331" spans="15:37" s="25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row>
    <row r="332" spans="15:37" s="25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row>
    <row r="333" spans="15:37" s="25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row>
    <row r="334" spans="15:37" s="25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row>
    <row r="335" spans="15:37" s="25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row>
    <row r="336" spans="15:37" s="25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row>
    <row r="337" spans="15:37" s="25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row>
    <row r="338" spans="15:37" s="25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row>
    <row r="339" spans="15:37" s="25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row>
    <row r="340" spans="15:37" s="25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row>
    <row r="341" spans="15:37" s="25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row>
    <row r="342" spans="15:37" s="25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row>
    <row r="343" spans="15:37" s="25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row>
    <row r="344" spans="15:37" s="25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row>
    <row r="345" spans="15:37" s="25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row>
    <row r="346" spans="15:37" s="25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row>
    <row r="347" spans="15:37" s="25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row>
    <row r="348" spans="15:37" s="25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row>
    <row r="349" spans="15:37" s="25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row>
    <row r="350" spans="15:37" s="25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row>
    <row r="351" spans="15:37" s="25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row>
    <row r="352" spans="15:37" s="25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row>
    <row r="353" spans="15:37" s="25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row>
    <row r="354" spans="15:37" s="25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row>
    <row r="355" spans="15:37" s="25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row>
    <row r="356" spans="15:37" s="25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row>
    <row r="357" spans="15:37" s="25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row>
    <row r="358" spans="15:37" s="25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row>
    <row r="359" spans="15:37" s="25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row>
    <row r="360" spans="15:37" s="25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row>
    <row r="361" spans="15:37" s="25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row>
    <row r="362" spans="15:37" s="25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row>
    <row r="363" spans="15:37" s="25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row>
    <row r="364" spans="15:37" s="25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row>
    <row r="365" spans="15:37" s="25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row>
    <row r="366" spans="15:37" s="25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row>
    <row r="367" spans="15:37" s="25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row>
    <row r="368" spans="15:37" s="25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row>
    <row r="369" spans="2:37" s="25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row>
    <row r="370" spans="2:37" s="25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row>
    <row r="371" spans="2:37" s="25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row>
    <row r="372" spans="2:37" s="25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row>
    <row r="373" spans="2:37" s="25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row>
    <row r="374" spans="2:37" s="25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row>
    <row r="375" spans="2:37" s="25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row>
    <row r="376" spans="2:37" s="25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row>
    <row r="377" spans="2:37" s="25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row>
    <row r="378" spans="2:37" s="25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row>
    <row r="379" spans="2:37" s="25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row>
    <row r="380" spans="2:37" s="25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row>
    <row r="381" spans="2:37" s="25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row>
    <row r="382" spans="2:37">
      <c r="B382" s="255"/>
      <c r="C382" s="255"/>
      <c r="D382" s="255"/>
      <c r="E382" s="255"/>
      <c r="F382" s="255"/>
      <c r="G382" s="255"/>
      <c r="I382" s="255"/>
      <c r="J382" s="255"/>
      <c r="K382" s="255"/>
      <c r="L382" s="255"/>
      <c r="M382" s="255"/>
    </row>
    <row r="383" spans="2:37">
      <c r="I383" s="255"/>
      <c r="J383" s="255"/>
      <c r="K383" s="255"/>
      <c r="L383" s="255"/>
      <c r="M383" s="255"/>
    </row>
    <row r="384" spans="2:37">
      <c r="I384" s="255"/>
      <c r="J384" s="255"/>
      <c r="K384" s="255"/>
      <c r="L384" s="255"/>
      <c r="M384" s="255"/>
    </row>
  </sheetData>
  <mergeCells count="5">
    <mergeCell ref="B1:G1"/>
    <mergeCell ref="I1:M1"/>
    <mergeCell ref="I8:M8"/>
    <mergeCell ref="B41:G45"/>
    <mergeCell ref="G14:G15"/>
  </mergeCells>
  <phoneticPr fontId="115" type="noConversion"/>
  <pageMargins left="0.25" right="0.25" top="0.75" bottom="0.75" header="0.3" footer="0.3"/>
  <pageSetup scale="83" orientation="portrait" r:id="rId1"/>
  <headerFooter>
    <oddFooter>&amp;R&amp;P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79998168889431442"/>
    <pageSetUpPr fitToPage="1"/>
  </sheetPr>
  <dimension ref="A1:KM386"/>
  <sheetViews>
    <sheetView zoomScale="80" zoomScaleNormal="80" workbookViewId="0">
      <selection activeCell="E16" sqref="E16"/>
    </sheetView>
  </sheetViews>
  <sheetFormatPr defaultColWidth="9.42578125" defaultRowHeight="12.75"/>
  <cols>
    <col min="1" max="1" width="9.42578125" style="253" customWidth="1"/>
    <col min="2" max="2" width="24.5703125" style="8" customWidth="1"/>
    <col min="3" max="4" width="12.42578125" style="8" customWidth="1"/>
    <col min="5" max="5" width="11" style="8" customWidth="1"/>
    <col min="6" max="6" width="8.42578125" style="8" bestFit="1" customWidth="1"/>
    <col min="7" max="7" width="53.42578125" style="8" customWidth="1"/>
    <col min="8" max="8" width="4" style="8" customWidth="1"/>
    <col min="9" max="9" width="30.5703125" style="8" customWidth="1"/>
    <col min="10" max="10" width="9.42578125" style="8"/>
    <col min="11" max="11" width="10.42578125" style="8" customWidth="1"/>
    <col min="12" max="12" width="13" style="8" customWidth="1"/>
    <col min="13" max="13" width="14.42578125" style="8" customWidth="1"/>
    <col min="14" max="14" width="13.42578125" style="253" customWidth="1"/>
    <col min="15" max="15" width="48.42578125" style="8" customWidth="1"/>
    <col min="16" max="16" width="9.42578125" style="8"/>
    <col min="17" max="17" width="13.5703125" style="8" customWidth="1"/>
    <col min="18" max="18" width="10.5703125" style="8" customWidth="1"/>
    <col min="19" max="19" width="15.42578125" style="8" bestFit="1" customWidth="1"/>
    <col min="20" max="20" width="10.5703125" style="8" customWidth="1"/>
    <col min="21" max="21" width="15.5703125" style="8" customWidth="1"/>
    <col min="22" max="37" width="9.42578125" style="8"/>
    <col min="38" max="299" width="9.42578125" style="255"/>
    <col min="300" max="16384" width="9.42578125" style="8"/>
  </cols>
  <sheetData>
    <row r="1" spans="2:46" ht="13.5" thickBot="1">
      <c r="B1" s="2554" t="s">
        <v>546</v>
      </c>
      <c r="C1" s="2554"/>
      <c r="D1" s="2554"/>
      <c r="E1" s="2554"/>
      <c r="F1" s="2554"/>
      <c r="G1" s="2554"/>
      <c r="H1" s="253"/>
      <c r="I1" s="2587" t="s">
        <v>381</v>
      </c>
      <c r="J1" s="2587"/>
      <c r="K1" s="2587"/>
      <c r="L1" s="2587"/>
      <c r="M1" s="2587"/>
    </row>
    <row r="2" spans="2:46" ht="13.5" thickBot="1">
      <c r="B2" s="254"/>
      <c r="C2" s="253"/>
      <c r="D2" s="253"/>
      <c r="E2" s="253"/>
      <c r="F2" s="253"/>
      <c r="G2" s="253"/>
      <c r="H2" s="253"/>
      <c r="I2" s="253"/>
      <c r="J2" s="253"/>
      <c r="K2" s="253"/>
      <c r="L2" s="253"/>
      <c r="M2" s="253"/>
    </row>
    <row r="3" spans="2:46">
      <c r="B3" s="138" t="s">
        <v>0</v>
      </c>
      <c r="C3" s="139" t="s">
        <v>1</v>
      </c>
      <c r="D3" s="163" t="s">
        <v>2</v>
      </c>
      <c r="E3" s="253"/>
      <c r="F3" s="253"/>
      <c r="G3" s="253"/>
      <c r="H3" s="253"/>
      <c r="I3" s="253"/>
      <c r="J3" s="253"/>
      <c r="K3" s="253"/>
      <c r="L3" s="253"/>
      <c r="M3" s="253"/>
    </row>
    <row r="4" spans="2:46">
      <c r="B4" s="140" t="s">
        <v>370</v>
      </c>
      <c r="C4" s="141">
        <v>15</v>
      </c>
      <c r="D4" s="164">
        <f>C4*8</f>
        <v>120</v>
      </c>
      <c r="E4" s="253"/>
      <c r="F4" s="253"/>
      <c r="G4" s="253"/>
      <c r="H4" s="253"/>
      <c r="I4" s="253"/>
      <c r="J4" s="253"/>
      <c r="K4" s="253"/>
      <c r="L4" s="253"/>
      <c r="M4" s="253"/>
    </row>
    <row r="5" spans="2:46">
      <c r="B5" s="140" t="s">
        <v>378</v>
      </c>
      <c r="C5" s="141">
        <v>8</v>
      </c>
      <c r="D5" s="164">
        <f>C5*8</f>
        <v>64</v>
      </c>
      <c r="E5" s="253"/>
      <c r="F5" s="253"/>
      <c r="G5" s="253"/>
      <c r="H5" s="253"/>
      <c r="I5" s="253"/>
      <c r="J5" s="253"/>
      <c r="K5" s="253"/>
      <c r="L5" s="253"/>
      <c r="M5" s="253"/>
    </row>
    <row r="6" spans="2:46">
      <c r="B6" s="140" t="s">
        <v>372</v>
      </c>
      <c r="C6" s="141">
        <v>10</v>
      </c>
      <c r="D6" s="164">
        <f>C6*8</f>
        <v>80</v>
      </c>
      <c r="E6" s="253"/>
      <c r="F6" s="253"/>
      <c r="G6" s="253"/>
      <c r="H6" s="253"/>
      <c r="I6" s="253"/>
      <c r="J6" s="253"/>
      <c r="K6" s="253"/>
      <c r="L6" s="253"/>
      <c r="M6" s="253"/>
    </row>
    <row r="7" spans="2:46" ht="13.5" thickBot="1">
      <c r="B7" s="142" t="s">
        <v>902</v>
      </c>
      <c r="C7" s="141">
        <v>5</v>
      </c>
      <c r="D7" s="165">
        <f>C7*8</f>
        <v>40</v>
      </c>
      <c r="E7" s="253"/>
      <c r="F7" s="253"/>
      <c r="G7" s="253"/>
      <c r="H7" s="253"/>
      <c r="I7" s="253"/>
      <c r="J7" s="253"/>
      <c r="K7" s="253"/>
      <c r="L7" s="253"/>
      <c r="M7" s="253"/>
    </row>
    <row r="8" spans="2:46" ht="13.5" thickBot="1">
      <c r="B8" s="140"/>
      <c r="C8" s="143" t="s">
        <v>3</v>
      </c>
      <c r="D8" s="164">
        <f>SUM(D4:D7)</f>
        <v>304</v>
      </c>
      <c r="E8" s="253"/>
      <c r="F8" s="253"/>
      <c r="G8" s="253"/>
      <c r="H8" s="253"/>
      <c r="I8" s="2588" t="s">
        <v>577</v>
      </c>
      <c r="J8" s="2589"/>
      <c r="K8" s="2589"/>
      <c r="L8" s="2589"/>
      <c r="M8" s="2590"/>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row>
    <row r="9" spans="2:46" ht="13.5" thickBot="1">
      <c r="B9" s="144"/>
      <c r="C9" s="145" t="s">
        <v>4</v>
      </c>
      <c r="D9" s="166">
        <f>D8/(52*40)</f>
        <v>0.14615384615384616</v>
      </c>
      <c r="E9" s="253"/>
      <c r="F9" s="253"/>
      <c r="G9" s="253"/>
      <c r="H9" s="253"/>
      <c r="I9" s="146" t="s">
        <v>277</v>
      </c>
      <c r="J9" s="147">
        <v>5</v>
      </c>
      <c r="K9" s="148"/>
      <c r="L9" s="149" t="s">
        <v>133</v>
      </c>
      <c r="M9" s="150">
        <f>J9*365</f>
        <v>1825</v>
      </c>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row>
    <row r="10" spans="2:46" ht="13.5" thickBot="1">
      <c r="B10" s="253"/>
      <c r="C10" s="253"/>
      <c r="D10" s="253"/>
      <c r="E10" s="253"/>
      <c r="F10" s="253"/>
      <c r="G10" s="253"/>
      <c r="H10" s="253"/>
      <c r="I10" s="104"/>
      <c r="J10" s="72"/>
      <c r="K10" s="72"/>
      <c r="L10" s="72"/>
      <c r="M10" s="105"/>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row>
    <row r="11" spans="2:46" ht="25.5">
      <c r="B11" s="42"/>
      <c r="C11" s="153" t="s">
        <v>35</v>
      </c>
      <c r="D11" s="153" t="s">
        <v>41</v>
      </c>
      <c r="E11" s="1530" t="s">
        <v>821</v>
      </c>
      <c r="F11" s="895"/>
      <c r="G11" s="259" t="s">
        <v>278</v>
      </c>
      <c r="H11" s="253"/>
      <c r="I11" s="106"/>
      <c r="J11" s="53"/>
      <c r="K11" s="54" t="s">
        <v>5</v>
      </c>
      <c r="L11" s="54" t="s">
        <v>6</v>
      </c>
      <c r="M11" s="107" t="s">
        <v>7</v>
      </c>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row>
    <row r="12" spans="2:46">
      <c r="B12" s="171" t="s">
        <v>29</v>
      </c>
      <c r="C12" s="45"/>
      <c r="D12" s="82"/>
      <c r="E12" s="45"/>
      <c r="F12" s="50"/>
      <c r="G12" s="260"/>
      <c r="H12" s="253"/>
      <c r="I12" s="100" t="str">
        <f t="shared" ref="I12:I21" si="0">B12</f>
        <v>Management</v>
      </c>
      <c r="J12" s="55"/>
      <c r="K12" s="56"/>
      <c r="L12" s="56"/>
      <c r="M12" s="108"/>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row>
    <row r="13" spans="2:46">
      <c r="B13" s="48" t="s">
        <v>421</v>
      </c>
      <c r="C13" s="85">
        <v>0.1</v>
      </c>
      <c r="D13" s="999">
        <f>'Integrated Team (FY21)'!E15</f>
        <v>92496.84919424048</v>
      </c>
      <c r="E13" s="45"/>
      <c r="F13" s="50"/>
      <c r="G13" s="260" t="str">
        <f>Int_Beh!G13</f>
        <v>FY16 UFR, Weighted Average, Program Function Manager</v>
      </c>
      <c r="H13" s="253"/>
      <c r="I13" s="104" t="str">
        <f t="shared" si="0"/>
        <v xml:space="preserve">  Management Supervision</v>
      </c>
      <c r="J13" s="55"/>
      <c r="K13" s="58">
        <f>D13</f>
        <v>92496.84919424048</v>
      </c>
      <c r="L13" s="59">
        <f>C13</f>
        <v>0.1</v>
      </c>
      <c r="M13" s="110">
        <f>K13*L13</f>
        <v>9249.6849194240476</v>
      </c>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row>
    <row r="14" spans="2:46" ht="25.5">
      <c r="B14" s="48" t="s">
        <v>402</v>
      </c>
      <c r="C14" s="85">
        <v>1</v>
      </c>
      <c r="D14" s="1649">
        <f>'Integrated Team (FY21)'!E14</f>
        <v>53840</v>
      </c>
      <c r="E14" s="45">
        <v>60923</v>
      </c>
      <c r="F14" s="50"/>
      <c r="G14" s="266" t="str">
        <f>Int_Beh!G14</f>
        <v>FY15 UFR, Weighted Average, Assistant Director (LICSW Level) / Previous Proposed Benchmark</v>
      </c>
      <c r="H14" s="253"/>
      <c r="I14" s="104" t="str">
        <f>B14</f>
        <v xml:space="preserve">  Specialty Site Manager</v>
      </c>
      <c r="J14" s="55"/>
      <c r="K14" s="58">
        <f>E14</f>
        <v>60923</v>
      </c>
      <c r="L14" s="59">
        <f>C14</f>
        <v>1</v>
      </c>
      <c r="M14" s="110">
        <f>K14*L14</f>
        <v>60923</v>
      </c>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row>
    <row r="15" spans="2:46">
      <c r="B15" s="44" t="s">
        <v>30</v>
      </c>
      <c r="C15" s="85"/>
      <c r="D15" s="999"/>
      <c r="E15" s="50"/>
      <c r="F15" s="50"/>
      <c r="G15" s="260"/>
      <c r="H15" s="253"/>
      <c r="I15" s="111" t="str">
        <f t="shared" si="0"/>
        <v>Medical and Clinical</v>
      </c>
      <c r="J15" s="57"/>
      <c r="K15" s="58"/>
      <c r="L15" s="59"/>
      <c r="M15" s="110"/>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row>
    <row r="16" spans="2:46">
      <c r="B16" s="48" t="s">
        <v>285</v>
      </c>
      <c r="C16" s="85">
        <v>0.12</v>
      </c>
      <c r="D16" s="999">
        <f>'Integrated Team (FY21)'!E17</f>
        <v>208323.9231935351</v>
      </c>
      <c r="E16" s="50"/>
      <c r="F16" s="50"/>
      <c r="G16" s="260" t="s">
        <v>447</v>
      </c>
      <c r="H16" s="253"/>
      <c r="I16" s="109" t="str">
        <f t="shared" si="0"/>
        <v xml:space="preserve">  Psychiatrist</v>
      </c>
      <c r="J16" s="57"/>
      <c r="K16" s="58">
        <f>D16</f>
        <v>208323.9231935351</v>
      </c>
      <c r="L16" s="59">
        <f>C16</f>
        <v>0.12</v>
      </c>
      <c r="M16" s="110">
        <f t="shared" ref="M16:M24" si="1">K16*L16</f>
        <v>24998.870783224211</v>
      </c>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row>
    <row r="17" spans="2:46" ht="29.25" customHeight="1">
      <c r="B17" s="380" t="s">
        <v>47</v>
      </c>
      <c r="C17" s="381">
        <v>0.05</v>
      </c>
      <c r="D17" s="1818">
        <f>Chart!C14</f>
        <v>60923.199999999997</v>
      </c>
      <c r="F17" s="50"/>
      <c r="G17" s="352" t="str">
        <f>Int_Beh!G61</f>
        <v>BLS /OES Massachusetts Median 2018</v>
      </c>
      <c r="H17" s="253"/>
      <c r="I17" s="376" t="str">
        <f t="shared" si="0"/>
        <v xml:space="preserve">  LPHA</v>
      </c>
      <c r="J17" s="377"/>
      <c r="K17" s="1819">
        <f>D17</f>
        <v>60923.199999999997</v>
      </c>
      <c r="L17" s="382">
        <f>C17</f>
        <v>0.05</v>
      </c>
      <c r="M17" s="379">
        <f t="shared" si="1"/>
        <v>3046.16</v>
      </c>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row>
    <row r="18" spans="2:46">
      <c r="B18" s="48" t="s">
        <v>123</v>
      </c>
      <c r="C18" s="85">
        <v>0.12</v>
      </c>
      <c r="D18" s="1409">
        <f>'FY15 Salary Benchmark'!C11*(1+D40)</f>
        <v>70360.439368742242</v>
      </c>
      <c r="E18" s="50"/>
      <c r="F18" s="50"/>
      <c r="G18" s="260" t="s">
        <v>447</v>
      </c>
      <c r="H18" s="253"/>
      <c r="I18" s="109" t="str">
        <f t="shared" si="0"/>
        <v xml:space="preserve">  Occupational Therapist</v>
      </c>
      <c r="J18" s="57"/>
      <c r="K18" s="930">
        <f>D18</f>
        <v>70360.439368742242</v>
      </c>
      <c r="L18" s="59">
        <f>C18</f>
        <v>0.12</v>
      </c>
      <c r="M18" s="110">
        <f>K18*L18</f>
        <v>8443.2527242490687</v>
      </c>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row>
    <row r="19" spans="2:46">
      <c r="B19" s="48" t="s">
        <v>126</v>
      </c>
      <c r="C19" s="85">
        <v>0.2</v>
      </c>
      <c r="D19" s="1409">
        <v>57449.599999999999</v>
      </c>
      <c r="F19" s="50"/>
      <c r="G19" s="260" t="s">
        <v>886</v>
      </c>
      <c r="H19" s="253"/>
      <c r="I19" s="109" t="str">
        <f t="shared" si="0"/>
        <v xml:space="preserve">  LPN</v>
      </c>
      <c r="J19" s="57"/>
      <c r="K19" s="930">
        <f>D19</f>
        <v>57449.599999999999</v>
      </c>
      <c r="L19" s="59">
        <f>C19</f>
        <v>0.2</v>
      </c>
      <c r="M19" s="110">
        <f t="shared" si="1"/>
        <v>11489.92</v>
      </c>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row>
    <row r="20" spans="2:46">
      <c r="B20" s="44" t="s">
        <v>31</v>
      </c>
      <c r="C20" s="85"/>
      <c r="D20" s="1409"/>
      <c r="E20" s="50"/>
      <c r="F20" s="50"/>
      <c r="G20" s="260"/>
      <c r="H20" s="253"/>
      <c r="I20" s="111" t="str">
        <f t="shared" si="0"/>
        <v>Direct Care</v>
      </c>
      <c r="J20" s="57"/>
      <c r="K20" s="930"/>
      <c r="L20" s="59"/>
      <c r="M20" s="110"/>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row>
    <row r="21" spans="2:46">
      <c r="B21" s="48" t="s">
        <v>124</v>
      </c>
      <c r="C21" s="85">
        <v>0.5</v>
      </c>
      <c r="D21" s="1409">
        <v>41516.800000000003</v>
      </c>
      <c r="E21" s="50"/>
      <c r="F21" s="50"/>
      <c r="G21" s="260" t="s">
        <v>886</v>
      </c>
      <c r="H21" s="253"/>
      <c r="I21" s="109" t="str">
        <f t="shared" si="0"/>
        <v xml:space="preserve">  DC Evening Supervisor</v>
      </c>
      <c r="J21" s="57"/>
      <c r="K21" s="930">
        <f>D21</f>
        <v>41516.800000000003</v>
      </c>
      <c r="L21" s="59">
        <f>C21</f>
        <v>0.5</v>
      </c>
      <c r="M21" s="110">
        <f t="shared" si="1"/>
        <v>20758.400000000001</v>
      </c>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row>
    <row r="22" spans="2:46">
      <c r="B22" s="48" t="s">
        <v>875</v>
      </c>
      <c r="C22" s="85">
        <v>2.62</v>
      </c>
      <c r="D22" s="1409">
        <v>41516.800000000003</v>
      </c>
      <c r="E22" s="50"/>
      <c r="F22" s="50"/>
      <c r="G22" s="260" t="s">
        <v>984</v>
      </c>
      <c r="H22" s="253"/>
      <c r="I22" s="109" t="str">
        <f>B22</f>
        <v xml:space="preserve">  Direct Care III</v>
      </c>
      <c r="J22" s="57"/>
      <c r="K22" s="930">
        <f>D22</f>
        <v>41516.800000000003</v>
      </c>
      <c r="L22" s="59">
        <f>C22</f>
        <v>2.62</v>
      </c>
      <c r="M22" s="110">
        <f t="shared" si="1"/>
        <v>108774.01600000002</v>
      </c>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row>
    <row r="23" spans="2:46">
      <c r="B23" s="48" t="s">
        <v>911</v>
      </c>
      <c r="C23" s="85">
        <v>6</v>
      </c>
      <c r="D23" s="1409">
        <v>32198</v>
      </c>
      <c r="E23" s="50"/>
      <c r="F23" s="50"/>
      <c r="G23" s="260" t="s">
        <v>985</v>
      </c>
      <c r="H23" s="253"/>
      <c r="I23" s="1577" t="str">
        <f>B23</f>
        <v xml:space="preserve">  Direct Care I + II</v>
      </c>
      <c r="J23" s="57"/>
      <c r="K23" s="930">
        <f>D23</f>
        <v>32198</v>
      </c>
      <c r="L23" s="59">
        <f>C23</f>
        <v>6</v>
      </c>
      <c r="M23" s="110">
        <f t="shared" si="1"/>
        <v>193188</v>
      </c>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row>
    <row r="24" spans="2:46">
      <c r="B24" s="48" t="s">
        <v>349</v>
      </c>
      <c r="C24" s="85">
        <f>(C23+C22)*D9</f>
        <v>1.2598461538461541</v>
      </c>
      <c r="D24" s="1409">
        <v>32198</v>
      </c>
      <c r="E24" s="50"/>
      <c r="F24" s="50"/>
      <c r="G24" s="260" t="s">
        <v>986</v>
      </c>
      <c r="H24" s="253"/>
      <c r="I24" s="109" t="str">
        <f>B24</f>
        <v xml:space="preserve">  Relief</v>
      </c>
      <c r="J24" s="57"/>
      <c r="K24" s="930">
        <f>D24</f>
        <v>32198</v>
      </c>
      <c r="L24" s="59">
        <f>C24</f>
        <v>1.2598461538461541</v>
      </c>
      <c r="M24" s="110">
        <f t="shared" si="1"/>
        <v>40564.526461538466</v>
      </c>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row>
    <row r="25" spans="2:46">
      <c r="B25" s="48"/>
      <c r="C25" s="45"/>
      <c r="D25" s="46"/>
      <c r="E25" s="50"/>
      <c r="F25" s="50"/>
      <c r="G25" s="260"/>
      <c r="H25" s="253"/>
      <c r="I25" s="114" t="s">
        <v>13</v>
      </c>
      <c r="J25" s="3"/>
      <c r="K25" s="3"/>
      <c r="L25" s="64">
        <f>SUM(L13:L24)</f>
        <v>11.969846153846156</v>
      </c>
      <c r="M25" s="115">
        <f>SUM(M13:M24)</f>
        <v>481435.83088843583</v>
      </c>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row>
    <row r="26" spans="2:46">
      <c r="B26" s="48"/>
      <c r="C26" s="45"/>
      <c r="D26" s="46"/>
      <c r="E26" s="45"/>
      <c r="F26" s="45"/>
      <c r="G26" s="260"/>
      <c r="H26" s="253"/>
      <c r="I26" s="104"/>
      <c r="J26" s="72"/>
      <c r="K26" s="72"/>
      <c r="L26" s="72"/>
      <c r="M26" s="116"/>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row>
    <row r="27" spans="2:46">
      <c r="B27" s="81"/>
      <c r="C27" s="45"/>
      <c r="D27" s="82" t="s">
        <v>42</v>
      </c>
      <c r="E27" s="45"/>
      <c r="F27" s="45"/>
      <c r="G27" s="260"/>
      <c r="H27" s="253"/>
      <c r="I27" s="100" t="s">
        <v>15</v>
      </c>
      <c r="J27" s="72"/>
      <c r="K27" s="72"/>
      <c r="L27" s="4" t="s">
        <v>16</v>
      </c>
      <c r="M27" s="105"/>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row>
    <row r="28" spans="2:46">
      <c r="B28" s="81" t="s">
        <v>434</v>
      </c>
      <c r="C28" s="45"/>
      <c r="D28" s="1522">
        <f>Chart!C30</f>
        <v>0.224</v>
      </c>
      <c r="F28" s="51"/>
      <c r="G28" s="1646" t="s">
        <v>978</v>
      </c>
      <c r="H28" s="253"/>
      <c r="I28" s="104" t="s">
        <v>17</v>
      </c>
      <c r="J28" s="72"/>
      <c r="K28" s="1542">
        <f>D28</f>
        <v>0.224</v>
      </c>
      <c r="L28" s="72"/>
      <c r="M28" s="117">
        <f>K28*M25</f>
        <v>107841.62611900963</v>
      </c>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row>
    <row r="29" spans="2:46">
      <c r="B29" s="171"/>
      <c r="C29" s="51"/>
      <c r="D29" s="51"/>
      <c r="E29" s="51"/>
      <c r="F29" s="51"/>
      <c r="G29" s="260"/>
      <c r="H29" s="253"/>
      <c r="I29" s="114" t="s">
        <v>18</v>
      </c>
      <c r="J29" s="3"/>
      <c r="K29" s="3"/>
      <c r="L29" s="63"/>
      <c r="M29" s="118">
        <f>M25+M28</f>
        <v>589277.45700744539</v>
      </c>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row>
    <row r="30" spans="2:46">
      <c r="B30" s="48"/>
      <c r="C30" s="51"/>
      <c r="D30" s="82" t="s">
        <v>367</v>
      </c>
      <c r="E30" s="51"/>
      <c r="F30" s="51"/>
      <c r="G30" s="260"/>
      <c r="H30" s="253"/>
      <c r="I30" s="109" t="str">
        <f>B38</f>
        <v xml:space="preserve">  PFLMA Trust Contribution</v>
      </c>
      <c r="J30" s="936"/>
      <c r="K30" s="1820">
        <f>D38</f>
        <v>3.7000000000000002E-3</v>
      </c>
      <c r="L30" s="72"/>
      <c r="M30" s="117">
        <f>K30*M25</f>
        <v>1781.3125742872126</v>
      </c>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row>
    <row r="31" spans="2:46">
      <c r="B31" s="1531" t="str">
        <f>Int_Beh!B163</f>
        <v xml:space="preserve">  Staff Training</v>
      </c>
      <c r="C31" s="1532"/>
      <c r="D31" s="1533">
        <f>'Med_Int_Spec (FY21)'!D33</f>
        <v>277.77888799999999</v>
      </c>
      <c r="E31" s="1532"/>
      <c r="F31" s="1532"/>
      <c r="G31" s="1652" t="str">
        <f>Med_Int_Spec!G32</f>
        <v>Avg of the FY15 CBFS data per FTE.</v>
      </c>
      <c r="H31" s="253"/>
      <c r="I31" s="959" t="str">
        <f>B31</f>
        <v xml:space="preserve">  Staff Training</v>
      </c>
      <c r="J31" s="72"/>
      <c r="K31" s="596">
        <f>D31</f>
        <v>277.77888799999999</v>
      </c>
      <c r="L31" s="611"/>
      <c r="M31" s="951">
        <f>K31*L25</f>
        <v>3324.9705541464618</v>
      </c>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row>
    <row r="32" spans="2:46">
      <c r="B32" s="368"/>
      <c r="C32" s="371"/>
      <c r="D32" s="369"/>
      <c r="E32" s="371"/>
      <c r="F32" s="371"/>
      <c r="G32" s="388"/>
      <c r="H32" s="253"/>
      <c r="I32" s="109" t="str">
        <f>B33</f>
        <v xml:space="preserve">  Transportation</v>
      </c>
      <c r="J32" s="72"/>
      <c r="K32" s="72"/>
      <c r="L32" s="122"/>
      <c r="M32" s="290">
        <f>D33</f>
        <v>6191.6539525126345</v>
      </c>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row>
    <row r="33" spans="1:299">
      <c r="B33" s="81" t="s">
        <v>435</v>
      </c>
      <c r="C33" s="45"/>
      <c r="D33" s="90">
        <f>Med_Int_Spec!D33</f>
        <v>6191.6539525126345</v>
      </c>
      <c r="F33" s="325"/>
      <c r="G33" s="260" t="str">
        <f>GLE!G79</f>
        <v>Benchmark 101 CMR 420: allocation for van, 1 van / 2 GLEs</v>
      </c>
      <c r="H33" s="253"/>
      <c r="I33" s="570" t="str">
        <f>B35</f>
        <v xml:space="preserve">  Meals / Food***</v>
      </c>
      <c r="J33" s="72"/>
      <c r="K33" s="882">
        <f>D35</f>
        <v>8.16</v>
      </c>
      <c r="L33" s="122"/>
      <c r="M33" s="957">
        <f>K33*M9</f>
        <v>14892</v>
      </c>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row>
    <row r="34" spans="1:299">
      <c r="B34" s="81" t="s">
        <v>454</v>
      </c>
      <c r="C34" s="45"/>
      <c r="D34" s="89">
        <f>'Integrated Team (FY21)'!E44</f>
        <v>642.72053101483573</v>
      </c>
      <c r="E34" s="45"/>
      <c r="F34" s="45"/>
      <c r="G34" s="260" t="str">
        <f>Int_Beh!G31</f>
        <v>Program Supplies &amp; Materials (33E) per FTE.</v>
      </c>
      <c r="H34" s="253"/>
      <c r="I34" s="291" t="str">
        <f>B34</f>
        <v xml:space="preserve">  Program Supplies &amp; Materials</v>
      </c>
      <c r="J34" s="72"/>
      <c r="K34" s="170">
        <f>D34</f>
        <v>642.72053101483573</v>
      </c>
      <c r="M34" s="290">
        <f>K34*L25</f>
        <v>7693.2658761658904</v>
      </c>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row>
    <row r="35" spans="1:299">
      <c r="B35" s="582" t="s">
        <v>792</v>
      </c>
      <c r="C35" s="595"/>
      <c r="D35" s="596">
        <v>8.16</v>
      </c>
      <c r="E35" s="175"/>
      <c r="G35" s="275" t="s">
        <v>599</v>
      </c>
      <c r="H35" s="253"/>
      <c r="I35" s="104"/>
      <c r="J35" s="72"/>
      <c r="K35" s="72"/>
      <c r="L35" s="185"/>
      <c r="M35" s="124">
        <f>SUM(M30:M34)</f>
        <v>33883.202957112197</v>
      </c>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row>
    <row r="36" spans="1:299">
      <c r="B36" s="81"/>
      <c r="C36" s="45"/>
      <c r="D36" s="45"/>
      <c r="E36" s="45"/>
      <c r="F36" s="45"/>
      <c r="G36" s="260"/>
      <c r="H36" s="253"/>
      <c r="I36" s="104"/>
      <c r="J36" s="72"/>
      <c r="K36" s="72"/>
      <c r="L36" s="66"/>
      <c r="M36" s="125"/>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row>
    <row r="37" spans="1:299">
      <c r="B37" s="81" t="s">
        <v>437</v>
      </c>
      <c r="C37" s="45"/>
      <c r="D37" s="88">
        <f>'Integrated Team (FY21)'!E46</f>
        <v>0.12</v>
      </c>
      <c r="E37" s="45"/>
      <c r="F37" s="45"/>
      <c r="G37" s="83" t="s">
        <v>472</v>
      </c>
      <c r="H37" s="253"/>
      <c r="I37" s="114" t="s">
        <v>23</v>
      </c>
      <c r="J37" s="3"/>
      <c r="K37" s="3"/>
      <c r="L37" s="3"/>
      <c r="M37" s="126">
        <f>SUM(M29,M35)</f>
        <v>623160.65996455762</v>
      </c>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row>
    <row r="38" spans="1:299">
      <c r="B38" s="1536" t="s">
        <v>818</v>
      </c>
      <c r="C38" s="936"/>
      <c r="D38" s="1534">
        <v>3.7000000000000002E-3</v>
      </c>
      <c r="E38" s="45"/>
      <c r="F38" s="45"/>
      <c r="G38" s="49" t="s">
        <v>979</v>
      </c>
      <c r="H38" s="253"/>
      <c r="I38" s="104"/>
      <c r="J38" s="72"/>
      <c r="K38" s="72"/>
      <c r="L38" s="73"/>
      <c r="M38" s="127"/>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row>
    <row r="39" spans="1:299">
      <c r="B39" s="81"/>
      <c r="C39" s="45"/>
      <c r="D39" s="45"/>
      <c r="E39" s="45"/>
      <c r="F39" s="45"/>
      <c r="G39" s="260"/>
      <c r="H39" s="253"/>
      <c r="I39" s="104" t="str">
        <f>B37</f>
        <v xml:space="preserve">  Admin. Allocation</v>
      </c>
      <c r="J39" s="72"/>
      <c r="K39" s="187">
        <f>D37</f>
        <v>0.12</v>
      </c>
      <c r="L39" s="72"/>
      <c r="M39" s="117">
        <f>K39*M37</f>
        <v>74779.279195746916</v>
      </c>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row>
    <row r="40" spans="1:299">
      <c r="B40" s="81" t="s">
        <v>438</v>
      </c>
      <c r="C40" s="45"/>
      <c r="D40" s="389">
        <v>7.6809383045675458E-2</v>
      </c>
      <c r="E40" s="45"/>
      <c r="F40" s="45"/>
      <c r="G40" s="1446" t="s">
        <v>781</v>
      </c>
      <c r="H40" s="253"/>
      <c r="I40" s="104"/>
      <c r="J40" s="72"/>
      <c r="K40" s="72"/>
      <c r="L40" s="72"/>
      <c r="M40" s="1538"/>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row>
    <row r="41" spans="1:299" ht="13.5" thickBot="1">
      <c r="B41" s="1537" t="s">
        <v>438</v>
      </c>
      <c r="C41" s="95"/>
      <c r="D41" s="1535">
        <f>'CAF 2019 Fall'!BZ25</f>
        <v>1.7780248869661817E-2</v>
      </c>
      <c r="E41" s="95"/>
      <c r="F41" s="95"/>
      <c r="G41" s="1401" t="s">
        <v>780</v>
      </c>
      <c r="H41" s="253"/>
      <c r="I41" s="104"/>
      <c r="J41" s="72"/>
      <c r="K41" s="72"/>
      <c r="L41" s="72"/>
      <c r="M41" s="128"/>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row>
    <row r="42" spans="1:299" ht="13.5" thickBot="1">
      <c r="B42" s="2610" t="s">
        <v>597</v>
      </c>
      <c r="C42" s="2610"/>
      <c r="D42" s="2610"/>
      <c r="E42" s="2610"/>
      <c r="F42" s="2610"/>
      <c r="G42" s="2610"/>
      <c r="H42" s="253"/>
      <c r="I42" s="129" t="s">
        <v>25</v>
      </c>
      <c r="J42" s="74"/>
      <c r="K42" s="74"/>
      <c r="L42" s="74"/>
      <c r="M42" s="130">
        <f>SUM(M37:M41)</f>
        <v>697939.93916030449</v>
      </c>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row>
    <row r="43" spans="1:299" ht="13.5" thickTop="1">
      <c r="B43" s="2611"/>
      <c r="C43" s="2611"/>
      <c r="D43" s="2611"/>
      <c r="E43" s="2611"/>
      <c r="F43" s="2611"/>
      <c r="G43" s="2611"/>
      <c r="H43" s="253"/>
      <c r="I43" s="104"/>
      <c r="J43" s="72"/>
      <c r="K43" s="1543"/>
      <c r="L43" s="72"/>
      <c r="M43" s="10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row>
    <row r="44" spans="1:299">
      <c r="B44" s="2611"/>
      <c r="C44" s="2611"/>
      <c r="D44" s="2611"/>
      <c r="E44" s="2611"/>
      <c r="F44" s="2611"/>
      <c r="G44" s="2611"/>
      <c r="H44" s="253"/>
      <c r="I44" s="104" t="str">
        <f>B41</f>
        <v xml:space="preserve">  CAF</v>
      </c>
      <c r="J44" s="72"/>
      <c r="K44" s="1544">
        <f>D41</f>
        <v>1.7780248869661817E-2</v>
      </c>
      <c r="L44" s="72"/>
      <c r="M44" s="132">
        <f>M42+(M42*K44)-(M25*K44)</f>
        <v>701789.4360866826</v>
      </c>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row>
    <row r="45" spans="1:299" ht="13.5" thickBot="1">
      <c r="B45" s="2611"/>
      <c r="C45" s="2611"/>
      <c r="D45" s="2611"/>
      <c r="E45" s="2611"/>
      <c r="F45" s="2611"/>
      <c r="G45" s="2611"/>
      <c r="H45" s="253"/>
      <c r="I45" s="570"/>
      <c r="J45" s="571"/>
      <c r="K45" s="877"/>
      <c r="L45" s="571"/>
      <c r="M45" s="575"/>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row>
    <row r="46" spans="1:299" ht="13.5" thickTop="1">
      <c r="B46" s="2611"/>
      <c r="C46" s="2611"/>
      <c r="D46" s="2611"/>
      <c r="E46" s="2611"/>
      <c r="F46" s="2611"/>
      <c r="G46" s="2611"/>
      <c r="H46" s="253"/>
      <c r="I46" s="104"/>
      <c r="J46" s="72"/>
      <c r="K46" s="131"/>
      <c r="L46" s="72"/>
      <c r="M46" s="132"/>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row>
    <row r="47" spans="1:299" s="253" customFormat="1">
      <c r="I47" s="104"/>
      <c r="J47" s="72"/>
      <c r="K47" s="72"/>
      <c r="L47" s="72"/>
      <c r="M47" s="136"/>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c r="IX47" s="255"/>
      <c r="IY47" s="255"/>
      <c r="IZ47" s="255"/>
      <c r="JA47" s="255"/>
      <c r="JB47" s="255"/>
      <c r="JC47" s="255"/>
      <c r="JD47" s="255"/>
      <c r="JE47" s="255"/>
      <c r="JF47" s="255"/>
      <c r="JG47" s="255"/>
      <c r="JH47" s="255"/>
      <c r="JI47" s="255"/>
      <c r="JJ47" s="255"/>
      <c r="JK47" s="255"/>
      <c r="JL47" s="255"/>
      <c r="JM47" s="255"/>
      <c r="JN47" s="255"/>
      <c r="JO47" s="255"/>
      <c r="JP47" s="255"/>
      <c r="JQ47" s="255"/>
      <c r="JR47" s="255"/>
      <c r="JS47" s="255"/>
      <c r="JT47" s="255"/>
      <c r="JU47" s="255"/>
      <c r="JV47" s="255"/>
      <c r="JW47" s="255"/>
      <c r="JX47" s="255"/>
      <c r="JY47" s="255"/>
      <c r="JZ47" s="255"/>
      <c r="KA47" s="255"/>
      <c r="KB47" s="255"/>
      <c r="KC47" s="255"/>
      <c r="KD47" s="255"/>
      <c r="KE47" s="255"/>
      <c r="KF47" s="255"/>
      <c r="KG47" s="255"/>
      <c r="KH47" s="255"/>
      <c r="KI47" s="255"/>
      <c r="KJ47" s="255"/>
      <c r="KK47" s="255"/>
      <c r="KL47" s="255"/>
      <c r="KM47" s="255"/>
    </row>
    <row r="48" spans="1:299" s="255" customFormat="1" ht="13.5" thickBot="1">
      <c r="A48" s="253"/>
      <c r="B48" s="253"/>
      <c r="C48" s="253"/>
      <c r="D48" s="253"/>
      <c r="E48" s="253"/>
      <c r="F48" s="253"/>
      <c r="G48" s="253"/>
      <c r="H48" s="253"/>
      <c r="I48" s="104" t="s">
        <v>28</v>
      </c>
      <c r="J48" s="72"/>
      <c r="K48" s="72"/>
      <c r="L48" s="73"/>
      <c r="M48" s="958">
        <f>M44/M9</f>
        <v>384.54215675982607</v>
      </c>
      <c r="N48" s="593">
        <f>M51/M50</f>
        <v>5.6086748480011109E-6</v>
      </c>
      <c r="O48" s="8"/>
      <c r="P48" s="8"/>
      <c r="Q48" s="8"/>
      <c r="R48" s="8"/>
      <c r="S48" s="8"/>
      <c r="T48" s="8"/>
      <c r="U48" s="8"/>
      <c r="V48" s="8"/>
      <c r="W48" s="8"/>
      <c r="X48" s="8"/>
      <c r="Y48" s="8"/>
      <c r="Z48" s="8"/>
      <c r="AA48" s="8"/>
      <c r="AB48" s="8"/>
      <c r="AC48" s="8"/>
      <c r="AD48" s="8"/>
      <c r="AE48" s="8"/>
      <c r="AF48" s="8"/>
      <c r="AG48" s="8"/>
      <c r="AH48" s="8"/>
      <c r="AI48" s="8"/>
      <c r="AJ48" s="8"/>
      <c r="AK48" s="8"/>
    </row>
    <row r="49" spans="1:37" s="255" customFormat="1" ht="13.5" thickBot="1">
      <c r="A49" s="253"/>
      <c r="B49" s="253"/>
      <c r="C49" s="253"/>
      <c r="D49" s="253"/>
      <c r="E49" s="253"/>
      <c r="F49" s="253"/>
      <c r="G49" s="253"/>
      <c r="H49" s="253"/>
      <c r="I49" s="584"/>
      <c r="J49" s="358"/>
      <c r="K49" s="359"/>
      <c r="L49" s="360"/>
      <c r="M49" s="577"/>
      <c r="N49" s="253"/>
      <c r="O49" s="8"/>
      <c r="P49" s="8"/>
      <c r="Q49" s="8"/>
      <c r="R49" s="8"/>
      <c r="S49" s="8"/>
      <c r="T49" s="8"/>
      <c r="U49" s="8"/>
      <c r="V49" s="8"/>
      <c r="W49" s="8"/>
      <c r="X49" s="8"/>
      <c r="Y49" s="8"/>
      <c r="Z49" s="8"/>
      <c r="AA49" s="8"/>
      <c r="AB49" s="8"/>
      <c r="AC49" s="8"/>
      <c r="AD49" s="8"/>
      <c r="AE49" s="8"/>
      <c r="AF49" s="8"/>
      <c r="AG49" s="8"/>
      <c r="AH49" s="8"/>
      <c r="AI49" s="8"/>
      <c r="AJ49" s="8"/>
      <c r="AK49" s="8"/>
    </row>
    <row r="50" spans="1:37" s="255" customFormat="1">
      <c r="A50" s="253"/>
      <c r="B50" s="253"/>
      <c r="C50" s="253"/>
      <c r="D50" s="253"/>
      <c r="E50" s="253"/>
      <c r="F50" s="253"/>
      <c r="G50" s="253"/>
      <c r="H50" s="253"/>
      <c r="I50" s="253"/>
      <c r="J50" s="253"/>
      <c r="K50" s="253"/>
      <c r="L50" s="253" t="s">
        <v>817</v>
      </c>
      <c r="M50" s="253">
        <v>384.54</v>
      </c>
      <c r="N50" s="253"/>
      <c r="O50" s="8"/>
      <c r="P50" s="8"/>
      <c r="Q50" s="8"/>
      <c r="R50" s="8"/>
      <c r="S50" s="8"/>
      <c r="T50" s="8"/>
      <c r="U50" s="8"/>
      <c r="V50" s="8"/>
      <c r="W50" s="8"/>
      <c r="X50" s="8"/>
      <c r="Y50" s="8"/>
      <c r="Z50" s="8"/>
      <c r="AA50" s="8"/>
      <c r="AB50" s="8"/>
      <c r="AC50" s="8"/>
      <c r="AD50" s="8"/>
      <c r="AE50" s="8"/>
      <c r="AF50" s="8"/>
      <c r="AG50" s="8"/>
      <c r="AH50" s="8"/>
      <c r="AI50" s="8"/>
      <c r="AJ50" s="8"/>
      <c r="AK50" s="8"/>
    </row>
    <row r="51" spans="1:37" s="255" customFormat="1">
      <c r="A51" s="253"/>
      <c r="B51" s="253"/>
      <c r="C51" s="253"/>
      <c r="D51" s="253"/>
      <c r="E51" s="253"/>
      <c r="F51" s="253"/>
      <c r="G51" s="253"/>
      <c r="H51" s="253"/>
      <c r="I51" s="253"/>
      <c r="J51" s="253"/>
      <c r="K51" s="253"/>
      <c r="L51" s="253"/>
      <c r="M51" s="482">
        <f>M48-M50</f>
        <v>2.1567598260503473E-3</v>
      </c>
      <c r="N51" s="253"/>
      <c r="O51" s="8"/>
      <c r="P51" s="8"/>
      <c r="Q51" s="8"/>
      <c r="R51" s="8"/>
      <c r="S51" s="8"/>
      <c r="T51" s="8"/>
      <c r="U51" s="8"/>
      <c r="V51" s="8"/>
      <c r="W51" s="8"/>
      <c r="X51" s="8"/>
      <c r="Y51" s="8"/>
      <c r="Z51" s="8"/>
      <c r="AA51" s="8"/>
      <c r="AB51" s="8"/>
      <c r="AC51" s="8"/>
      <c r="AD51" s="8"/>
      <c r="AE51" s="8"/>
      <c r="AF51" s="8"/>
      <c r="AG51" s="8"/>
      <c r="AH51" s="8"/>
      <c r="AI51" s="8"/>
      <c r="AJ51" s="8"/>
      <c r="AK51" s="8"/>
    </row>
    <row r="52" spans="1:37" s="255" customFormat="1">
      <c r="A52" s="253"/>
      <c r="B52" s="253"/>
      <c r="C52" s="253"/>
      <c r="D52" s="253"/>
      <c r="E52" s="253"/>
      <c r="F52" s="253"/>
      <c r="G52" s="253"/>
      <c r="H52" s="253"/>
      <c r="I52" s="253"/>
      <c r="J52" s="253"/>
      <c r="K52" s="253"/>
      <c r="L52" s="253"/>
      <c r="M52" s="253"/>
      <c r="N52" s="253"/>
      <c r="O52" s="8"/>
      <c r="P52" s="8"/>
      <c r="Q52" s="8"/>
      <c r="R52" s="8"/>
      <c r="S52" s="8"/>
      <c r="T52" s="8"/>
      <c r="U52" s="8"/>
      <c r="V52" s="8"/>
      <c r="W52" s="8"/>
      <c r="X52" s="8"/>
      <c r="Y52" s="8"/>
      <c r="Z52" s="8"/>
      <c r="AA52" s="8"/>
      <c r="AB52" s="8"/>
      <c r="AC52" s="8"/>
      <c r="AD52" s="8"/>
      <c r="AE52" s="8"/>
      <c r="AF52" s="8"/>
      <c r="AG52" s="8"/>
      <c r="AH52" s="8"/>
      <c r="AI52" s="8"/>
      <c r="AJ52" s="8"/>
      <c r="AK52" s="8"/>
    </row>
    <row r="53" spans="1:37" s="255" customFormat="1">
      <c r="A53" s="253"/>
      <c r="B53" s="253"/>
      <c r="C53" s="253"/>
      <c r="D53" s="253"/>
      <c r="E53" s="253"/>
      <c r="F53" s="253"/>
      <c r="G53" s="253"/>
      <c r="H53" s="253"/>
      <c r="I53" s="253"/>
      <c r="J53" s="253"/>
      <c r="K53" s="253"/>
      <c r="L53" s="253"/>
      <c r="M53" s="253"/>
      <c r="N53" s="253"/>
      <c r="O53" s="8"/>
      <c r="P53" s="8"/>
      <c r="Q53" s="8"/>
      <c r="R53" s="8"/>
      <c r="S53" s="8"/>
      <c r="T53" s="8"/>
      <c r="U53" s="8"/>
      <c r="V53" s="8"/>
      <c r="W53" s="8"/>
      <c r="X53" s="8"/>
      <c r="Y53" s="8"/>
      <c r="Z53" s="8"/>
      <c r="AA53" s="8"/>
      <c r="AB53" s="8"/>
      <c r="AC53" s="8"/>
      <c r="AD53" s="8"/>
      <c r="AE53" s="8"/>
      <c r="AF53" s="8"/>
      <c r="AG53" s="8"/>
      <c r="AH53" s="8"/>
      <c r="AI53" s="8"/>
      <c r="AJ53" s="8"/>
      <c r="AK53" s="8"/>
    </row>
    <row r="54" spans="1:37" s="255" customFormat="1">
      <c r="A54" s="253"/>
      <c r="B54" s="253"/>
      <c r="C54" s="253"/>
      <c r="D54" s="253"/>
      <c r="E54" s="253"/>
      <c r="F54" s="253"/>
      <c r="G54" s="253"/>
      <c r="H54" s="253"/>
      <c r="I54" s="253"/>
      <c r="J54" s="253"/>
      <c r="K54" s="253"/>
      <c r="L54" s="253"/>
      <c r="M54" s="253"/>
      <c r="N54" s="253"/>
      <c r="O54" s="8"/>
      <c r="P54" s="8"/>
      <c r="Q54" s="8"/>
      <c r="R54" s="8"/>
      <c r="S54" s="8"/>
      <c r="T54" s="8"/>
      <c r="U54" s="8"/>
      <c r="V54" s="8"/>
      <c r="W54" s="8"/>
      <c r="X54" s="8"/>
      <c r="Y54" s="8"/>
      <c r="Z54" s="8"/>
      <c r="AA54" s="8"/>
      <c r="AB54" s="8"/>
      <c r="AC54" s="8"/>
      <c r="AD54" s="8"/>
      <c r="AE54" s="8"/>
      <c r="AF54" s="8"/>
      <c r="AG54" s="8"/>
      <c r="AH54" s="8"/>
      <c r="AI54" s="8"/>
      <c r="AJ54" s="8"/>
      <c r="AK54" s="8"/>
    </row>
    <row r="55" spans="1:37" s="255" customFormat="1">
      <c r="A55" s="253"/>
      <c r="B55" s="253"/>
      <c r="C55" s="253"/>
      <c r="D55" s="253"/>
      <c r="E55" s="253"/>
      <c r="F55" s="253"/>
      <c r="G55" s="253"/>
      <c r="H55" s="253"/>
      <c r="I55" s="253"/>
      <c r="J55" s="253"/>
      <c r="K55" s="253"/>
      <c r="L55" s="253"/>
      <c r="M55" s="253"/>
      <c r="N55" s="253"/>
      <c r="O55" s="8"/>
      <c r="P55" s="8"/>
      <c r="Q55" s="8"/>
      <c r="R55" s="8"/>
      <c r="S55" s="8"/>
      <c r="T55" s="8"/>
      <c r="U55" s="8"/>
      <c r="V55" s="8"/>
      <c r="W55" s="8"/>
      <c r="X55" s="8"/>
      <c r="Y55" s="8"/>
      <c r="Z55" s="8"/>
      <c r="AA55" s="8"/>
      <c r="AB55" s="8"/>
      <c r="AC55" s="8"/>
      <c r="AD55" s="8"/>
      <c r="AE55" s="8"/>
      <c r="AF55" s="8"/>
      <c r="AG55" s="8"/>
      <c r="AH55" s="8"/>
      <c r="AI55" s="8"/>
      <c r="AJ55" s="8"/>
      <c r="AK55" s="8"/>
    </row>
    <row r="56" spans="1:37" s="255" customFormat="1">
      <c r="A56" s="253"/>
      <c r="B56" s="253"/>
      <c r="C56" s="253"/>
      <c r="D56" s="253"/>
      <c r="E56" s="253"/>
      <c r="F56" s="253"/>
      <c r="G56" s="253"/>
      <c r="H56" s="253"/>
      <c r="I56" s="253"/>
      <c r="J56" s="253"/>
      <c r="K56" s="253"/>
      <c r="L56" s="253"/>
      <c r="M56" s="253"/>
      <c r="N56" s="253"/>
      <c r="O56" s="8"/>
      <c r="P56" s="8"/>
      <c r="Q56" s="8"/>
      <c r="R56" s="8"/>
      <c r="S56" s="8"/>
      <c r="T56" s="8"/>
      <c r="U56" s="8"/>
      <c r="V56" s="8"/>
      <c r="W56" s="8"/>
      <c r="X56" s="8"/>
      <c r="Y56" s="8"/>
      <c r="Z56" s="8"/>
      <c r="AA56" s="8"/>
      <c r="AB56" s="8"/>
      <c r="AC56" s="8"/>
      <c r="AD56" s="8"/>
      <c r="AE56" s="8"/>
      <c r="AF56" s="8"/>
      <c r="AG56" s="8"/>
      <c r="AH56" s="8"/>
      <c r="AI56" s="8"/>
      <c r="AJ56" s="8"/>
      <c r="AK56" s="8"/>
    </row>
    <row r="57" spans="1:37" s="255" customFormat="1">
      <c r="A57" s="253"/>
      <c r="B57" s="253"/>
      <c r="C57" s="253"/>
      <c r="D57" s="253"/>
      <c r="E57" s="253"/>
      <c r="F57" s="253"/>
      <c r="G57" s="253"/>
      <c r="H57" s="253"/>
      <c r="I57" s="253"/>
      <c r="J57" s="253"/>
      <c r="K57" s="253"/>
      <c r="L57" s="253"/>
      <c r="M57" s="253"/>
      <c r="N57" s="253"/>
      <c r="O57" s="8"/>
      <c r="P57" s="8"/>
      <c r="Q57" s="8"/>
      <c r="R57" s="8"/>
      <c r="S57" s="8"/>
      <c r="T57" s="8"/>
      <c r="U57" s="8"/>
      <c r="V57" s="8"/>
      <c r="W57" s="8"/>
      <c r="X57" s="8"/>
      <c r="Y57" s="8"/>
      <c r="Z57" s="8"/>
      <c r="AA57" s="8"/>
      <c r="AB57" s="8"/>
      <c r="AC57" s="8"/>
      <c r="AD57" s="8"/>
      <c r="AE57" s="8"/>
      <c r="AF57" s="8"/>
      <c r="AG57" s="8"/>
      <c r="AH57" s="8"/>
      <c r="AI57" s="8"/>
      <c r="AJ57" s="8"/>
      <c r="AK57" s="8"/>
    </row>
    <row r="58" spans="1:37" s="255" customFormat="1">
      <c r="A58" s="253"/>
      <c r="B58" s="253"/>
      <c r="C58" s="253"/>
      <c r="D58" s="253"/>
      <c r="E58" s="253"/>
      <c r="F58" s="253"/>
      <c r="G58" s="253"/>
      <c r="H58" s="253"/>
      <c r="I58" s="253"/>
      <c r="J58" s="253"/>
      <c r="K58" s="253"/>
      <c r="L58" s="253"/>
      <c r="M58" s="253"/>
      <c r="N58" s="253"/>
      <c r="O58" s="8"/>
      <c r="P58" s="8"/>
      <c r="Q58" s="8"/>
      <c r="R58" s="8"/>
      <c r="S58" s="8"/>
      <c r="T58" s="8"/>
      <c r="U58" s="8"/>
      <c r="V58" s="8"/>
      <c r="W58" s="8"/>
      <c r="X58" s="8"/>
      <c r="Y58" s="8"/>
      <c r="Z58" s="8"/>
      <c r="AA58" s="8"/>
      <c r="AB58" s="8"/>
      <c r="AC58" s="8"/>
      <c r="AD58" s="8"/>
      <c r="AE58" s="8"/>
      <c r="AF58" s="8"/>
      <c r="AG58" s="8"/>
      <c r="AH58" s="8"/>
      <c r="AI58" s="8"/>
      <c r="AJ58" s="8"/>
      <c r="AK58" s="8"/>
    </row>
    <row r="59" spans="1:37" s="255" customFormat="1">
      <c r="A59" s="253"/>
      <c r="B59" s="253"/>
      <c r="C59" s="253"/>
      <c r="D59" s="253"/>
      <c r="E59" s="253"/>
      <c r="F59" s="253"/>
      <c r="G59" s="253"/>
      <c r="H59" s="253"/>
      <c r="I59" s="253"/>
      <c r="J59" s="253"/>
      <c r="K59" s="253"/>
      <c r="L59" s="253"/>
      <c r="M59" s="253"/>
      <c r="N59" s="253"/>
      <c r="O59" s="8"/>
      <c r="P59" s="8"/>
      <c r="Q59" s="8"/>
      <c r="R59" s="8"/>
      <c r="S59" s="8"/>
      <c r="T59" s="8"/>
      <c r="U59" s="8"/>
      <c r="V59" s="8"/>
      <c r="W59" s="8"/>
      <c r="X59" s="8"/>
      <c r="Y59" s="8"/>
      <c r="Z59" s="8"/>
      <c r="AA59" s="8"/>
      <c r="AB59" s="8"/>
      <c r="AC59" s="8"/>
      <c r="AD59" s="8"/>
      <c r="AE59" s="8"/>
      <c r="AF59" s="8"/>
      <c r="AG59" s="8"/>
      <c r="AH59" s="8"/>
      <c r="AI59" s="8"/>
      <c r="AJ59" s="8"/>
      <c r="AK59" s="8"/>
    </row>
    <row r="60" spans="1:37" s="255" customFormat="1">
      <c r="A60" s="253"/>
      <c r="B60" s="253"/>
      <c r="C60" s="253"/>
      <c r="D60" s="253"/>
      <c r="E60" s="253"/>
      <c r="F60" s="253"/>
      <c r="G60" s="253"/>
      <c r="H60" s="253"/>
      <c r="I60" s="253"/>
      <c r="J60" s="253"/>
      <c r="K60" s="253"/>
      <c r="L60" s="253"/>
      <c r="M60" s="253"/>
      <c r="N60" s="253"/>
      <c r="O60" s="8"/>
      <c r="P60" s="8"/>
      <c r="Q60" s="8"/>
      <c r="R60" s="8"/>
      <c r="S60" s="8"/>
      <c r="T60" s="8"/>
      <c r="U60" s="8"/>
      <c r="V60" s="8"/>
      <c r="W60" s="8"/>
      <c r="X60" s="8"/>
      <c r="Y60" s="8"/>
      <c r="Z60" s="8"/>
      <c r="AA60" s="8"/>
      <c r="AB60" s="8"/>
      <c r="AC60" s="8"/>
      <c r="AD60" s="8"/>
      <c r="AE60" s="8"/>
      <c r="AF60" s="8"/>
      <c r="AG60" s="8"/>
      <c r="AH60" s="8"/>
      <c r="AI60" s="8"/>
      <c r="AJ60" s="8"/>
      <c r="AK60" s="8"/>
    </row>
    <row r="61" spans="1:37" s="255" customFormat="1">
      <c r="A61" s="253"/>
      <c r="B61" s="253"/>
      <c r="C61" s="253"/>
      <c r="D61" s="253"/>
      <c r="E61" s="253"/>
      <c r="F61" s="253"/>
      <c r="G61" s="253"/>
      <c r="H61" s="253"/>
      <c r="I61" s="253"/>
      <c r="J61" s="253"/>
      <c r="K61" s="253"/>
      <c r="L61" s="253"/>
      <c r="M61" s="253"/>
      <c r="N61" s="253"/>
      <c r="O61" s="8"/>
      <c r="P61" s="8"/>
      <c r="Q61" s="8"/>
      <c r="R61" s="8"/>
      <c r="S61" s="8"/>
      <c r="T61" s="8"/>
      <c r="U61" s="8"/>
      <c r="V61" s="8"/>
      <c r="W61" s="8"/>
      <c r="X61" s="8"/>
      <c r="Y61" s="8"/>
      <c r="Z61" s="8"/>
      <c r="AA61" s="8"/>
      <c r="AB61" s="8"/>
      <c r="AC61" s="8"/>
      <c r="AD61" s="8"/>
      <c r="AE61" s="8"/>
      <c r="AF61" s="8"/>
      <c r="AG61" s="8"/>
      <c r="AH61" s="8"/>
      <c r="AI61" s="8"/>
      <c r="AJ61" s="8"/>
      <c r="AK61" s="8"/>
    </row>
    <row r="62" spans="1:37" s="255" customFormat="1">
      <c r="A62" s="253"/>
      <c r="B62" s="253"/>
      <c r="C62" s="253"/>
      <c r="D62" s="253"/>
      <c r="E62" s="253"/>
      <c r="F62" s="253"/>
      <c r="G62" s="253"/>
      <c r="H62" s="253"/>
      <c r="I62" s="253"/>
      <c r="J62" s="253"/>
      <c r="K62" s="253"/>
      <c r="L62" s="253"/>
      <c r="M62" s="253"/>
      <c r="N62" s="253"/>
      <c r="O62" s="8"/>
      <c r="P62" s="8"/>
      <c r="Q62" s="8"/>
      <c r="R62" s="8"/>
      <c r="S62" s="8"/>
      <c r="T62" s="8"/>
      <c r="U62" s="8"/>
      <c r="V62" s="8"/>
      <c r="W62" s="8"/>
      <c r="X62" s="8"/>
      <c r="Y62" s="8"/>
      <c r="Z62" s="8"/>
      <c r="AA62" s="8"/>
      <c r="AB62" s="8"/>
      <c r="AC62" s="8"/>
      <c r="AD62" s="8"/>
      <c r="AE62" s="8"/>
      <c r="AF62" s="8"/>
      <c r="AG62" s="8"/>
      <c r="AH62" s="8"/>
      <c r="AI62" s="8"/>
      <c r="AJ62" s="8"/>
      <c r="AK62" s="8"/>
    </row>
    <row r="63" spans="1:37" s="255" customFormat="1">
      <c r="A63" s="253"/>
      <c r="B63" s="253"/>
      <c r="C63" s="253"/>
      <c r="D63" s="253"/>
      <c r="E63" s="253"/>
      <c r="F63" s="253"/>
      <c r="G63" s="253"/>
      <c r="H63" s="253"/>
      <c r="I63" s="253"/>
      <c r="J63" s="253"/>
      <c r="K63" s="253"/>
      <c r="L63" s="253"/>
      <c r="M63" s="253"/>
      <c r="N63" s="253"/>
      <c r="O63" s="8"/>
      <c r="P63" s="8"/>
      <c r="Q63" s="8"/>
      <c r="R63" s="8"/>
      <c r="S63" s="8"/>
      <c r="T63" s="8"/>
      <c r="U63" s="8"/>
      <c r="V63" s="8"/>
      <c r="W63" s="8"/>
      <c r="X63" s="8"/>
      <c r="Y63" s="8"/>
      <c r="Z63" s="8"/>
      <c r="AA63" s="8"/>
      <c r="AB63" s="8"/>
      <c r="AC63" s="8"/>
      <c r="AD63" s="8"/>
      <c r="AE63" s="8"/>
      <c r="AF63" s="8"/>
      <c r="AG63" s="8"/>
      <c r="AH63" s="8"/>
      <c r="AI63" s="8"/>
      <c r="AJ63" s="8"/>
      <c r="AK63" s="8"/>
    </row>
    <row r="64" spans="1:37" s="255" customFormat="1">
      <c r="A64" s="253"/>
      <c r="B64" s="253"/>
      <c r="C64" s="253"/>
      <c r="D64" s="253"/>
      <c r="E64" s="253"/>
      <c r="F64" s="253"/>
      <c r="G64" s="253"/>
      <c r="H64" s="253"/>
      <c r="I64" s="253"/>
      <c r="J64" s="253"/>
      <c r="K64" s="253"/>
      <c r="L64" s="253"/>
      <c r="M64" s="253"/>
      <c r="N64" s="253"/>
      <c r="O64" s="8"/>
      <c r="P64" s="8"/>
      <c r="Q64" s="8"/>
      <c r="R64" s="8"/>
      <c r="S64" s="8"/>
      <c r="T64" s="8"/>
      <c r="U64" s="8"/>
      <c r="V64" s="8"/>
      <c r="W64" s="8"/>
      <c r="X64" s="8"/>
      <c r="Y64" s="8"/>
      <c r="Z64" s="8"/>
      <c r="AA64" s="8"/>
      <c r="AB64" s="8"/>
      <c r="AC64" s="8"/>
      <c r="AD64" s="8"/>
      <c r="AE64" s="8"/>
      <c r="AF64" s="8"/>
      <c r="AG64" s="8"/>
      <c r="AH64" s="8"/>
      <c r="AI64" s="8"/>
      <c r="AJ64" s="8"/>
      <c r="AK64" s="8"/>
    </row>
    <row r="65" spans="1:37" s="255" customFormat="1">
      <c r="A65" s="253"/>
      <c r="B65" s="253"/>
      <c r="C65" s="253"/>
      <c r="D65" s="253"/>
      <c r="E65" s="253"/>
      <c r="F65" s="253"/>
      <c r="G65" s="253"/>
      <c r="H65" s="253"/>
      <c r="I65" s="253"/>
      <c r="J65" s="253"/>
      <c r="K65" s="253"/>
      <c r="L65" s="253"/>
      <c r="M65" s="253"/>
      <c r="N65" s="253"/>
      <c r="O65" s="8"/>
      <c r="P65" s="8"/>
      <c r="Q65" s="8"/>
      <c r="R65" s="8"/>
      <c r="S65" s="8"/>
      <c r="T65" s="8"/>
      <c r="U65" s="8"/>
      <c r="V65" s="8"/>
      <c r="W65" s="8"/>
      <c r="X65" s="8"/>
      <c r="Y65" s="8"/>
      <c r="Z65" s="8"/>
      <c r="AA65" s="8"/>
      <c r="AB65" s="8"/>
      <c r="AC65" s="8"/>
      <c r="AD65" s="8"/>
      <c r="AE65" s="8"/>
      <c r="AF65" s="8"/>
      <c r="AG65" s="8"/>
      <c r="AH65" s="8"/>
      <c r="AI65" s="8"/>
      <c r="AJ65" s="8"/>
      <c r="AK65" s="8"/>
    </row>
    <row r="66" spans="1:37" s="255" customFormat="1">
      <c r="A66" s="253"/>
      <c r="B66" s="253"/>
      <c r="C66" s="253"/>
      <c r="D66" s="253"/>
      <c r="E66" s="253"/>
      <c r="F66" s="253"/>
      <c r="G66" s="253"/>
      <c r="H66" s="253"/>
      <c r="I66" s="253"/>
      <c r="J66" s="253"/>
      <c r="K66" s="253"/>
      <c r="L66" s="253"/>
      <c r="M66" s="253"/>
      <c r="N66" s="253"/>
      <c r="O66" s="8"/>
      <c r="P66" s="8"/>
      <c r="Q66" s="8"/>
      <c r="R66" s="8"/>
      <c r="S66" s="8"/>
      <c r="T66" s="8"/>
      <c r="U66" s="8"/>
      <c r="V66" s="8"/>
      <c r="W66" s="8"/>
      <c r="X66" s="8"/>
      <c r="Y66" s="8"/>
      <c r="Z66" s="8"/>
      <c r="AA66" s="8"/>
      <c r="AB66" s="8"/>
      <c r="AC66" s="8"/>
      <c r="AD66" s="8"/>
      <c r="AE66" s="8"/>
      <c r="AF66" s="8"/>
      <c r="AG66" s="8"/>
      <c r="AH66" s="8"/>
      <c r="AI66" s="8"/>
      <c r="AJ66" s="8"/>
      <c r="AK66" s="8"/>
    </row>
    <row r="67" spans="1:37" s="255" customFormat="1">
      <c r="A67" s="253"/>
      <c r="B67" s="253"/>
      <c r="C67" s="253"/>
      <c r="D67" s="253"/>
      <c r="E67" s="253"/>
      <c r="F67" s="253"/>
      <c r="G67" s="253"/>
      <c r="H67" s="253"/>
      <c r="I67" s="253"/>
      <c r="J67" s="253"/>
      <c r="K67" s="253"/>
      <c r="L67" s="253"/>
      <c r="M67" s="253"/>
      <c r="N67" s="253"/>
      <c r="O67" s="8"/>
      <c r="P67" s="8"/>
      <c r="Q67" s="8"/>
      <c r="R67" s="8"/>
      <c r="S67" s="8"/>
      <c r="T67" s="8"/>
      <c r="U67" s="8"/>
      <c r="V67" s="8"/>
      <c r="W67" s="8"/>
      <c r="X67" s="8"/>
      <c r="Y67" s="8"/>
      <c r="Z67" s="8"/>
      <c r="AA67" s="8"/>
      <c r="AB67" s="8"/>
      <c r="AC67" s="8"/>
      <c r="AD67" s="8"/>
      <c r="AE67" s="8"/>
      <c r="AF67" s="8"/>
      <c r="AG67" s="8"/>
      <c r="AH67" s="8"/>
      <c r="AI67" s="8"/>
      <c r="AJ67" s="8"/>
      <c r="AK67" s="8"/>
    </row>
    <row r="68" spans="1:37" s="255" customFormat="1">
      <c r="A68" s="253"/>
      <c r="B68" s="253"/>
      <c r="C68" s="253"/>
      <c r="D68" s="253"/>
      <c r="E68" s="253"/>
      <c r="F68" s="253"/>
      <c r="G68" s="253"/>
      <c r="H68" s="253"/>
      <c r="I68" s="253"/>
      <c r="J68" s="253"/>
      <c r="K68" s="253"/>
      <c r="L68" s="253"/>
      <c r="M68" s="253"/>
      <c r="N68" s="253"/>
      <c r="O68" s="8"/>
      <c r="P68" s="8"/>
      <c r="Q68" s="8"/>
      <c r="R68" s="8"/>
      <c r="S68" s="8"/>
      <c r="T68" s="8"/>
      <c r="U68" s="8"/>
      <c r="V68" s="8"/>
      <c r="W68" s="8"/>
      <c r="X68" s="8"/>
      <c r="Y68" s="8"/>
      <c r="Z68" s="8"/>
      <c r="AA68" s="8"/>
      <c r="AB68" s="8"/>
      <c r="AC68" s="8"/>
      <c r="AD68" s="8"/>
      <c r="AE68" s="8"/>
      <c r="AF68" s="8"/>
      <c r="AG68" s="8"/>
      <c r="AH68" s="8"/>
      <c r="AI68" s="8"/>
      <c r="AJ68" s="8"/>
      <c r="AK68" s="8"/>
    </row>
    <row r="69" spans="1:37" s="255" customFormat="1">
      <c r="A69" s="253"/>
      <c r="B69" s="253"/>
      <c r="C69" s="253"/>
      <c r="D69" s="253"/>
      <c r="E69" s="253"/>
      <c r="F69" s="253"/>
      <c r="G69" s="253"/>
      <c r="H69" s="253"/>
      <c r="I69" s="253"/>
      <c r="J69" s="253"/>
      <c r="K69" s="253"/>
      <c r="L69" s="253"/>
      <c r="M69" s="253"/>
      <c r="N69" s="253"/>
      <c r="O69" s="8"/>
      <c r="P69" s="8"/>
      <c r="Q69" s="8"/>
      <c r="R69" s="8"/>
      <c r="S69" s="8"/>
      <c r="T69" s="8"/>
      <c r="U69" s="8"/>
      <c r="V69" s="8"/>
      <c r="W69" s="8"/>
      <c r="X69" s="8"/>
      <c r="Y69" s="8"/>
      <c r="Z69" s="8"/>
      <c r="AA69" s="8"/>
      <c r="AB69" s="8"/>
      <c r="AC69" s="8"/>
      <c r="AD69" s="8"/>
      <c r="AE69" s="8"/>
      <c r="AF69" s="8"/>
      <c r="AG69" s="8"/>
      <c r="AH69" s="8"/>
      <c r="AI69" s="8"/>
      <c r="AJ69" s="8"/>
      <c r="AK69" s="8"/>
    </row>
    <row r="70" spans="1:37" s="255" customFormat="1">
      <c r="A70" s="253"/>
      <c r="B70" s="253"/>
      <c r="C70" s="253"/>
      <c r="D70" s="253"/>
      <c r="E70" s="253"/>
      <c r="F70" s="253"/>
      <c r="G70" s="253"/>
      <c r="H70" s="253"/>
      <c r="I70" s="253"/>
      <c r="J70" s="253"/>
      <c r="K70" s="253"/>
      <c r="L70" s="253"/>
      <c r="M70" s="253"/>
      <c r="N70" s="253"/>
      <c r="O70" s="8"/>
      <c r="P70" s="8"/>
      <c r="Q70" s="8"/>
      <c r="R70" s="8"/>
      <c r="S70" s="8"/>
      <c r="T70" s="8"/>
      <c r="U70" s="8"/>
      <c r="V70" s="8"/>
      <c r="W70" s="8"/>
      <c r="X70" s="8"/>
      <c r="Y70" s="8"/>
      <c r="Z70" s="8"/>
      <c r="AA70" s="8"/>
      <c r="AB70" s="8"/>
      <c r="AC70" s="8"/>
      <c r="AD70" s="8"/>
      <c r="AE70" s="8"/>
      <c r="AF70" s="8"/>
      <c r="AG70" s="8"/>
      <c r="AH70" s="8"/>
      <c r="AI70" s="8"/>
      <c r="AJ70" s="8"/>
      <c r="AK70" s="8"/>
    </row>
    <row r="71" spans="1:37" s="255" customFormat="1">
      <c r="A71" s="253"/>
      <c r="B71" s="253"/>
      <c r="C71" s="253"/>
      <c r="D71" s="253"/>
      <c r="E71" s="253"/>
      <c r="F71" s="253"/>
      <c r="G71" s="253"/>
      <c r="H71" s="253"/>
      <c r="I71" s="253"/>
      <c r="J71" s="253"/>
      <c r="K71" s="253"/>
      <c r="L71" s="253"/>
      <c r="M71" s="253"/>
      <c r="N71" s="253"/>
      <c r="O71" s="8"/>
      <c r="P71" s="8"/>
      <c r="Q71" s="8"/>
      <c r="R71" s="8"/>
      <c r="S71" s="8"/>
      <c r="T71" s="8"/>
      <c r="U71" s="8"/>
      <c r="V71" s="8"/>
      <c r="W71" s="8"/>
      <c r="X71" s="8"/>
      <c r="Y71" s="8"/>
      <c r="Z71" s="8"/>
      <c r="AA71" s="8"/>
      <c r="AB71" s="8"/>
      <c r="AC71" s="8"/>
      <c r="AD71" s="8"/>
      <c r="AE71" s="8"/>
      <c r="AF71" s="8"/>
      <c r="AG71" s="8"/>
      <c r="AH71" s="8"/>
      <c r="AI71" s="8"/>
      <c r="AJ71" s="8"/>
      <c r="AK71" s="8"/>
    </row>
    <row r="72" spans="1:37" s="255" customFormat="1">
      <c r="A72" s="253"/>
      <c r="B72" s="253"/>
      <c r="C72" s="253"/>
      <c r="D72" s="253"/>
      <c r="E72" s="253"/>
      <c r="F72" s="253"/>
      <c r="G72" s="253"/>
      <c r="H72" s="253"/>
      <c r="I72" s="253"/>
      <c r="J72" s="253"/>
      <c r="K72" s="253"/>
      <c r="L72" s="253"/>
      <c r="M72" s="253"/>
      <c r="N72" s="253"/>
      <c r="O72" s="8"/>
      <c r="P72" s="8"/>
      <c r="Q72" s="8"/>
      <c r="R72" s="8"/>
      <c r="S72" s="8"/>
      <c r="T72" s="8"/>
      <c r="U72" s="8"/>
      <c r="V72" s="8"/>
      <c r="W72" s="8"/>
      <c r="X72" s="8"/>
      <c r="Y72" s="8"/>
      <c r="Z72" s="8"/>
      <c r="AA72" s="8"/>
      <c r="AB72" s="8"/>
      <c r="AC72" s="8"/>
      <c r="AD72" s="8"/>
      <c r="AE72" s="8"/>
      <c r="AF72" s="8"/>
      <c r="AG72" s="8"/>
      <c r="AH72" s="8"/>
      <c r="AI72" s="8"/>
      <c r="AJ72" s="8"/>
      <c r="AK72" s="8"/>
    </row>
    <row r="73" spans="1:37" s="255" customFormat="1">
      <c r="A73" s="253"/>
      <c r="B73" s="253"/>
      <c r="C73" s="253"/>
      <c r="D73" s="253"/>
      <c r="E73" s="253"/>
      <c r="F73" s="253"/>
      <c r="G73" s="253"/>
      <c r="H73" s="253"/>
      <c r="I73" s="253"/>
      <c r="J73" s="253"/>
      <c r="K73" s="253"/>
      <c r="L73" s="253"/>
      <c r="M73" s="253"/>
      <c r="N73" s="253"/>
      <c r="O73" s="8"/>
      <c r="P73" s="8"/>
      <c r="Q73" s="8"/>
      <c r="R73" s="8"/>
      <c r="S73" s="8"/>
      <c r="T73" s="8"/>
      <c r="U73" s="8"/>
      <c r="V73" s="8"/>
      <c r="W73" s="8"/>
      <c r="X73" s="8"/>
      <c r="Y73" s="8"/>
      <c r="Z73" s="8"/>
      <c r="AA73" s="8"/>
      <c r="AB73" s="8"/>
      <c r="AC73" s="8"/>
      <c r="AD73" s="8"/>
      <c r="AE73" s="8"/>
      <c r="AF73" s="8"/>
      <c r="AG73" s="8"/>
      <c r="AH73" s="8"/>
      <c r="AI73" s="8"/>
      <c r="AJ73" s="8"/>
      <c r="AK73" s="8"/>
    </row>
    <row r="74" spans="1:37" s="255" customFormat="1">
      <c r="A74" s="253"/>
      <c r="B74" s="253"/>
      <c r="C74" s="253"/>
      <c r="D74" s="253"/>
      <c r="E74" s="253"/>
      <c r="F74" s="253"/>
      <c r="G74" s="253"/>
      <c r="H74" s="253"/>
      <c r="I74" s="253"/>
      <c r="J74" s="253"/>
      <c r="K74" s="253"/>
      <c r="L74" s="253"/>
      <c r="M74" s="253"/>
      <c r="N74" s="253"/>
      <c r="O74" s="8"/>
      <c r="P74" s="8"/>
      <c r="Q74" s="8"/>
      <c r="R74" s="8"/>
      <c r="S74" s="8"/>
      <c r="T74" s="8"/>
      <c r="U74" s="8"/>
      <c r="V74" s="8"/>
      <c r="W74" s="8"/>
      <c r="X74" s="8"/>
      <c r="Y74" s="8"/>
      <c r="Z74" s="8"/>
      <c r="AA74" s="8"/>
      <c r="AB74" s="8"/>
      <c r="AC74" s="8"/>
      <c r="AD74" s="8"/>
      <c r="AE74" s="8"/>
      <c r="AF74" s="8"/>
      <c r="AG74" s="8"/>
      <c r="AH74" s="8"/>
      <c r="AI74" s="8"/>
      <c r="AJ74" s="8"/>
      <c r="AK74" s="8"/>
    </row>
    <row r="75" spans="1:37" s="255" customFormat="1">
      <c r="A75" s="253"/>
      <c r="B75" s="253"/>
      <c r="C75" s="253"/>
      <c r="D75" s="253"/>
      <c r="E75" s="253"/>
      <c r="F75" s="253"/>
      <c r="G75" s="253"/>
      <c r="H75" s="253"/>
      <c r="I75" s="253"/>
      <c r="J75" s="253"/>
      <c r="K75" s="253"/>
      <c r="L75" s="253"/>
      <c r="M75" s="253"/>
      <c r="N75" s="253"/>
      <c r="O75" s="8"/>
      <c r="P75" s="8"/>
      <c r="Q75" s="8"/>
      <c r="R75" s="8"/>
      <c r="S75" s="8"/>
      <c r="T75" s="8"/>
      <c r="U75" s="8"/>
      <c r="V75" s="8"/>
      <c r="W75" s="8"/>
      <c r="X75" s="8"/>
      <c r="Y75" s="8"/>
      <c r="Z75" s="8"/>
      <c r="AA75" s="8"/>
      <c r="AB75" s="8"/>
      <c r="AC75" s="8"/>
      <c r="AD75" s="8"/>
      <c r="AE75" s="8"/>
      <c r="AF75" s="8"/>
      <c r="AG75" s="8"/>
      <c r="AH75" s="8"/>
      <c r="AI75" s="8"/>
      <c r="AJ75" s="8"/>
      <c r="AK75" s="8"/>
    </row>
    <row r="76" spans="1:37" s="255" customFormat="1">
      <c r="A76" s="253"/>
      <c r="B76" s="253"/>
      <c r="C76" s="253"/>
      <c r="D76" s="253"/>
      <c r="E76" s="253"/>
      <c r="F76" s="253"/>
      <c r="G76" s="253"/>
      <c r="H76" s="253"/>
      <c r="I76" s="253"/>
      <c r="J76" s="253"/>
      <c r="K76" s="253"/>
      <c r="L76" s="253"/>
      <c r="M76" s="253"/>
      <c r="N76" s="253"/>
      <c r="O76" s="8"/>
      <c r="P76" s="8"/>
      <c r="Q76" s="8"/>
      <c r="R76" s="8"/>
      <c r="S76" s="8"/>
      <c r="T76" s="8"/>
      <c r="U76" s="8"/>
      <c r="V76" s="8"/>
      <c r="W76" s="8"/>
      <c r="X76" s="8"/>
      <c r="Y76" s="8"/>
      <c r="Z76" s="8"/>
      <c r="AA76" s="8"/>
      <c r="AB76" s="8"/>
      <c r="AC76" s="8"/>
      <c r="AD76" s="8"/>
      <c r="AE76" s="8"/>
      <c r="AF76" s="8"/>
      <c r="AG76" s="8"/>
      <c r="AH76" s="8"/>
      <c r="AI76" s="8"/>
      <c r="AJ76" s="8"/>
      <c r="AK76" s="8"/>
    </row>
    <row r="77" spans="1:37" s="255" customFormat="1">
      <c r="A77" s="253"/>
      <c r="B77" s="253"/>
      <c r="C77" s="253"/>
      <c r="D77" s="253"/>
      <c r="E77" s="253"/>
      <c r="F77" s="253"/>
      <c r="G77" s="253"/>
      <c r="H77" s="253"/>
      <c r="I77" s="253"/>
      <c r="J77" s="253"/>
      <c r="K77" s="253"/>
      <c r="L77" s="253"/>
      <c r="M77" s="253"/>
      <c r="N77" s="253"/>
      <c r="O77" s="8"/>
      <c r="P77" s="8"/>
      <c r="Q77" s="8"/>
      <c r="R77" s="8"/>
      <c r="S77" s="8"/>
      <c r="T77" s="8"/>
      <c r="U77" s="8"/>
      <c r="V77" s="8"/>
      <c r="W77" s="8"/>
      <c r="X77" s="8"/>
      <c r="Y77" s="8"/>
      <c r="Z77" s="8"/>
      <c r="AA77" s="8"/>
      <c r="AB77" s="8"/>
      <c r="AC77" s="8"/>
      <c r="AD77" s="8"/>
      <c r="AE77" s="8"/>
      <c r="AF77" s="8"/>
      <c r="AG77" s="8"/>
      <c r="AH77" s="8"/>
      <c r="AI77" s="8"/>
      <c r="AJ77" s="8"/>
      <c r="AK77" s="8"/>
    </row>
    <row r="78" spans="1:37" s="255" customFormat="1">
      <c r="A78" s="253"/>
      <c r="B78" s="253"/>
      <c r="C78" s="253"/>
      <c r="D78" s="253"/>
      <c r="E78" s="253"/>
      <c r="F78" s="253"/>
      <c r="G78" s="253"/>
      <c r="H78" s="253"/>
      <c r="I78" s="253"/>
      <c r="J78" s="253"/>
      <c r="K78" s="253"/>
      <c r="L78" s="253"/>
      <c r="M78" s="253"/>
      <c r="N78" s="253"/>
      <c r="O78" s="8"/>
      <c r="P78" s="8"/>
      <c r="Q78" s="8"/>
      <c r="R78" s="8"/>
      <c r="S78" s="8"/>
      <c r="T78" s="8"/>
      <c r="U78" s="8"/>
      <c r="V78" s="8"/>
      <c r="W78" s="8"/>
      <c r="X78" s="8"/>
      <c r="Y78" s="8"/>
      <c r="Z78" s="8"/>
      <c r="AA78" s="8"/>
      <c r="AB78" s="8"/>
      <c r="AC78" s="8"/>
      <c r="AD78" s="8"/>
      <c r="AE78" s="8"/>
      <c r="AF78" s="8"/>
      <c r="AG78" s="8"/>
      <c r="AH78" s="8"/>
      <c r="AI78" s="8"/>
      <c r="AJ78" s="8"/>
      <c r="AK78" s="8"/>
    </row>
    <row r="79" spans="1:37" s="255" customFormat="1">
      <c r="A79" s="253"/>
      <c r="B79" s="253"/>
      <c r="C79" s="253"/>
      <c r="D79" s="253"/>
      <c r="E79" s="253"/>
      <c r="F79" s="253"/>
      <c r="G79" s="253"/>
      <c r="H79" s="253"/>
      <c r="I79" s="253"/>
      <c r="J79" s="253"/>
      <c r="K79" s="253"/>
      <c r="L79" s="253"/>
      <c r="M79" s="253"/>
      <c r="N79" s="253"/>
      <c r="O79" s="8"/>
      <c r="P79" s="8"/>
      <c r="Q79" s="8"/>
      <c r="R79" s="8"/>
      <c r="S79" s="8"/>
      <c r="T79" s="8"/>
      <c r="U79" s="8"/>
      <c r="V79" s="8"/>
      <c r="W79" s="8"/>
      <c r="X79" s="8"/>
      <c r="Y79" s="8"/>
      <c r="Z79" s="8"/>
      <c r="AA79" s="8"/>
      <c r="AB79" s="8"/>
      <c r="AC79" s="8"/>
      <c r="AD79" s="8"/>
      <c r="AE79" s="8"/>
      <c r="AF79" s="8"/>
      <c r="AG79" s="8"/>
      <c r="AH79" s="8"/>
      <c r="AI79" s="8"/>
      <c r="AJ79" s="8"/>
      <c r="AK79" s="8"/>
    </row>
    <row r="80" spans="1:37" s="255" customFormat="1">
      <c r="A80" s="253"/>
      <c r="B80" s="253"/>
      <c r="C80" s="253"/>
      <c r="D80" s="253"/>
      <c r="E80" s="253"/>
      <c r="F80" s="253"/>
      <c r="G80" s="253"/>
      <c r="H80" s="253"/>
      <c r="I80" s="253"/>
      <c r="J80" s="253"/>
      <c r="K80" s="253"/>
      <c r="L80" s="253"/>
      <c r="M80" s="253"/>
      <c r="N80" s="253"/>
      <c r="O80" s="8"/>
      <c r="P80" s="8"/>
      <c r="Q80" s="8"/>
      <c r="R80" s="8"/>
      <c r="S80" s="8"/>
      <c r="T80" s="8"/>
      <c r="U80" s="8"/>
      <c r="V80" s="8"/>
      <c r="W80" s="8"/>
      <c r="X80" s="8"/>
      <c r="Y80" s="8"/>
      <c r="Z80" s="8"/>
      <c r="AA80" s="8"/>
      <c r="AB80" s="8"/>
      <c r="AC80" s="8"/>
      <c r="AD80" s="8"/>
      <c r="AE80" s="8"/>
      <c r="AF80" s="8"/>
      <c r="AG80" s="8"/>
      <c r="AH80" s="8"/>
      <c r="AI80" s="8"/>
      <c r="AJ80" s="8"/>
      <c r="AK80" s="8"/>
    </row>
    <row r="81" spans="1:37" s="255" customFormat="1">
      <c r="A81" s="253"/>
      <c r="B81" s="253"/>
      <c r="C81" s="253"/>
      <c r="D81" s="253"/>
      <c r="E81" s="253"/>
      <c r="F81" s="253"/>
      <c r="G81" s="253"/>
      <c r="H81" s="253"/>
      <c r="I81" s="253"/>
      <c r="J81" s="253"/>
      <c r="K81" s="253"/>
      <c r="L81" s="253"/>
      <c r="M81" s="253"/>
      <c r="N81" s="253"/>
      <c r="O81" s="8"/>
      <c r="P81" s="8"/>
      <c r="Q81" s="8"/>
      <c r="R81" s="8"/>
      <c r="S81" s="8"/>
      <c r="T81" s="8"/>
      <c r="U81" s="8"/>
      <c r="V81" s="8"/>
      <c r="W81" s="8"/>
      <c r="X81" s="8"/>
      <c r="Y81" s="8"/>
      <c r="Z81" s="8"/>
      <c r="AA81" s="8"/>
      <c r="AB81" s="8"/>
      <c r="AC81" s="8"/>
      <c r="AD81" s="8"/>
      <c r="AE81" s="8"/>
      <c r="AF81" s="8"/>
      <c r="AG81" s="8"/>
      <c r="AH81" s="8"/>
      <c r="AI81" s="8"/>
      <c r="AJ81" s="8"/>
      <c r="AK81" s="8"/>
    </row>
    <row r="82" spans="1:37" s="255" customFormat="1">
      <c r="A82" s="253"/>
      <c r="B82" s="253"/>
      <c r="C82" s="253"/>
      <c r="D82" s="253"/>
      <c r="E82" s="253"/>
      <c r="F82" s="253"/>
      <c r="G82" s="253"/>
      <c r="H82" s="253"/>
      <c r="I82" s="253"/>
      <c r="J82" s="253"/>
      <c r="K82" s="253"/>
      <c r="L82" s="253"/>
      <c r="M82" s="253"/>
      <c r="N82" s="253"/>
      <c r="O82" s="8"/>
      <c r="P82" s="8"/>
      <c r="Q82" s="8"/>
      <c r="R82" s="8"/>
      <c r="S82" s="8"/>
      <c r="T82" s="8"/>
      <c r="U82" s="8"/>
      <c r="V82" s="8"/>
      <c r="W82" s="8"/>
      <c r="X82" s="8"/>
      <c r="Y82" s="8"/>
      <c r="Z82" s="8"/>
      <c r="AA82" s="8"/>
      <c r="AB82" s="8"/>
      <c r="AC82" s="8"/>
      <c r="AD82" s="8"/>
      <c r="AE82" s="8"/>
      <c r="AF82" s="8"/>
      <c r="AG82" s="8"/>
      <c r="AH82" s="8"/>
      <c r="AI82" s="8"/>
      <c r="AJ82" s="8"/>
      <c r="AK82" s="8"/>
    </row>
    <row r="83" spans="1:37" s="255" customFormat="1">
      <c r="A83" s="253"/>
      <c r="B83" s="253"/>
      <c r="C83" s="253"/>
      <c r="D83" s="253"/>
      <c r="E83" s="253"/>
      <c r="F83" s="253"/>
      <c r="G83" s="253"/>
      <c r="H83" s="253"/>
      <c r="I83" s="253"/>
      <c r="J83" s="253"/>
      <c r="K83" s="253"/>
      <c r="L83" s="253"/>
      <c r="M83" s="253"/>
      <c r="N83" s="253"/>
      <c r="O83" s="8"/>
      <c r="P83" s="8"/>
      <c r="Q83" s="8"/>
      <c r="R83" s="8"/>
      <c r="S83" s="8"/>
      <c r="T83" s="8"/>
      <c r="U83" s="8"/>
      <c r="V83" s="8"/>
      <c r="W83" s="8"/>
      <c r="X83" s="8"/>
      <c r="Y83" s="8"/>
      <c r="Z83" s="8"/>
      <c r="AA83" s="8"/>
      <c r="AB83" s="8"/>
      <c r="AC83" s="8"/>
      <c r="AD83" s="8"/>
      <c r="AE83" s="8"/>
      <c r="AF83" s="8"/>
      <c r="AG83" s="8"/>
      <c r="AH83" s="8"/>
      <c r="AI83" s="8"/>
      <c r="AJ83" s="8"/>
      <c r="AK83" s="8"/>
    </row>
    <row r="84" spans="1:37" s="255" customFormat="1">
      <c r="A84" s="253"/>
      <c r="B84" s="253"/>
      <c r="C84" s="253"/>
      <c r="D84" s="253"/>
      <c r="E84" s="253"/>
      <c r="F84" s="253"/>
      <c r="G84" s="253"/>
      <c r="H84" s="253"/>
      <c r="I84" s="253"/>
      <c r="J84" s="253"/>
      <c r="K84" s="253"/>
      <c r="L84" s="253"/>
      <c r="M84" s="253"/>
      <c r="N84" s="253"/>
      <c r="O84" s="8"/>
      <c r="P84" s="8"/>
      <c r="Q84" s="8"/>
      <c r="R84" s="8"/>
      <c r="S84" s="8"/>
      <c r="T84" s="8"/>
      <c r="U84" s="8"/>
      <c r="V84" s="8"/>
      <c r="W84" s="8"/>
      <c r="X84" s="8"/>
      <c r="Y84" s="8"/>
      <c r="Z84" s="8"/>
      <c r="AA84" s="8"/>
      <c r="AB84" s="8"/>
      <c r="AC84" s="8"/>
      <c r="AD84" s="8"/>
      <c r="AE84" s="8"/>
      <c r="AF84" s="8"/>
      <c r="AG84" s="8"/>
      <c r="AH84" s="8"/>
      <c r="AI84" s="8"/>
      <c r="AJ84" s="8"/>
      <c r="AK84" s="8"/>
    </row>
    <row r="85" spans="1:37" s="255" customFormat="1">
      <c r="A85" s="253"/>
      <c r="B85" s="253"/>
      <c r="C85" s="253"/>
      <c r="D85" s="253"/>
      <c r="E85" s="253"/>
      <c r="F85" s="253"/>
      <c r="G85" s="253"/>
      <c r="H85" s="253"/>
      <c r="I85" s="253"/>
      <c r="J85" s="253"/>
      <c r="K85" s="253"/>
      <c r="L85" s="253"/>
      <c r="M85" s="253"/>
      <c r="N85" s="253"/>
      <c r="O85" s="8"/>
      <c r="P85" s="8"/>
      <c r="Q85" s="8"/>
      <c r="R85" s="8"/>
      <c r="S85" s="8"/>
      <c r="T85" s="8"/>
      <c r="U85" s="8"/>
      <c r="V85" s="8"/>
      <c r="W85" s="8"/>
      <c r="X85" s="8"/>
      <c r="Y85" s="8"/>
      <c r="Z85" s="8"/>
      <c r="AA85" s="8"/>
      <c r="AB85" s="8"/>
      <c r="AC85" s="8"/>
      <c r="AD85" s="8"/>
      <c r="AE85" s="8"/>
      <c r="AF85" s="8"/>
      <c r="AG85" s="8"/>
      <c r="AH85" s="8"/>
      <c r="AI85" s="8"/>
      <c r="AJ85" s="8"/>
      <c r="AK85" s="8"/>
    </row>
    <row r="86" spans="1:37" s="255" customFormat="1">
      <c r="A86" s="253"/>
      <c r="B86" s="253"/>
      <c r="C86" s="253"/>
      <c r="D86" s="253"/>
      <c r="E86" s="253"/>
      <c r="F86" s="253"/>
      <c r="G86" s="253"/>
      <c r="H86" s="253"/>
      <c r="I86" s="253"/>
      <c r="J86" s="253"/>
      <c r="K86" s="253"/>
      <c r="L86" s="253"/>
      <c r="M86" s="253"/>
      <c r="N86" s="253"/>
      <c r="O86" s="8"/>
      <c r="P86" s="8"/>
      <c r="Q86" s="8"/>
      <c r="R86" s="8"/>
      <c r="S86" s="8"/>
      <c r="T86" s="8"/>
      <c r="U86" s="8"/>
      <c r="V86" s="8"/>
      <c r="W86" s="8"/>
      <c r="X86" s="8"/>
      <c r="Y86" s="8"/>
      <c r="Z86" s="8"/>
      <c r="AA86" s="8"/>
      <c r="AB86" s="8"/>
      <c r="AC86" s="8"/>
      <c r="AD86" s="8"/>
      <c r="AE86" s="8"/>
      <c r="AF86" s="8"/>
      <c r="AG86" s="8"/>
      <c r="AH86" s="8"/>
      <c r="AI86" s="8"/>
      <c r="AJ86" s="8"/>
      <c r="AK86" s="8"/>
    </row>
    <row r="87" spans="1:37" s="255" customFormat="1">
      <c r="A87" s="253"/>
      <c r="B87" s="253"/>
      <c r="C87" s="253"/>
      <c r="D87" s="253"/>
      <c r="E87" s="253"/>
      <c r="F87" s="253"/>
      <c r="G87" s="253"/>
      <c r="H87" s="253"/>
      <c r="I87" s="253"/>
      <c r="J87" s="253"/>
      <c r="K87" s="253"/>
      <c r="L87" s="253"/>
      <c r="M87" s="253"/>
      <c r="N87" s="253"/>
      <c r="O87" s="8"/>
      <c r="P87" s="8"/>
      <c r="Q87" s="8"/>
      <c r="R87" s="8"/>
      <c r="S87" s="8"/>
      <c r="T87" s="8"/>
      <c r="U87" s="8"/>
      <c r="V87" s="8"/>
      <c r="W87" s="8"/>
      <c r="X87" s="8"/>
      <c r="Y87" s="8"/>
      <c r="Z87" s="8"/>
      <c r="AA87" s="8"/>
      <c r="AB87" s="8"/>
      <c r="AC87" s="8"/>
      <c r="AD87" s="8"/>
      <c r="AE87" s="8"/>
      <c r="AF87" s="8"/>
      <c r="AG87" s="8"/>
      <c r="AH87" s="8"/>
      <c r="AI87" s="8"/>
      <c r="AJ87" s="8"/>
      <c r="AK87" s="8"/>
    </row>
    <row r="88" spans="1:37" s="255" customFormat="1">
      <c r="A88" s="253"/>
      <c r="B88" s="253"/>
      <c r="C88" s="253"/>
      <c r="D88" s="253"/>
      <c r="E88" s="253"/>
      <c r="F88" s="253"/>
      <c r="G88" s="253"/>
      <c r="H88" s="253"/>
      <c r="I88" s="253"/>
      <c r="J88" s="253"/>
      <c r="K88" s="253"/>
      <c r="L88" s="253"/>
      <c r="M88" s="253"/>
      <c r="N88" s="253"/>
      <c r="O88" s="8"/>
      <c r="P88" s="8"/>
      <c r="Q88" s="8"/>
      <c r="R88" s="8"/>
      <c r="S88" s="8"/>
      <c r="T88" s="8"/>
      <c r="U88" s="8"/>
      <c r="V88" s="8"/>
      <c r="W88" s="8"/>
      <c r="X88" s="8"/>
      <c r="Y88" s="8"/>
      <c r="Z88" s="8"/>
      <c r="AA88" s="8"/>
      <c r="AB88" s="8"/>
      <c r="AC88" s="8"/>
      <c r="AD88" s="8"/>
      <c r="AE88" s="8"/>
      <c r="AF88" s="8"/>
      <c r="AG88" s="8"/>
      <c r="AH88" s="8"/>
      <c r="AI88" s="8"/>
      <c r="AJ88" s="8"/>
      <c r="AK88" s="8"/>
    </row>
    <row r="89" spans="1:37" s="255" customFormat="1">
      <c r="A89" s="253"/>
      <c r="B89" s="253"/>
      <c r="C89" s="253"/>
      <c r="D89" s="253"/>
      <c r="E89" s="253"/>
      <c r="F89" s="253"/>
      <c r="G89" s="253"/>
      <c r="H89" s="253"/>
      <c r="I89" s="253"/>
      <c r="J89" s="253"/>
      <c r="K89" s="253"/>
      <c r="L89" s="253"/>
      <c r="M89" s="253"/>
      <c r="N89" s="253"/>
      <c r="O89" s="8"/>
      <c r="P89" s="8"/>
      <c r="Q89" s="8"/>
      <c r="R89" s="8"/>
      <c r="S89" s="8"/>
      <c r="T89" s="8"/>
      <c r="U89" s="8"/>
      <c r="V89" s="8"/>
      <c r="W89" s="8"/>
      <c r="X89" s="8"/>
      <c r="Y89" s="8"/>
      <c r="Z89" s="8"/>
      <c r="AA89" s="8"/>
      <c r="AB89" s="8"/>
      <c r="AC89" s="8"/>
      <c r="AD89" s="8"/>
      <c r="AE89" s="8"/>
      <c r="AF89" s="8"/>
      <c r="AG89" s="8"/>
      <c r="AH89" s="8"/>
      <c r="AI89" s="8"/>
      <c r="AJ89" s="8"/>
      <c r="AK89" s="8"/>
    </row>
    <row r="90" spans="1:37" s="255" customFormat="1">
      <c r="A90" s="253"/>
      <c r="B90" s="253"/>
      <c r="C90" s="253"/>
      <c r="D90" s="253"/>
      <c r="E90" s="253"/>
      <c r="F90" s="253"/>
      <c r="G90" s="253"/>
      <c r="H90" s="253"/>
      <c r="I90" s="253"/>
      <c r="J90" s="253"/>
      <c r="K90" s="253"/>
      <c r="L90" s="253"/>
      <c r="M90" s="253"/>
      <c r="N90" s="253"/>
      <c r="O90" s="8"/>
      <c r="P90" s="8"/>
      <c r="Q90" s="8"/>
      <c r="R90" s="8"/>
      <c r="S90" s="8"/>
      <c r="T90" s="8"/>
      <c r="U90" s="8"/>
      <c r="V90" s="8"/>
      <c r="W90" s="8"/>
      <c r="X90" s="8"/>
      <c r="Y90" s="8"/>
      <c r="Z90" s="8"/>
      <c r="AA90" s="8"/>
      <c r="AB90" s="8"/>
      <c r="AC90" s="8"/>
      <c r="AD90" s="8"/>
      <c r="AE90" s="8"/>
      <c r="AF90" s="8"/>
      <c r="AG90" s="8"/>
      <c r="AH90" s="8"/>
      <c r="AI90" s="8"/>
      <c r="AJ90" s="8"/>
      <c r="AK90" s="8"/>
    </row>
    <row r="91" spans="1:37" s="255" customFormat="1">
      <c r="A91" s="253"/>
      <c r="B91" s="253"/>
      <c r="C91" s="253"/>
      <c r="D91" s="253"/>
      <c r="E91" s="253"/>
      <c r="F91" s="253"/>
      <c r="G91" s="253"/>
      <c r="H91" s="253"/>
      <c r="I91" s="253"/>
      <c r="J91" s="253"/>
      <c r="K91" s="253"/>
      <c r="L91" s="253"/>
      <c r="M91" s="253"/>
      <c r="N91" s="253"/>
      <c r="O91" s="8"/>
      <c r="P91" s="8"/>
      <c r="Q91" s="8"/>
      <c r="R91" s="8"/>
      <c r="S91" s="8"/>
      <c r="T91" s="8"/>
      <c r="U91" s="8"/>
      <c r="V91" s="8"/>
      <c r="W91" s="8"/>
      <c r="X91" s="8"/>
      <c r="Y91" s="8"/>
      <c r="Z91" s="8"/>
      <c r="AA91" s="8"/>
      <c r="AB91" s="8"/>
      <c r="AC91" s="8"/>
      <c r="AD91" s="8"/>
      <c r="AE91" s="8"/>
      <c r="AF91" s="8"/>
      <c r="AG91" s="8"/>
      <c r="AH91" s="8"/>
      <c r="AI91" s="8"/>
      <c r="AJ91" s="8"/>
      <c r="AK91" s="8"/>
    </row>
    <row r="92" spans="1:37" s="255" customFormat="1">
      <c r="A92" s="253"/>
      <c r="B92" s="253"/>
      <c r="C92" s="253"/>
      <c r="D92" s="253"/>
      <c r="E92" s="253"/>
      <c r="F92" s="253"/>
      <c r="G92" s="253"/>
      <c r="H92" s="253"/>
      <c r="I92" s="253"/>
      <c r="J92" s="253"/>
      <c r="K92" s="253"/>
      <c r="L92" s="253"/>
      <c r="M92" s="253"/>
      <c r="N92" s="253"/>
      <c r="O92" s="8"/>
      <c r="P92" s="8"/>
      <c r="Q92" s="8"/>
      <c r="R92" s="8"/>
      <c r="S92" s="8"/>
      <c r="T92" s="8"/>
      <c r="U92" s="8"/>
      <c r="V92" s="8"/>
      <c r="W92" s="8"/>
      <c r="X92" s="8"/>
      <c r="Y92" s="8"/>
      <c r="Z92" s="8"/>
      <c r="AA92" s="8"/>
      <c r="AB92" s="8"/>
      <c r="AC92" s="8"/>
      <c r="AD92" s="8"/>
      <c r="AE92" s="8"/>
      <c r="AF92" s="8"/>
      <c r="AG92" s="8"/>
      <c r="AH92" s="8"/>
      <c r="AI92" s="8"/>
      <c r="AJ92" s="8"/>
      <c r="AK92" s="8"/>
    </row>
    <row r="93" spans="1:37" s="255" customFormat="1">
      <c r="A93" s="253"/>
      <c r="B93" s="253"/>
      <c r="C93" s="253"/>
      <c r="D93" s="253"/>
      <c r="E93" s="253"/>
      <c r="F93" s="253"/>
      <c r="G93" s="253"/>
      <c r="H93" s="253"/>
      <c r="I93" s="253"/>
      <c r="J93" s="253"/>
      <c r="K93" s="253"/>
      <c r="L93" s="253"/>
      <c r="M93" s="253"/>
      <c r="N93" s="253"/>
      <c r="O93" s="8"/>
      <c r="P93" s="8"/>
      <c r="Q93" s="8"/>
      <c r="R93" s="8"/>
      <c r="S93" s="8"/>
      <c r="T93" s="8"/>
      <c r="U93" s="8"/>
      <c r="V93" s="8"/>
      <c r="W93" s="8"/>
      <c r="X93" s="8"/>
      <c r="Y93" s="8"/>
      <c r="Z93" s="8"/>
      <c r="AA93" s="8"/>
      <c r="AB93" s="8"/>
      <c r="AC93" s="8"/>
      <c r="AD93" s="8"/>
      <c r="AE93" s="8"/>
      <c r="AF93" s="8"/>
      <c r="AG93" s="8"/>
      <c r="AH93" s="8"/>
      <c r="AI93" s="8"/>
      <c r="AJ93" s="8"/>
      <c r="AK93" s="8"/>
    </row>
    <row r="94" spans="1:37" s="255" customFormat="1">
      <c r="A94" s="253"/>
      <c r="B94" s="253"/>
      <c r="C94" s="253"/>
      <c r="D94" s="253"/>
      <c r="E94" s="253"/>
      <c r="F94" s="253"/>
      <c r="G94" s="253"/>
      <c r="H94" s="253"/>
      <c r="I94" s="253"/>
      <c r="J94" s="253"/>
      <c r="K94" s="253"/>
      <c r="L94" s="253"/>
      <c r="M94" s="253"/>
      <c r="N94" s="253"/>
      <c r="O94" s="8"/>
      <c r="P94" s="8"/>
      <c r="Q94" s="8"/>
      <c r="R94" s="8"/>
      <c r="S94" s="8"/>
      <c r="T94" s="8"/>
      <c r="U94" s="8"/>
      <c r="V94" s="8"/>
      <c r="W94" s="8"/>
      <c r="X94" s="8"/>
      <c r="Y94" s="8"/>
      <c r="Z94" s="8"/>
      <c r="AA94" s="8"/>
      <c r="AB94" s="8"/>
      <c r="AC94" s="8"/>
      <c r="AD94" s="8"/>
      <c r="AE94" s="8"/>
      <c r="AF94" s="8"/>
      <c r="AG94" s="8"/>
      <c r="AH94" s="8"/>
      <c r="AI94" s="8"/>
      <c r="AJ94" s="8"/>
      <c r="AK94" s="8"/>
    </row>
    <row r="95" spans="1:37" s="255" customFormat="1">
      <c r="A95" s="253"/>
      <c r="B95" s="253"/>
      <c r="C95" s="253"/>
      <c r="D95" s="253"/>
      <c r="E95" s="253"/>
      <c r="F95" s="253"/>
      <c r="G95" s="253"/>
      <c r="H95" s="253"/>
      <c r="I95" s="253"/>
      <c r="J95" s="253"/>
      <c r="K95" s="253"/>
      <c r="L95" s="253"/>
      <c r="M95" s="253"/>
      <c r="N95" s="253"/>
      <c r="O95" s="8"/>
      <c r="P95" s="8"/>
      <c r="Q95" s="8"/>
      <c r="R95" s="8"/>
      <c r="S95" s="8"/>
      <c r="T95" s="8"/>
      <c r="U95" s="8"/>
      <c r="V95" s="8"/>
      <c r="W95" s="8"/>
      <c r="X95" s="8"/>
      <c r="Y95" s="8"/>
      <c r="Z95" s="8"/>
      <c r="AA95" s="8"/>
      <c r="AB95" s="8"/>
      <c r="AC95" s="8"/>
      <c r="AD95" s="8"/>
      <c r="AE95" s="8"/>
      <c r="AF95" s="8"/>
      <c r="AG95" s="8"/>
      <c r="AH95" s="8"/>
      <c r="AI95" s="8"/>
      <c r="AJ95" s="8"/>
      <c r="AK95" s="8"/>
    </row>
    <row r="96" spans="1:37" s="255" customFormat="1">
      <c r="A96" s="253"/>
      <c r="B96" s="253"/>
      <c r="C96" s="253"/>
      <c r="D96" s="253"/>
      <c r="E96" s="253"/>
      <c r="F96" s="253"/>
      <c r="G96" s="253"/>
      <c r="H96" s="253"/>
      <c r="I96" s="253"/>
      <c r="J96" s="253"/>
      <c r="K96" s="253"/>
      <c r="L96" s="253"/>
      <c r="M96" s="253"/>
      <c r="N96" s="253"/>
      <c r="O96" s="8"/>
      <c r="P96" s="8"/>
      <c r="Q96" s="8"/>
      <c r="R96" s="8"/>
      <c r="S96" s="8"/>
      <c r="T96" s="8"/>
      <c r="U96" s="8"/>
      <c r="V96" s="8"/>
      <c r="W96" s="8"/>
      <c r="X96" s="8"/>
      <c r="Y96" s="8"/>
      <c r="Z96" s="8"/>
      <c r="AA96" s="8"/>
      <c r="AB96" s="8"/>
      <c r="AC96" s="8"/>
      <c r="AD96" s="8"/>
      <c r="AE96" s="8"/>
      <c r="AF96" s="8"/>
      <c r="AG96" s="8"/>
      <c r="AH96" s="8"/>
      <c r="AI96" s="8"/>
      <c r="AJ96" s="8"/>
      <c r="AK96" s="8"/>
    </row>
    <row r="97" spans="1:37" s="255" customFormat="1">
      <c r="A97" s="253"/>
      <c r="B97" s="253"/>
      <c r="C97" s="253"/>
      <c r="D97" s="253"/>
      <c r="E97" s="253"/>
      <c r="F97" s="253"/>
      <c r="G97" s="253"/>
      <c r="H97" s="253"/>
      <c r="I97" s="253"/>
      <c r="J97" s="253"/>
      <c r="K97" s="253"/>
      <c r="L97" s="253"/>
      <c r="M97" s="253"/>
      <c r="N97" s="253"/>
      <c r="O97" s="8"/>
      <c r="P97" s="8"/>
      <c r="Q97" s="8"/>
      <c r="R97" s="8"/>
      <c r="S97" s="8"/>
      <c r="T97" s="8"/>
      <c r="U97" s="8"/>
      <c r="V97" s="8"/>
      <c r="W97" s="8"/>
      <c r="X97" s="8"/>
      <c r="Y97" s="8"/>
      <c r="Z97" s="8"/>
      <c r="AA97" s="8"/>
      <c r="AB97" s="8"/>
      <c r="AC97" s="8"/>
      <c r="AD97" s="8"/>
      <c r="AE97" s="8"/>
      <c r="AF97" s="8"/>
      <c r="AG97" s="8"/>
      <c r="AH97" s="8"/>
      <c r="AI97" s="8"/>
      <c r="AJ97" s="8"/>
      <c r="AK97" s="8"/>
    </row>
    <row r="98" spans="1:37" s="255" customFormat="1">
      <c r="A98" s="253"/>
      <c r="B98" s="253"/>
      <c r="C98" s="253"/>
      <c r="D98" s="253"/>
      <c r="E98" s="253"/>
      <c r="F98" s="253"/>
      <c r="G98" s="253"/>
      <c r="H98" s="253"/>
      <c r="I98" s="253"/>
      <c r="J98" s="253"/>
      <c r="K98" s="253"/>
      <c r="L98" s="253"/>
      <c r="M98" s="253"/>
      <c r="N98" s="253"/>
      <c r="O98" s="8"/>
      <c r="P98" s="8"/>
      <c r="Q98" s="8"/>
      <c r="R98" s="8"/>
      <c r="S98" s="8"/>
      <c r="T98" s="8"/>
      <c r="U98" s="8"/>
      <c r="V98" s="8"/>
      <c r="W98" s="8"/>
      <c r="X98" s="8"/>
      <c r="Y98" s="8"/>
      <c r="Z98" s="8"/>
      <c r="AA98" s="8"/>
      <c r="AB98" s="8"/>
      <c r="AC98" s="8"/>
      <c r="AD98" s="8"/>
      <c r="AE98" s="8"/>
      <c r="AF98" s="8"/>
      <c r="AG98" s="8"/>
      <c r="AH98" s="8"/>
      <c r="AI98" s="8"/>
      <c r="AJ98" s="8"/>
      <c r="AK98" s="8"/>
    </row>
    <row r="99" spans="1:37" s="255" customFormat="1">
      <c r="A99" s="253"/>
      <c r="B99" s="253"/>
      <c r="C99" s="253"/>
      <c r="D99" s="253"/>
      <c r="E99" s="253"/>
      <c r="F99" s="253"/>
      <c r="G99" s="253"/>
      <c r="H99" s="253"/>
      <c r="I99" s="253"/>
      <c r="J99" s="253"/>
      <c r="K99" s="253"/>
      <c r="L99" s="253"/>
      <c r="M99" s="253"/>
      <c r="N99" s="253"/>
      <c r="O99" s="8"/>
      <c r="P99" s="8"/>
      <c r="Q99" s="8"/>
      <c r="R99" s="8"/>
      <c r="S99" s="8"/>
      <c r="T99" s="8"/>
      <c r="U99" s="8"/>
      <c r="V99" s="8"/>
      <c r="W99" s="8"/>
      <c r="X99" s="8"/>
      <c r="Y99" s="8"/>
      <c r="Z99" s="8"/>
      <c r="AA99" s="8"/>
      <c r="AB99" s="8"/>
      <c r="AC99" s="8"/>
      <c r="AD99" s="8"/>
      <c r="AE99" s="8"/>
      <c r="AF99" s="8"/>
      <c r="AG99" s="8"/>
      <c r="AH99" s="8"/>
      <c r="AI99" s="8"/>
      <c r="AJ99" s="8"/>
      <c r="AK99" s="8"/>
    </row>
    <row r="100" spans="1:37" s="255" customFormat="1">
      <c r="A100" s="253"/>
      <c r="B100" s="253"/>
      <c r="C100" s="253"/>
      <c r="D100" s="253"/>
      <c r="E100" s="253"/>
      <c r="F100" s="253"/>
      <c r="G100" s="253"/>
      <c r="H100" s="253"/>
      <c r="I100" s="253"/>
      <c r="J100" s="253"/>
      <c r="K100" s="253"/>
      <c r="L100" s="253"/>
      <c r="M100" s="253"/>
      <c r="N100" s="253"/>
      <c r="O100" s="8"/>
      <c r="P100" s="8"/>
      <c r="Q100" s="8"/>
      <c r="R100" s="8"/>
      <c r="S100" s="8"/>
      <c r="T100" s="8"/>
      <c r="U100" s="8"/>
      <c r="V100" s="8"/>
      <c r="W100" s="8"/>
      <c r="X100" s="8"/>
      <c r="Y100" s="8"/>
      <c r="Z100" s="8"/>
      <c r="AA100" s="8"/>
      <c r="AB100" s="8"/>
      <c r="AC100" s="8"/>
      <c r="AD100" s="8"/>
      <c r="AE100" s="8"/>
      <c r="AF100" s="8"/>
      <c r="AG100" s="8"/>
      <c r="AH100" s="8"/>
      <c r="AI100" s="8"/>
      <c r="AJ100" s="8"/>
      <c r="AK100" s="8"/>
    </row>
    <row r="101" spans="1:37" s="255" customFormat="1">
      <c r="A101" s="253"/>
      <c r="B101" s="253"/>
      <c r="C101" s="253"/>
      <c r="D101" s="253"/>
      <c r="E101" s="253"/>
      <c r="F101" s="253"/>
      <c r="G101" s="253"/>
      <c r="H101" s="253"/>
      <c r="I101" s="253"/>
      <c r="J101" s="253"/>
      <c r="K101" s="253"/>
      <c r="L101" s="253"/>
      <c r="M101" s="253"/>
      <c r="N101" s="253"/>
      <c r="O101" s="8"/>
      <c r="P101" s="8"/>
      <c r="Q101" s="8"/>
      <c r="R101" s="8"/>
      <c r="S101" s="8"/>
      <c r="T101" s="8"/>
      <c r="U101" s="8"/>
      <c r="V101" s="8"/>
      <c r="W101" s="8"/>
      <c r="X101" s="8"/>
      <c r="Y101" s="8"/>
      <c r="Z101" s="8"/>
      <c r="AA101" s="8"/>
      <c r="AB101" s="8"/>
      <c r="AC101" s="8"/>
      <c r="AD101" s="8"/>
      <c r="AE101" s="8"/>
      <c r="AF101" s="8"/>
      <c r="AG101" s="8"/>
      <c r="AH101" s="8"/>
      <c r="AI101" s="8"/>
      <c r="AJ101" s="8"/>
      <c r="AK101" s="8"/>
    </row>
    <row r="102" spans="1:37" s="255" customFormat="1">
      <c r="A102" s="253"/>
      <c r="B102" s="253"/>
      <c r="C102" s="253"/>
      <c r="D102" s="253"/>
      <c r="E102" s="253"/>
      <c r="F102" s="253"/>
      <c r="G102" s="253"/>
      <c r="H102" s="253"/>
      <c r="I102" s="253"/>
      <c r="J102" s="253"/>
      <c r="K102" s="253"/>
      <c r="L102" s="253"/>
      <c r="M102" s="253"/>
      <c r="N102" s="253"/>
      <c r="O102" s="8"/>
      <c r="P102" s="8"/>
      <c r="Q102" s="8"/>
      <c r="R102" s="8"/>
      <c r="S102" s="8"/>
      <c r="T102" s="8"/>
      <c r="U102" s="8"/>
      <c r="V102" s="8"/>
      <c r="W102" s="8"/>
      <c r="X102" s="8"/>
      <c r="Y102" s="8"/>
      <c r="Z102" s="8"/>
      <c r="AA102" s="8"/>
      <c r="AB102" s="8"/>
      <c r="AC102" s="8"/>
      <c r="AD102" s="8"/>
      <c r="AE102" s="8"/>
      <c r="AF102" s="8"/>
      <c r="AG102" s="8"/>
      <c r="AH102" s="8"/>
      <c r="AI102" s="8"/>
      <c r="AJ102" s="8"/>
      <c r="AK102" s="8"/>
    </row>
    <row r="103" spans="1:37" s="255" customFormat="1">
      <c r="A103" s="253"/>
      <c r="B103" s="253"/>
      <c r="C103" s="253"/>
      <c r="D103" s="253"/>
      <c r="E103" s="253"/>
      <c r="F103" s="253"/>
      <c r="G103" s="253"/>
      <c r="H103" s="253"/>
      <c r="I103" s="253"/>
      <c r="J103" s="253"/>
      <c r="K103" s="253"/>
      <c r="L103" s="253"/>
      <c r="M103" s="253"/>
      <c r="N103" s="253"/>
      <c r="O103" s="8"/>
      <c r="P103" s="8"/>
      <c r="Q103" s="8"/>
      <c r="R103" s="8"/>
      <c r="S103" s="8"/>
      <c r="T103" s="8"/>
      <c r="U103" s="8"/>
      <c r="V103" s="8"/>
      <c r="W103" s="8"/>
      <c r="X103" s="8"/>
      <c r="Y103" s="8"/>
      <c r="Z103" s="8"/>
      <c r="AA103" s="8"/>
      <c r="AB103" s="8"/>
      <c r="AC103" s="8"/>
      <c r="AD103" s="8"/>
      <c r="AE103" s="8"/>
      <c r="AF103" s="8"/>
      <c r="AG103" s="8"/>
      <c r="AH103" s="8"/>
      <c r="AI103" s="8"/>
      <c r="AJ103" s="8"/>
      <c r="AK103" s="8"/>
    </row>
    <row r="104" spans="1:37" s="255" customFormat="1">
      <c r="A104" s="253"/>
      <c r="B104" s="253"/>
      <c r="C104" s="253"/>
      <c r="D104" s="253"/>
      <c r="E104" s="253"/>
      <c r="F104" s="253"/>
      <c r="G104" s="253"/>
      <c r="H104" s="253"/>
      <c r="I104" s="253"/>
      <c r="J104" s="253"/>
      <c r="K104" s="253"/>
      <c r="L104" s="253"/>
      <c r="M104" s="253"/>
      <c r="N104" s="253"/>
      <c r="O104" s="8"/>
      <c r="P104" s="8"/>
      <c r="Q104" s="8"/>
      <c r="R104" s="8"/>
      <c r="S104" s="8"/>
      <c r="T104" s="8"/>
      <c r="U104" s="8"/>
      <c r="V104" s="8"/>
      <c r="W104" s="8"/>
      <c r="X104" s="8"/>
      <c r="Y104" s="8"/>
      <c r="Z104" s="8"/>
      <c r="AA104" s="8"/>
      <c r="AB104" s="8"/>
      <c r="AC104" s="8"/>
      <c r="AD104" s="8"/>
      <c r="AE104" s="8"/>
      <c r="AF104" s="8"/>
      <c r="AG104" s="8"/>
      <c r="AH104" s="8"/>
      <c r="AI104" s="8"/>
      <c r="AJ104" s="8"/>
      <c r="AK104" s="8"/>
    </row>
    <row r="105" spans="1:37" s="255" customFormat="1">
      <c r="A105" s="253"/>
      <c r="B105" s="253"/>
      <c r="C105" s="253"/>
      <c r="D105" s="253"/>
      <c r="E105" s="253"/>
      <c r="F105" s="253"/>
      <c r="G105" s="253"/>
      <c r="H105" s="253"/>
      <c r="I105" s="253"/>
      <c r="J105" s="253"/>
      <c r="K105" s="253"/>
      <c r="L105" s="253"/>
      <c r="M105" s="253"/>
      <c r="N105" s="253"/>
      <c r="O105" s="8"/>
      <c r="P105" s="8"/>
      <c r="Q105" s="8"/>
      <c r="R105" s="8"/>
      <c r="S105" s="8"/>
      <c r="T105" s="8"/>
      <c r="U105" s="8"/>
      <c r="V105" s="8"/>
      <c r="W105" s="8"/>
      <c r="X105" s="8"/>
      <c r="Y105" s="8"/>
      <c r="Z105" s="8"/>
      <c r="AA105" s="8"/>
      <c r="AB105" s="8"/>
      <c r="AC105" s="8"/>
      <c r="AD105" s="8"/>
      <c r="AE105" s="8"/>
      <c r="AF105" s="8"/>
      <c r="AG105" s="8"/>
      <c r="AH105" s="8"/>
      <c r="AI105" s="8"/>
      <c r="AJ105" s="8"/>
      <c r="AK105" s="8"/>
    </row>
    <row r="106" spans="1:37" s="255" customFormat="1">
      <c r="A106" s="253"/>
      <c r="B106" s="253"/>
      <c r="C106" s="253"/>
      <c r="D106" s="253"/>
      <c r="E106" s="253"/>
      <c r="F106" s="253"/>
      <c r="G106" s="253"/>
      <c r="H106" s="253"/>
      <c r="I106" s="253"/>
      <c r="J106" s="253"/>
      <c r="K106" s="253"/>
      <c r="L106" s="253"/>
      <c r="M106" s="253"/>
      <c r="N106" s="253"/>
      <c r="O106" s="8"/>
      <c r="P106" s="8"/>
      <c r="Q106" s="8"/>
      <c r="R106" s="8"/>
      <c r="S106" s="8"/>
      <c r="T106" s="8"/>
      <c r="U106" s="8"/>
      <c r="V106" s="8"/>
      <c r="W106" s="8"/>
      <c r="X106" s="8"/>
      <c r="Y106" s="8"/>
      <c r="Z106" s="8"/>
      <c r="AA106" s="8"/>
      <c r="AB106" s="8"/>
      <c r="AC106" s="8"/>
      <c r="AD106" s="8"/>
      <c r="AE106" s="8"/>
      <c r="AF106" s="8"/>
      <c r="AG106" s="8"/>
      <c r="AH106" s="8"/>
      <c r="AI106" s="8"/>
      <c r="AJ106" s="8"/>
      <c r="AK106" s="8"/>
    </row>
    <row r="107" spans="1:37" s="255" customFormat="1">
      <c r="A107" s="253"/>
      <c r="B107" s="253"/>
      <c r="C107" s="253"/>
      <c r="D107" s="253"/>
      <c r="E107" s="253"/>
      <c r="F107" s="253"/>
      <c r="G107" s="253"/>
      <c r="H107" s="253"/>
      <c r="I107" s="253"/>
      <c r="J107" s="253"/>
      <c r="K107" s="253"/>
      <c r="L107" s="253"/>
      <c r="M107" s="253"/>
      <c r="N107" s="253"/>
      <c r="O107" s="8"/>
      <c r="P107" s="8"/>
      <c r="Q107" s="8"/>
      <c r="R107" s="8"/>
      <c r="S107" s="8"/>
      <c r="T107" s="8"/>
      <c r="U107" s="8"/>
      <c r="V107" s="8"/>
      <c r="W107" s="8"/>
      <c r="X107" s="8"/>
      <c r="Y107" s="8"/>
      <c r="Z107" s="8"/>
      <c r="AA107" s="8"/>
      <c r="AB107" s="8"/>
      <c r="AC107" s="8"/>
      <c r="AD107" s="8"/>
      <c r="AE107" s="8"/>
      <c r="AF107" s="8"/>
      <c r="AG107" s="8"/>
      <c r="AH107" s="8"/>
      <c r="AI107" s="8"/>
      <c r="AJ107" s="8"/>
      <c r="AK107" s="8"/>
    </row>
    <row r="108" spans="1:37" s="255" customFormat="1">
      <c r="B108" s="253"/>
      <c r="C108" s="253"/>
      <c r="D108" s="253"/>
      <c r="E108" s="253"/>
      <c r="F108" s="253"/>
      <c r="G108" s="253"/>
      <c r="I108" s="253"/>
      <c r="J108" s="253"/>
      <c r="K108" s="253"/>
      <c r="L108" s="253"/>
      <c r="M108" s="253"/>
      <c r="O108" s="8"/>
      <c r="P108" s="8"/>
      <c r="Q108" s="8"/>
      <c r="R108" s="8"/>
      <c r="S108" s="8"/>
      <c r="T108" s="8"/>
      <c r="U108" s="8"/>
      <c r="V108" s="8"/>
      <c r="W108" s="8"/>
      <c r="X108" s="8"/>
      <c r="Y108" s="8"/>
      <c r="Z108" s="8"/>
      <c r="AA108" s="8"/>
      <c r="AB108" s="8"/>
      <c r="AC108" s="8"/>
      <c r="AD108" s="8"/>
      <c r="AE108" s="8"/>
      <c r="AF108" s="8"/>
      <c r="AG108" s="8"/>
      <c r="AH108" s="8"/>
      <c r="AI108" s="8"/>
      <c r="AJ108" s="8"/>
      <c r="AK108" s="8"/>
    </row>
    <row r="109" spans="1:37" s="255" customFormat="1">
      <c r="B109" s="253"/>
      <c r="C109" s="253"/>
      <c r="D109" s="253"/>
      <c r="E109" s="253"/>
      <c r="F109" s="253"/>
      <c r="G109" s="253"/>
      <c r="I109" s="253"/>
      <c r="J109" s="253"/>
      <c r="K109" s="253"/>
      <c r="L109" s="253"/>
      <c r="M109" s="253"/>
      <c r="O109" s="8"/>
      <c r="P109" s="8"/>
      <c r="Q109" s="8"/>
      <c r="R109" s="8"/>
      <c r="S109" s="8"/>
      <c r="T109" s="8"/>
      <c r="U109" s="8"/>
      <c r="V109" s="8"/>
      <c r="W109" s="8"/>
      <c r="X109" s="8"/>
      <c r="Y109" s="8"/>
      <c r="Z109" s="8"/>
      <c r="AA109" s="8"/>
      <c r="AB109" s="8"/>
      <c r="AC109" s="8"/>
      <c r="AD109" s="8"/>
      <c r="AE109" s="8"/>
      <c r="AF109" s="8"/>
      <c r="AG109" s="8"/>
      <c r="AH109" s="8"/>
      <c r="AI109" s="8"/>
      <c r="AJ109" s="8"/>
      <c r="AK109" s="8"/>
    </row>
    <row r="110" spans="1:37" s="255" customFormat="1">
      <c r="B110" s="253"/>
      <c r="C110" s="253"/>
      <c r="D110" s="253"/>
      <c r="E110" s="253"/>
      <c r="F110" s="253"/>
      <c r="G110" s="253"/>
      <c r="I110" s="253"/>
      <c r="J110" s="253"/>
      <c r="K110" s="253"/>
      <c r="L110" s="253"/>
      <c r="M110" s="253"/>
      <c r="O110" s="8"/>
      <c r="P110" s="8"/>
      <c r="Q110" s="8"/>
      <c r="R110" s="8"/>
      <c r="S110" s="8"/>
      <c r="T110" s="8"/>
      <c r="U110" s="8"/>
      <c r="V110" s="8"/>
      <c r="W110" s="8"/>
      <c r="X110" s="8"/>
      <c r="Y110" s="8"/>
      <c r="Z110" s="8"/>
      <c r="AA110" s="8"/>
      <c r="AB110" s="8"/>
      <c r="AC110" s="8"/>
      <c r="AD110" s="8"/>
      <c r="AE110" s="8"/>
      <c r="AF110" s="8"/>
      <c r="AG110" s="8"/>
      <c r="AH110" s="8"/>
      <c r="AI110" s="8"/>
      <c r="AJ110" s="8"/>
      <c r="AK110" s="8"/>
    </row>
    <row r="111" spans="1:37" s="255" customFormat="1">
      <c r="I111" s="253"/>
      <c r="J111" s="253"/>
      <c r="K111" s="253"/>
      <c r="L111" s="253"/>
      <c r="M111" s="253"/>
      <c r="O111" s="8"/>
      <c r="P111" s="8"/>
      <c r="Q111" s="8"/>
      <c r="R111" s="8"/>
      <c r="S111" s="8"/>
      <c r="T111" s="8"/>
      <c r="U111" s="8"/>
      <c r="V111" s="8"/>
      <c r="W111" s="8"/>
      <c r="X111" s="8"/>
      <c r="Y111" s="8"/>
      <c r="Z111" s="8"/>
      <c r="AA111" s="8"/>
      <c r="AB111" s="8"/>
      <c r="AC111" s="8"/>
      <c r="AD111" s="8"/>
      <c r="AE111" s="8"/>
      <c r="AF111" s="8"/>
      <c r="AG111" s="8"/>
      <c r="AH111" s="8"/>
      <c r="AI111" s="8"/>
      <c r="AJ111" s="8"/>
      <c r="AK111" s="8"/>
    </row>
    <row r="112" spans="1:37" s="25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row>
    <row r="113" spans="15:37" s="25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row>
    <row r="114" spans="15:37" s="25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row>
    <row r="115" spans="15:37" s="25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row>
    <row r="116" spans="15:37" s="25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row>
    <row r="117" spans="15:37" s="25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row>
    <row r="118" spans="15:37" s="25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row>
    <row r="119" spans="15:37" s="25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row>
    <row r="120" spans="15:37" s="25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row>
    <row r="121" spans="15:37" s="25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row>
    <row r="122" spans="15:37" s="25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row>
    <row r="123" spans="15:37" s="25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row>
    <row r="124" spans="15:37" s="25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row>
    <row r="125" spans="15:37" s="25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row>
    <row r="126" spans="15:37" s="25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row>
    <row r="127" spans="15:37" s="25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row>
    <row r="128" spans="15:37" s="25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row>
    <row r="129" spans="15:37" s="25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row>
    <row r="130" spans="15:37" s="25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row>
    <row r="131" spans="15:37" s="25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row>
    <row r="132" spans="15:37" s="25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row>
    <row r="133" spans="15:37" s="25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row>
    <row r="134" spans="15:37" s="25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row>
    <row r="135" spans="15:37" s="25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row>
    <row r="136" spans="15:37" s="25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row>
    <row r="137" spans="15:37" s="25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row>
    <row r="138" spans="15:37" s="25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row>
    <row r="139" spans="15:37" s="25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row>
    <row r="140" spans="15:37" s="25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row>
    <row r="141" spans="15:37" s="25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row>
    <row r="142" spans="15:37" s="25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row>
    <row r="143" spans="15:37" s="25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row>
    <row r="144" spans="15:37" s="25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row>
    <row r="145" spans="15:37" s="25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row>
    <row r="146" spans="15:37" s="25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row>
    <row r="147" spans="15:37" s="25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row>
    <row r="148" spans="15:37" s="25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row>
    <row r="149" spans="15:37" s="25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row>
    <row r="150" spans="15:37" s="25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row>
    <row r="151" spans="15:37" s="25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row>
    <row r="152" spans="15:37" s="25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row>
    <row r="153" spans="15:37" s="25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row>
    <row r="154" spans="15:37" s="25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row>
    <row r="155" spans="15:37" s="25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row>
    <row r="156" spans="15:37" s="25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row>
    <row r="157" spans="15:37" s="25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row>
    <row r="158" spans="15:37" s="25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row>
    <row r="159" spans="15:37" s="25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row>
    <row r="160" spans="15:37" s="25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row>
    <row r="161" spans="15:37" s="25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row>
    <row r="162" spans="15:37" s="25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row>
    <row r="163" spans="15:37" s="25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row>
    <row r="164" spans="15:37" s="25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row>
    <row r="165" spans="15:37" s="25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row>
    <row r="166" spans="15:37" s="25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row>
    <row r="167" spans="15:37" s="25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row>
    <row r="168" spans="15:37" s="25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row>
    <row r="169" spans="15:37" s="25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row>
    <row r="170" spans="15:37" s="25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row>
    <row r="171" spans="15:37" s="25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row>
    <row r="172" spans="15:37" s="25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row>
    <row r="173" spans="15:37" s="25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row>
    <row r="174" spans="15:37" s="25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row>
    <row r="175" spans="15:37" s="25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row>
    <row r="176" spans="15:37" s="25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row>
    <row r="177" spans="15:37" s="25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row>
    <row r="178" spans="15:37" s="25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row>
    <row r="179" spans="15:37" s="25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row>
    <row r="180" spans="15:37" s="25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row>
    <row r="181" spans="15:37" s="25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row>
    <row r="182" spans="15:37" s="25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row>
    <row r="183" spans="15:37" s="25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row>
    <row r="184" spans="15:37" s="25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row>
    <row r="185" spans="15:37" s="25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row>
    <row r="186" spans="15:37" s="25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row>
    <row r="187" spans="15:37" s="25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row>
    <row r="188" spans="15:37" s="25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row>
    <row r="189" spans="15:37" s="25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row>
    <row r="190" spans="15:37" s="25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row>
    <row r="191" spans="15:37" s="25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row>
    <row r="192" spans="15:37" s="25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row>
    <row r="193" spans="15:37" s="25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row>
    <row r="194" spans="15:37" s="25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row>
    <row r="195" spans="15:37" s="25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row>
    <row r="196" spans="15:37" s="25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row>
    <row r="197" spans="15:37" s="25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row>
    <row r="198" spans="15:37" s="25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row>
    <row r="199" spans="15:37" s="25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row>
    <row r="200" spans="15:37" s="25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row>
    <row r="201" spans="15:37" s="25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row>
    <row r="202" spans="15:37" s="25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row>
    <row r="203" spans="15:37" s="25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row>
    <row r="204" spans="15:37" s="25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row>
    <row r="205" spans="15:37" s="25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row>
    <row r="206" spans="15:37" s="25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row>
    <row r="207" spans="15:37" s="25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row>
    <row r="208" spans="15:37" s="25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row>
    <row r="209" spans="15:37" s="25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row>
    <row r="210" spans="15:37" s="25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row>
    <row r="211" spans="15:37" s="25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row>
    <row r="212" spans="15:37" s="25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row>
    <row r="213" spans="15:37" s="25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row>
    <row r="214" spans="15:37" s="25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row>
    <row r="215" spans="15:37" s="25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row>
    <row r="216" spans="15:37" s="25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row>
    <row r="217" spans="15:37" s="25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row>
    <row r="218" spans="15:37" s="25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row>
    <row r="219" spans="15:37" s="25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row>
    <row r="220" spans="15:37" s="25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row>
    <row r="221" spans="15:37" s="25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row>
    <row r="222" spans="15:37" s="25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row>
    <row r="223" spans="15:37" s="25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row>
    <row r="224" spans="15:37" s="25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row>
    <row r="225" spans="15:37" s="25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row>
    <row r="226" spans="15:37" s="25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row>
    <row r="227" spans="15:37" s="25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row>
    <row r="228" spans="15:37" s="25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row>
    <row r="229" spans="15:37" s="25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row>
    <row r="230" spans="15:37" s="25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row>
    <row r="231" spans="15:37" s="25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row>
    <row r="232" spans="15:37" s="25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row>
    <row r="233" spans="15:37" s="25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row>
    <row r="234" spans="15:37" s="25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row>
    <row r="235" spans="15:37" s="25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row>
    <row r="236" spans="15:37" s="25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row>
    <row r="237" spans="15:37" s="25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row>
    <row r="238" spans="15:37" s="25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row>
    <row r="239" spans="15:37" s="25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row>
    <row r="240" spans="15:37" s="25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row>
    <row r="241" spans="15:37" s="25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row>
    <row r="242" spans="15:37" s="25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row>
    <row r="243" spans="15:37" s="25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row>
    <row r="244" spans="15:37" s="25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row>
    <row r="245" spans="15:37" s="25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row>
    <row r="246" spans="15:37" s="25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row>
    <row r="247" spans="15:37" s="25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row>
    <row r="248" spans="15:37" s="25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row>
    <row r="249" spans="15:37" s="25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row>
    <row r="250" spans="15:37" s="25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row>
    <row r="251" spans="15:37" s="25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row>
    <row r="252" spans="15:37" s="25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row>
    <row r="253" spans="15:37" s="25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row>
    <row r="254" spans="15:37" s="25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row>
    <row r="255" spans="15:37" s="25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row>
    <row r="256" spans="15:37" s="25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row>
    <row r="257" spans="15:37" s="25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row>
    <row r="258" spans="15:37" s="25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row>
    <row r="259" spans="15:37" s="25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row>
    <row r="260" spans="15:37" s="25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row>
    <row r="261" spans="15:37" s="25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row>
    <row r="262" spans="15:37" s="25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row>
    <row r="263" spans="15:37" s="25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row>
    <row r="264" spans="15:37" s="25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row>
    <row r="265" spans="15:37" s="25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row>
    <row r="266" spans="15:37" s="25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row>
    <row r="267" spans="15:37" s="25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row>
    <row r="268" spans="15:37" s="25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row>
    <row r="269" spans="15:37" s="25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row>
    <row r="270" spans="15:37" s="25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row>
    <row r="271" spans="15:37" s="25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row>
    <row r="272" spans="15:37" s="25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row>
    <row r="273" spans="15:37" s="25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row>
    <row r="274" spans="15:37" s="25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row>
    <row r="275" spans="15:37" s="25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row>
    <row r="276" spans="15:37" s="25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row>
    <row r="277" spans="15:37" s="25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row>
    <row r="278" spans="15:37" s="25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row>
    <row r="279" spans="15:37" s="25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row>
    <row r="280" spans="15:37" s="25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row>
    <row r="281" spans="15:37" s="25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row>
    <row r="282" spans="15:37" s="25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row>
    <row r="283" spans="15:37" s="25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row>
    <row r="284" spans="15:37" s="25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row>
    <row r="285" spans="15:37" s="25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row>
    <row r="286" spans="15:37" s="25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row>
    <row r="287" spans="15:37" s="25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row>
    <row r="288" spans="15:37" s="25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row>
    <row r="289" spans="15:37" s="25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row>
    <row r="290" spans="15:37" s="25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row>
    <row r="291" spans="15:37" s="25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row>
    <row r="292" spans="15:37" s="25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row>
    <row r="293" spans="15:37" s="25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row>
    <row r="294" spans="15:37" s="25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row>
    <row r="295" spans="15:37" s="25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row>
    <row r="296" spans="15:37" s="25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row>
    <row r="297" spans="15:37" s="25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row>
    <row r="298" spans="15:37" s="25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row>
    <row r="299" spans="15:37" s="25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row>
    <row r="300" spans="15:37" s="25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row>
    <row r="301" spans="15:37" s="25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row>
    <row r="302" spans="15:37" s="25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row>
    <row r="303" spans="15:37" s="25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row>
    <row r="304" spans="15:37" s="25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row>
    <row r="305" spans="15:37" s="25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row>
    <row r="306" spans="15:37" s="25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row>
    <row r="307" spans="15:37" s="25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row>
    <row r="308" spans="15:37" s="25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row>
    <row r="309" spans="15:37" s="25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row>
    <row r="310" spans="15:37" s="25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row>
    <row r="311" spans="15:37" s="25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row>
    <row r="312" spans="15:37" s="25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row>
    <row r="313" spans="15:37" s="25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row>
    <row r="314" spans="15:37" s="25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row>
    <row r="315" spans="15:37" s="25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row>
    <row r="316" spans="15:37" s="25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row>
    <row r="317" spans="15:37" s="25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row>
    <row r="318" spans="15:37" s="25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row>
    <row r="319" spans="15:37" s="25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row>
    <row r="320" spans="15:37" s="25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row>
    <row r="321" spans="15:37" s="25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row>
    <row r="322" spans="15:37" s="25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row>
    <row r="323" spans="15:37" s="25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row>
    <row r="324" spans="15:37" s="25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row>
    <row r="325" spans="15:37" s="25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row>
    <row r="326" spans="15:37" s="25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row>
    <row r="327" spans="15:37" s="25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row>
    <row r="328" spans="15:37" s="25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row>
    <row r="329" spans="15:37" s="25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row>
    <row r="330" spans="15:37" s="25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row>
    <row r="331" spans="15:37" s="25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row>
    <row r="332" spans="15:37" s="25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row>
    <row r="333" spans="15:37" s="25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row>
    <row r="334" spans="15:37" s="25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row>
    <row r="335" spans="15:37" s="25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row>
    <row r="336" spans="15:37" s="25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row>
    <row r="337" spans="15:37" s="25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row>
    <row r="338" spans="15:37" s="25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row>
    <row r="339" spans="15:37" s="25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row>
    <row r="340" spans="15:37" s="25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row>
    <row r="341" spans="15:37" s="25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row>
    <row r="342" spans="15:37" s="25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row>
    <row r="343" spans="15:37" s="25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row>
    <row r="344" spans="15:37" s="25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row>
    <row r="345" spans="15:37" s="25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row>
    <row r="346" spans="15:37" s="25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row>
    <row r="347" spans="15:37" s="25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row>
    <row r="348" spans="15:37" s="25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row>
    <row r="349" spans="15:37" s="25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row>
    <row r="350" spans="15:37" s="25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row>
    <row r="351" spans="15:37" s="25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row>
    <row r="352" spans="15:37" s="25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row>
    <row r="353" spans="15:37" s="25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row>
    <row r="354" spans="15:37" s="25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row>
    <row r="355" spans="15:37" s="25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row>
    <row r="356" spans="15:37" s="25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row>
    <row r="357" spans="15:37" s="25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row>
    <row r="358" spans="15:37" s="25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row>
    <row r="359" spans="15:37" s="25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row>
    <row r="360" spans="15:37" s="25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row>
    <row r="361" spans="15:37" s="25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row>
    <row r="362" spans="15:37" s="25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row>
    <row r="363" spans="15:37" s="25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row>
    <row r="364" spans="15:37" s="25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row>
    <row r="365" spans="15:37" s="25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row>
    <row r="366" spans="15:37" s="25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row>
    <row r="367" spans="15:37" s="25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row>
    <row r="368" spans="15:37" s="25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row>
    <row r="369" spans="2:37" s="25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row>
    <row r="370" spans="2:37" s="25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row>
    <row r="371" spans="2:37" s="25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row>
    <row r="372" spans="2:37" s="25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row>
    <row r="373" spans="2:37" s="25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row>
    <row r="374" spans="2:37" s="25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row>
    <row r="375" spans="2:37" s="25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row>
    <row r="376" spans="2:37" s="25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row>
    <row r="377" spans="2:37" s="25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row>
    <row r="378" spans="2:37" s="25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row>
    <row r="379" spans="2:37" s="25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row>
    <row r="380" spans="2:37" s="25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row>
    <row r="381" spans="2:37" s="25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row>
    <row r="382" spans="2:37" s="255" customFormat="1">
      <c r="O382" s="8"/>
      <c r="P382" s="8"/>
      <c r="Q382" s="8"/>
      <c r="R382" s="8"/>
      <c r="S382" s="8"/>
      <c r="T382" s="8"/>
      <c r="U382" s="8"/>
      <c r="V382" s="8"/>
      <c r="W382" s="8"/>
      <c r="X382" s="8"/>
      <c r="Y382" s="8"/>
      <c r="Z382" s="8"/>
      <c r="AA382" s="8"/>
      <c r="AB382" s="8"/>
      <c r="AC382" s="8"/>
      <c r="AD382" s="8"/>
      <c r="AE382" s="8"/>
      <c r="AF382" s="8"/>
      <c r="AG382" s="8"/>
      <c r="AH382" s="8"/>
      <c r="AI382" s="8"/>
      <c r="AJ382" s="8"/>
      <c r="AK382" s="8"/>
    </row>
    <row r="383" spans="2:37" s="255" customFormat="1">
      <c r="O383" s="8"/>
      <c r="P383" s="8"/>
      <c r="Q383" s="8"/>
      <c r="R383" s="8"/>
      <c r="S383" s="8"/>
      <c r="T383" s="8"/>
      <c r="U383" s="8"/>
      <c r="V383" s="8"/>
      <c r="W383" s="8"/>
      <c r="X383" s="8"/>
      <c r="Y383" s="8"/>
      <c r="Z383" s="8"/>
      <c r="AA383" s="8"/>
      <c r="AB383" s="8"/>
      <c r="AC383" s="8"/>
      <c r="AD383" s="8"/>
      <c r="AE383" s="8"/>
      <c r="AF383" s="8"/>
      <c r="AG383" s="8"/>
      <c r="AH383" s="8"/>
      <c r="AI383" s="8"/>
      <c r="AJ383" s="8"/>
      <c r="AK383" s="8"/>
    </row>
    <row r="384" spans="2:37">
      <c r="B384" s="255"/>
      <c r="C384" s="255"/>
      <c r="D384" s="255"/>
      <c r="E384" s="255"/>
      <c r="F384" s="255"/>
      <c r="G384" s="255"/>
      <c r="I384" s="255"/>
      <c r="J384" s="255"/>
      <c r="K384" s="255"/>
      <c r="L384" s="255"/>
      <c r="M384" s="255"/>
    </row>
    <row r="385" spans="2:13">
      <c r="B385" s="255"/>
      <c r="C385" s="255"/>
      <c r="D385" s="255"/>
      <c r="E385" s="255"/>
      <c r="F385" s="255"/>
      <c r="G385" s="255"/>
      <c r="I385" s="255"/>
      <c r="J385" s="255"/>
      <c r="K385" s="255"/>
      <c r="L385" s="255"/>
      <c r="M385" s="255"/>
    </row>
    <row r="386" spans="2:13">
      <c r="I386" s="255"/>
      <c r="J386" s="255"/>
      <c r="K386" s="255"/>
      <c r="L386" s="255"/>
      <c r="M386" s="255"/>
    </row>
  </sheetData>
  <mergeCells count="4">
    <mergeCell ref="B1:G1"/>
    <mergeCell ref="I1:M1"/>
    <mergeCell ref="I8:M8"/>
    <mergeCell ref="B42:G46"/>
  </mergeCells>
  <pageMargins left="0.25" right="0.25" top="0.75" bottom="0.75" header="0.3" footer="0.3"/>
  <pageSetup scale="83" orientation="portrait" r:id="rId1"/>
  <headerFooter>
    <oddFooter>&amp;R&amp;P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79998168889431442"/>
  </sheetPr>
  <dimension ref="A1:KM384"/>
  <sheetViews>
    <sheetView topLeftCell="A7" zoomScale="80" zoomScaleNormal="80" workbookViewId="0">
      <selection activeCell="D32" sqref="D32"/>
    </sheetView>
  </sheetViews>
  <sheetFormatPr defaultColWidth="9.42578125" defaultRowHeight="12.75"/>
  <cols>
    <col min="1" max="1" width="9.42578125" style="253" customWidth="1"/>
    <col min="2" max="2" width="24.5703125" style="8" customWidth="1"/>
    <col min="3" max="4" width="12.42578125" style="8" customWidth="1"/>
    <col min="5" max="5" width="5.42578125" style="8" customWidth="1"/>
    <col min="6" max="6" width="8.42578125" style="8" bestFit="1" customWidth="1"/>
    <col min="7" max="7" width="53.42578125" style="8" customWidth="1"/>
    <col min="8" max="8" width="4" style="8" customWidth="1"/>
    <col min="9" max="9" width="30.5703125" style="8" customWidth="1"/>
    <col min="10" max="10" width="9.42578125" style="8"/>
    <col min="11" max="12" width="10.42578125" style="8" customWidth="1"/>
    <col min="13" max="13" width="14.42578125" style="8" customWidth="1"/>
    <col min="14" max="14" width="13.42578125" style="253" customWidth="1"/>
    <col min="15" max="15" width="48.42578125" style="8" customWidth="1"/>
    <col min="16" max="16" width="9.42578125" style="8"/>
    <col min="17" max="17" width="13.5703125" style="8" customWidth="1"/>
    <col min="18" max="18" width="10.5703125" style="8" customWidth="1"/>
    <col min="19" max="19" width="15.42578125" style="8" bestFit="1" customWidth="1"/>
    <col min="20" max="20" width="10.5703125" style="8" customWidth="1"/>
    <col min="21" max="21" width="15.5703125" style="8" customWidth="1"/>
    <col min="22" max="37" width="9.42578125" style="8"/>
    <col min="38" max="299" width="9.42578125" style="255"/>
    <col min="300" max="16384" width="9.42578125" style="8"/>
  </cols>
  <sheetData>
    <row r="1" spans="2:46" ht="13.5" thickBot="1">
      <c r="B1" s="2554" t="s">
        <v>546</v>
      </c>
      <c r="C1" s="2554"/>
      <c r="D1" s="2554"/>
      <c r="E1" s="2554"/>
      <c r="F1" s="2554"/>
      <c r="G1" s="2554"/>
      <c r="H1" s="253"/>
      <c r="I1" s="2587" t="s">
        <v>381</v>
      </c>
      <c r="J1" s="2587"/>
      <c r="K1" s="2587"/>
      <c r="L1" s="2587"/>
      <c r="M1" s="2587"/>
    </row>
    <row r="2" spans="2:46" ht="13.5" thickBot="1">
      <c r="B2" s="254"/>
      <c r="C2" s="253"/>
      <c r="D2" s="253"/>
      <c r="E2" s="253"/>
      <c r="F2" s="253"/>
      <c r="G2" s="253"/>
      <c r="H2" s="253"/>
      <c r="I2" s="253"/>
      <c r="J2" s="253"/>
      <c r="K2" s="253"/>
      <c r="L2" s="253"/>
      <c r="M2" s="253"/>
    </row>
    <row r="3" spans="2:46">
      <c r="B3" s="138" t="s">
        <v>0</v>
      </c>
      <c r="C3" s="139" t="s">
        <v>1</v>
      </c>
      <c r="D3" s="163" t="s">
        <v>2</v>
      </c>
      <c r="E3" s="253"/>
      <c r="F3" s="253"/>
      <c r="G3" s="253"/>
      <c r="H3" s="253"/>
      <c r="I3" s="253"/>
      <c r="J3" s="253"/>
      <c r="K3" s="253"/>
      <c r="L3" s="253"/>
      <c r="M3" s="253"/>
    </row>
    <row r="4" spans="2:46">
      <c r="B4" s="140" t="s">
        <v>370</v>
      </c>
      <c r="C4" s="141">
        <v>10</v>
      </c>
      <c r="D4" s="164">
        <f>C4*8</f>
        <v>80</v>
      </c>
      <c r="E4" s="253"/>
      <c r="F4" s="253"/>
      <c r="G4" s="253"/>
      <c r="H4" s="253"/>
      <c r="I4" s="253"/>
      <c r="J4" s="253"/>
      <c r="K4" s="253"/>
      <c r="L4" s="253"/>
      <c r="M4" s="253"/>
    </row>
    <row r="5" spans="2:46">
      <c r="B5" s="140" t="s">
        <v>378</v>
      </c>
      <c r="C5" s="141">
        <v>10</v>
      </c>
      <c r="D5" s="164">
        <f>C5*8</f>
        <v>80</v>
      </c>
      <c r="E5" s="253"/>
      <c r="F5" s="253"/>
      <c r="G5" s="253"/>
      <c r="H5" s="253"/>
      <c r="I5" s="253"/>
      <c r="J5" s="253"/>
      <c r="K5" s="253"/>
      <c r="L5" s="253"/>
      <c r="M5" s="253"/>
    </row>
    <row r="6" spans="2:46">
      <c r="B6" s="140" t="s">
        <v>372</v>
      </c>
      <c r="C6" s="141">
        <v>10</v>
      </c>
      <c r="D6" s="164">
        <f>C6*8</f>
        <v>80</v>
      </c>
      <c r="E6" s="253"/>
      <c r="F6" s="253"/>
      <c r="G6" s="253"/>
      <c r="H6" s="253"/>
      <c r="I6" s="253"/>
      <c r="J6" s="253"/>
      <c r="K6" s="253"/>
      <c r="L6" s="253"/>
      <c r="M6" s="253"/>
    </row>
    <row r="7" spans="2:46" ht="13.5" thickBot="1">
      <c r="B7" s="142" t="s">
        <v>14</v>
      </c>
      <c r="C7" s="141">
        <v>10</v>
      </c>
      <c r="D7" s="165">
        <f>C7*8</f>
        <v>80</v>
      </c>
      <c r="E7" s="253"/>
      <c r="F7" s="253"/>
      <c r="G7" s="253"/>
      <c r="H7" s="253"/>
      <c r="I7" s="253"/>
      <c r="J7" s="253"/>
      <c r="K7" s="253"/>
      <c r="L7" s="253"/>
      <c r="M7" s="253"/>
    </row>
    <row r="8" spans="2:46" ht="13.5" thickBot="1">
      <c r="B8" s="140"/>
      <c r="C8" s="143" t="s">
        <v>3</v>
      </c>
      <c r="D8" s="164">
        <f>SUM(D4:D7)</f>
        <v>320</v>
      </c>
      <c r="E8" s="253"/>
      <c r="F8" s="253"/>
      <c r="G8" s="253"/>
      <c r="H8" s="253"/>
      <c r="I8" s="2588" t="s">
        <v>577</v>
      </c>
      <c r="J8" s="2589"/>
      <c r="K8" s="2589"/>
      <c r="L8" s="2589"/>
      <c r="M8" s="2590"/>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row>
    <row r="9" spans="2:46" ht="13.5" thickBot="1">
      <c r="B9" s="144"/>
      <c r="C9" s="145" t="s">
        <v>4</v>
      </c>
      <c r="D9" s="166">
        <f>D8/(52*40)</f>
        <v>0.15384615384615385</v>
      </c>
      <c r="E9" s="253"/>
      <c r="F9" s="253"/>
      <c r="G9" s="253"/>
      <c r="H9" s="253"/>
      <c r="I9" s="146" t="s">
        <v>277</v>
      </c>
      <c r="J9" s="147">
        <v>5</v>
      </c>
      <c r="K9" s="148"/>
      <c r="L9" s="149" t="s">
        <v>133</v>
      </c>
      <c r="M9" s="150">
        <f>J9*365</f>
        <v>1825</v>
      </c>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row>
    <row r="10" spans="2:46" ht="13.5" thickBot="1">
      <c r="B10" s="253"/>
      <c r="C10" s="253"/>
      <c r="D10" s="253"/>
      <c r="E10" s="253"/>
      <c r="F10" s="253"/>
      <c r="G10" s="253"/>
      <c r="H10" s="253"/>
      <c r="I10" s="104"/>
      <c r="J10" s="72"/>
      <c r="K10" s="72"/>
      <c r="L10" s="72"/>
      <c r="M10" s="105"/>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row>
    <row r="11" spans="2:46" ht="25.5">
      <c r="B11" s="42"/>
      <c r="C11" s="153" t="s">
        <v>35</v>
      </c>
      <c r="D11" s="153" t="s">
        <v>41</v>
      </c>
      <c r="E11" s="271"/>
      <c r="F11" s="895"/>
      <c r="G11" s="259" t="s">
        <v>278</v>
      </c>
      <c r="H11" s="253"/>
      <c r="I11" s="106"/>
      <c r="J11" s="53"/>
      <c r="K11" s="54" t="s">
        <v>5</v>
      </c>
      <c r="L11" s="54" t="s">
        <v>6</v>
      </c>
      <c r="M11" s="107" t="s">
        <v>7</v>
      </c>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row>
    <row r="12" spans="2:46">
      <c r="B12" s="171" t="s">
        <v>29</v>
      </c>
      <c r="C12" s="45"/>
      <c r="D12" s="82"/>
      <c r="E12" s="45"/>
      <c r="F12" s="50"/>
      <c r="G12" s="260"/>
      <c r="H12" s="253"/>
      <c r="I12" s="100" t="str">
        <f t="shared" ref="I12:I23" si="0">B12</f>
        <v>Management</v>
      </c>
      <c r="J12" s="55"/>
      <c r="K12" s="56"/>
      <c r="L12" s="56"/>
      <c r="M12" s="108"/>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row>
    <row r="13" spans="2:46">
      <c r="B13" s="48" t="s">
        <v>421</v>
      </c>
      <c r="C13" s="85">
        <v>0.1</v>
      </c>
      <c r="D13" s="46">
        <f>'Integrated Team (FY21)'!E15</f>
        <v>92496.84919424048</v>
      </c>
      <c r="E13" s="45"/>
      <c r="F13" s="50"/>
      <c r="G13" s="260" t="str">
        <f>Int_Beh!G13</f>
        <v>FY16 UFR, Weighted Average, Program Function Manager</v>
      </c>
      <c r="H13" s="253"/>
      <c r="I13" s="104" t="str">
        <f>B13</f>
        <v xml:space="preserve">  Management Supervision</v>
      </c>
      <c r="J13" s="55"/>
      <c r="K13" s="58">
        <f>D13</f>
        <v>92496.84919424048</v>
      </c>
      <c r="L13" s="59">
        <f>C13</f>
        <v>0.1</v>
      </c>
      <c r="M13" s="110">
        <f>K13*L13</f>
        <v>9249.6849194240476</v>
      </c>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row>
    <row r="14" spans="2:46" ht="25.5">
      <c r="B14" s="48" t="s">
        <v>402</v>
      </c>
      <c r="C14" s="85">
        <v>1</v>
      </c>
      <c r="D14" s="46" t="e">
        <f>'Integrated Team (FY21)'!#REF!</f>
        <v>#REF!</v>
      </c>
      <c r="E14" s="45"/>
      <c r="F14" s="50"/>
      <c r="G14" s="266" t="str">
        <f>Int_Beh!G14</f>
        <v>FY15 UFR, Weighted Average, Assistant Director (LICSW Level) / Previous Proposed Benchmark</v>
      </c>
      <c r="H14" s="253"/>
      <c r="I14" s="104" t="str">
        <f>B14</f>
        <v xml:space="preserve">  Specialty Site Manager</v>
      </c>
      <c r="J14" s="55"/>
      <c r="K14" s="58" t="e">
        <f>D14</f>
        <v>#REF!</v>
      </c>
      <c r="L14" s="59">
        <f>C14</f>
        <v>1</v>
      </c>
      <c r="M14" s="110" t="e">
        <f>K14*L14</f>
        <v>#REF!</v>
      </c>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c r="AO14" s="253"/>
      <c r="AP14" s="253"/>
      <c r="AQ14" s="253"/>
      <c r="AR14" s="253"/>
      <c r="AS14" s="253"/>
      <c r="AT14" s="253"/>
    </row>
    <row r="15" spans="2:46">
      <c r="B15" s="44" t="s">
        <v>30</v>
      </c>
      <c r="C15" s="85"/>
      <c r="D15" s="46"/>
      <c r="E15" s="50"/>
      <c r="F15" s="50"/>
      <c r="G15" s="260"/>
      <c r="H15" s="253"/>
      <c r="I15" s="111" t="str">
        <f t="shared" si="0"/>
        <v>Medical and Clinical</v>
      </c>
      <c r="J15" s="57"/>
      <c r="K15" s="58"/>
      <c r="L15" s="59"/>
      <c r="M15" s="110"/>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row>
    <row r="16" spans="2:46">
      <c r="B16" s="48" t="s">
        <v>285</v>
      </c>
      <c r="C16" s="85">
        <v>0.12</v>
      </c>
      <c r="D16" s="46">
        <f>'Integrated Team (FY21)'!E17</f>
        <v>208323.9231935351</v>
      </c>
      <c r="E16" s="50"/>
      <c r="F16" s="50"/>
      <c r="G16" s="260" t="s">
        <v>447</v>
      </c>
      <c r="H16" s="253"/>
      <c r="I16" s="109" t="str">
        <f t="shared" si="0"/>
        <v xml:space="preserve">  Psychiatrist</v>
      </c>
      <c r="J16" s="57"/>
      <c r="K16" s="58">
        <f>D16</f>
        <v>208323.9231935351</v>
      </c>
      <c r="L16" s="59">
        <f>C16</f>
        <v>0.12</v>
      </c>
      <c r="M16" s="110">
        <f t="shared" ref="M16:M23" si="1">K16*L16</f>
        <v>24998.870783224211</v>
      </c>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row>
    <row r="17" spans="2:46" ht="29.25" customHeight="1">
      <c r="B17" s="380" t="s">
        <v>47</v>
      </c>
      <c r="C17" s="381">
        <v>0.05</v>
      </c>
      <c r="D17" s="375" t="e">
        <f>'Integrated Team (FY21)'!#REF!</f>
        <v>#REF!</v>
      </c>
      <c r="E17" s="50"/>
      <c r="F17" s="50"/>
      <c r="G17" s="352" t="str">
        <f>Int_Beh!G61</f>
        <v>BLS /OES Massachusetts Median 2018</v>
      </c>
      <c r="H17" s="253"/>
      <c r="I17" s="376" t="str">
        <f t="shared" si="0"/>
        <v xml:space="preserve">  LPHA</v>
      </c>
      <c r="J17" s="377"/>
      <c r="K17" s="378" t="e">
        <f>D17</f>
        <v>#REF!</v>
      </c>
      <c r="L17" s="382">
        <f>C17</f>
        <v>0.05</v>
      </c>
      <c r="M17" s="379" t="e">
        <f t="shared" si="1"/>
        <v>#REF!</v>
      </c>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row>
    <row r="18" spans="2:46">
      <c r="B18" s="48" t="s">
        <v>123</v>
      </c>
      <c r="C18" s="85">
        <v>0.12</v>
      </c>
      <c r="D18" s="46">
        <f>'FY15 Salary Benchmark'!C11*(1+D39)</f>
        <v>70360.439368742242</v>
      </c>
      <c r="E18" s="50"/>
      <c r="F18" s="50"/>
      <c r="G18" s="260" t="s">
        <v>447</v>
      </c>
      <c r="H18" s="253"/>
      <c r="I18" s="109" t="str">
        <f t="shared" si="0"/>
        <v xml:space="preserve">  Occupational Therapist</v>
      </c>
      <c r="J18" s="57"/>
      <c r="K18" s="58">
        <f>D18</f>
        <v>70360.439368742242</v>
      </c>
      <c r="L18" s="59">
        <f>C18</f>
        <v>0.12</v>
      </c>
      <c r="M18" s="110">
        <f>K18*L18</f>
        <v>8443.2527242490687</v>
      </c>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row>
    <row r="19" spans="2:46">
      <c r="B19" s="48" t="s">
        <v>126</v>
      </c>
      <c r="C19" s="85">
        <v>0.2</v>
      </c>
      <c r="D19" s="46">
        <f>Int_Beh!D62</f>
        <v>51700.782965485909</v>
      </c>
      <c r="E19" s="50"/>
      <c r="F19" s="50"/>
      <c r="G19" s="260" t="s">
        <v>447</v>
      </c>
      <c r="H19" s="253"/>
      <c r="I19" s="109" t="str">
        <f t="shared" si="0"/>
        <v xml:space="preserve">  LPN</v>
      </c>
      <c r="J19" s="57"/>
      <c r="K19" s="58">
        <f>D19</f>
        <v>51700.782965485909</v>
      </c>
      <c r="L19" s="59">
        <f>C19</f>
        <v>0.2</v>
      </c>
      <c r="M19" s="110">
        <f t="shared" si="1"/>
        <v>10340.156593097183</v>
      </c>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row>
    <row r="20" spans="2:46">
      <c r="B20" s="44" t="s">
        <v>31</v>
      </c>
      <c r="C20" s="85"/>
      <c r="D20" s="46"/>
      <c r="E20" s="50"/>
      <c r="F20" s="50"/>
      <c r="G20" s="260"/>
      <c r="H20" s="253"/>
      <c r="I20" s="111" t="str">
        <f t="shared" si="0"/>
        <v>Direct Care</v>
      </c>
      <c r="J20" s="57"/>
      <c r="K20" s="58"/>
      <c r="L20" s="59"/>
      <c r="M20" s="110"/>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row>
    <row r="21" spans="2:46">
      <c r="B21" s="48" t="s">
        <v>124</v>
      </c>
      <c r="C21" s="85">
        <v>0.5</v>
      </c>
      <c r="D21" s="46">
        <f>Int_Beh!D16</f>
        <v>45124.774005912077</v>
      </c>
      <c r="E21" s="50"/>
      <c r="F21" s="50"/>
      <c r="G21" s="260" t="str">
        <f>Int_Beh!G16</f>
        <v>Benchmark to 101 CMR 420</v>
      </c>
      <c r="H21" s="253"/>
      <c r="I21" s="109" t="str">
        <f t="shared" si="0"/>
        <v xml:space="preserve">  DC Evening Supervisor</v>
      </c>
      <c r="J21" s="57"/>
      <c r="K21" s="58">
        <f>D21</f>
        <v>45124.774005912077</v>
      </c>
      <c r="L21" s="59">
        <f>C21</f>
        <v>0.5</v>
      </c>
      <c r="M21" s="110">
        <f t="shared" si="1"/>
        <v>22562.387002956038</v>
      </c>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row>
    <row r="22" spans="2:46">
      <c r="B22" s="48" t="s">
        <v>129</v>
      </c>
      <c r="C22" s="85">
        <v>8.6199999999999992</v>
      </c>
      <c r="D22" s="46">
        <f>Int_Beh!D17</f>
        <v>35063.449294968901</v>
      </c>
      <c r="E22" s="50"/>
      <c r="F22" s="50"/>
      <c r="G22" s="260" t="str">
        <f>Int_Beh!G17</f>
        <v>FY15 UFR, Weighted Average, average of DC I + II + III</v>
      </c>
      <c r="H22" s="253"/>
      <c r="I22" s="109" t="str">
        <f t="shared" si="0"/>
        <v xml:space="preserve">  DC Blended (DC I + II + III)</v>
      </c>
      <c r="J22" s="57"/>
      <c r="K22" s="58">
        <f>D22</f>
        <v>35063.449294968901</v>
      </c>
      <c r="L22" s="59">
        <f>C22</f>
        <v>8.6199999999999992</v>
      </c>
      <c r="M22" s="110">
        <f t="shared" si="1"/>
        <v>302246.93292263191</v>
      </c>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row>
    <row r="23" spans="2:46">
      <c r="B23" s="48" t="s">
        <v>49</v>
      </c>
      <c r="C23" s="85">
        <f>C22*D9</f>
        <v>1.326153846153846</v>
      </c>
      <c r="D23" s="46">
        <f>D22</f>
        <v>35063.449294968901</v>
      </c>
      <c r="E23" s="50"/>
      <c r="F23" s="50"/>
      <c r="G23" s="260"/>
      <c r="H23" s="253"/>
      <c r="I23" s="288" t="str">
        <f t="shared" si="0"/>
        <v xml:space="preserve">  Relief</v>
      </c>
      <c r="J23" s="57"/>
      <c r="K23" s="58">
        <f>D23</f>
        <v>35063.449294968901</v>
      </c>
      <c r="L23" s="59">
        <f>C23</f>
        <v>1.326153846153846</v>
      </c>
      <c r="M23" s="110">
        <f t="shared" si="1"/>
        <v>46499.528141943367</v>
      </c>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row>
    <row r="24" spans="2:46">
      <c r="B24" s="48"/>
      <c r="C24" s="45"/>
      <c r="D24" s="46"/>
      <c r="E24" s="50"/>
      <c r="F24" s="50"/>
      <c r="G24" s="260"/>
      <c r="H24" s="253"/>
      <c r="I24" s="114" t="s">
        <v>13</v>
      </c>
      <c r="J24" s="3"/>
      <c r="K24" s="3"/>
      <c r="L24" s="64">
        <f>SUM(L13:L23)</f>
        <v>12.036153846153844</v>
      </c>
      <c r="M24" s="115" t="e">
        <f>SUM(M13:M23)</f>
        <v>#REF!</v>
      </c>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row>
    <row r="25" spans="2:46">
      <c r="B25" s="48"/>
      <c r="C25" s="45"/>
      <c r="D25" s="46"/>
      <c r="E25" s="45"/>
      <c r="F25" s="45"/>
      <c r="G25" s="260"/>
      <c r="H25" s="253"/>
      <c r="I25" s="104"/>
      <c r="J25" s="72"/>
      <c r="K25" s="72"/>
      <c r="L25" s="72"/>
      <c r="M25" s="116"/>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row>
    <row r="26" spans="2:46">
      <c r="B26" s="81"/>
      <c r="C26" s="45"/>
      <c r="D26" s="82" t="s">
        <v>42</v>
      </c>
      <c r="E26" s="45"/>
      <c r="F26" s="45"/>
      <c r="G26" s="260"/>
      <c r="H26" s="253"/>
      <c r="I26" s="100" t="s">
        <v>15</v>
      </c>
      <c r="J26" s="72"/>
      <c r="K26" s="72"/>
      <c r="L26" s="4" t="s">
        <v>16</v>
      </c>
      <c r="M26" s="105"/>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row>
    <row r="27" spans="2:46">
      <c r="B27" s="81" t="s">
        <v>434</v>
      </c>
      <c r="C27" s="45"/>
      <c r="D27" s="88" t="e">
        <f>'Integrated Team (FY21)'!#REF!</f>
        <v>#REF!</v>
      </c>
      <c r="E27" s="51"/>
      <c r="F27" s="51"/>
      <c r="G27" s="260" t="str">
        <f>Int_Beh!G22</f>
        <v>Avg of the FY15 data.</v>
      </c>
      <c r="H27" s="253"/>
      <c r="I27" s="104" t="s">
        <v>17</v>
      </c>
      <c r="J27" s="72"/>
      <c r="K27" s="65" t="e">
        <f>D27</f>
        <v>#REF!</v>
      </c>
      <c r="L27" s="72"/>
      <c r="M27" s="117" t="e">
        <f>K27*M24</f>
        <v>#REF!</v>
      </c>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row>
    <row r="28" spans="2:46">
      <c r="B28" s="171"/>
      <c r="C28" s="51"/>
      <c r="D28" s="51"/>
      <c r="E28" s="51"/>
      <c r="F28" s="51"/>
      <c r="G28" s="260"/>
      <c r="H28" s="253"/>
      <c r="I28" s="114" t="s">
        <v>18</v>
      </c>
      <c r="J28" s="3"/>
      <c r="K28" s="3"/>
      <c r="L28" s="63"/>
      <c r="M28" s="118" t="e">
        <f>M24+M27</f>
        <v>#REF!</v>
      </c>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row>
    <row r="29" spans="2:46">
      <c r="B29" s="48"/>
      <c r="C29" s="51"/>
      <c r="D29" s="82" t="s">
        <v>367</v>
      </c>
      <c r="E29" s="51"/>
      <c r="F29" s="51"/>
      <c r="G29" s="260"/>
      <c r="H29" s="253"/>
      <c r="I29" s="959" t="str">
        <f>B30</f>
        <v xml:space="preserve">  Staff Training</v>
      </c>
      <c r="J29" s="57"/>
      <c r="K29" s="952">
        <f>D30</f>
        <v>360</v>
      </c>
      <c r="L29" s="57"/>
      <c r="M29" s="951">
        <f>K29*L24</f>
        <v>4333.0153846153844</v>
      </c>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row>
    <row r="30" spans="2:46">
      <c r="B30" s="811" t="str">
        <f>Int_Beh!B163</f>
        <v xml:space="preserve">  Staff Training</v>
      </c>
      <c r="C30" s="812"/>
      <c r="D30" s="813">
        <f>Int_Beh!E163</f>
        <v>360</v>
      </c>
      <c r="E30" s="812"/>
      <c r="F30" s="812"/>
      <c r="G30" s="814" t="str">
        <f>Med_Int_Spec!G32</f>
        <v>Avg of the FY15 CBFS data per FTE.</v>
      </c>
      <c r="H30" s="253"/>
      <c r="I30" s="109" t="str">
        <f>B32</f>
        <v xml:space="preserve">  Transportation</v>
      </c>
      <c r="J30" s="57"/>
      <c r="K30" s="72"/>
      <c r="L30" s="57"/>
      <c r="M30" s="290">
        <f>D32</f>
        <v>6191.6539525126345</v>
      </c>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row>
    <row r="31" spans="2:46">
      <c r="B31" s="368"/>
      <c r="C31" s="371"/>
      <c r="D31" s="369"/>
      <c r="E31" s="371"/>
      <c r="F31" s="371"/>
      <c r="G31" s="388"/>
      <c r="H31" s="253"/>
      <c r="J31" s="57"/>
      <c r="L31" s="57"/>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row>
    <row r="32" spans="2:46">
      <c r="B32" s="81" t="s">
        <v>435</v>
      </c>
      <c r="C32" s="45"/>
      <c r="D32" s="90">
        <f>Med_Int_Spec!D33</f>
        <v>6191.6539525126345</v>
      </c>
      <c r="F32" s="325"/>
      <c r="G32" s="298" t="str">
        <f>GLE!G79</f>
        <v>Benchmark 101 CMR 420: allocation for van, 1 van / 2 GLEs</v>
      </c>
      <c r="H32" s="253"/>
      <c r="I32" s="291" t="str">
        <f>B33</f>
        <v xml:space="preserve">  Program Supplies &amp; Materials</v>
      </c>
      <c r="J32" s="57"/>
      <c r="K32" s="170">
        <f>D33</f>
        <v>642.72053101483573</v>
      </c>
      <c r="L32" s="57"/>
      <c r="M32" s="290">
        <f>K32*L24</f>
        <v>7735.883191376256</v>
      </c>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row>
    <row r="33" spans="1:299">
      <c r="B33" s="81" t="s">
        <v>454</v>
      </c>
      <c r="C33" s="45"/>
      <c r="D33" s="89">
        <f>'Integrated Team (FY21)'!E44</f>
        <v>642.72053101483573</v>
      </c>
      <c r="E33" s="45"/>
      <c r="F33" s="45"/>
      <c r="G33" s="260" t="str">
        <f>Int_Beh!G31</f>
        <v>Program Supplies &amp; Materials (33E) per FTE.</v>
      </c>
      <c r="H33" s="253"/>
      <c r="I33" s="104"/>
      <c r="J33" s="72"/>
      <c r="K33" s="72"/>
      <c r="L33" s="185"/>
      <c r="M33" s="124">
        <f>SUM(M29:M32)</f>
        <v>18260.552528504275</v>
      </c>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row>
    <row r="34" spans="1:299">
      <c r="B34" s="582" t="s">
        <v>792</v>
      </c>
      <c r="C34" s="595"/>
      <c r="D34" s="596"/>
      <c r="E34" s="175"/>
      <c r="F34" s="616">
        <v>8.16</v>
      </c>
      <c r="G34" s="604" t="s">
        <v>599</v>
      </c>
      <c r="H34" s="253"/>
      <c r="I34" s="104"/>
      <c r="J34" s="72"/>
      <c r="K34" s="72"/>
      <c r="L34" s="66"/>
      <c r="M34" s="125"/>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row>
    <row r="35" spans="1:299">
      <c r="B35" s="81"/>
      <c r="C35" s="45"/>
      <c r="D35" s="45"/>
      <c r="E35" s="45"/>
      <c r="F35" s="45"/>
      <c r="G35" s="260"/>
      <c r="H35" s="253"/>
      <c r="I35" s="114" t="s">
        <v>23</v>
      </c>
      <c r="J35" s="3"/>
      <c r="K35" s="3"/>
      <c r="L35" s="3"/>
      <c r="M35" s="126" t="e">
        <f>SUM(M28,M33)</f>
        <v>#REF!</v>
      </c>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row>
    <row r="36" spans="1:299">
      <c r="B36" s="81" t="s">
        <v>437</v>
      </c>
      <c r="C36" s="45"/>
      <c r="D36" s="88">
        <f>'Integrated Team (FY21)'!E46</f>
        <v>0.12</v>
      </c>
      <c r="E36" s="45"/>
      <c r="F36" s="45"/>
      <c r="G36" s="83" t="s">
        <v>472</v>
      </c>
      <c r="H36" s="253"/>
      <c r="I36" s="104"/>
      <c r="J36" s="72"/>
      <c r="K36" s="72"/>
      <c r="L36" s="73"/>
      <c r="M36" s="127"/>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row>
    <row r="37" spans="1:299">
      <c r="B37" s="865" t="s">
        <v>818</v>
      </c>
      <c r="C37" s="932"/>
      <c r="D37" s="908">
        <v>7.4999999999999997E-3</v>
      </c>
      <c r="E37" s="45"/>
      <c r="F37" s="45"/>
      <c r="G37" s="260"/>
      <c r="H37" s="253"/>
      <c r="I37" s="104" t="str">
        <f>B36</f>
        <v xml:space="preserve">  Admin. Allocation</v>
      </c>
      <c r="J37" s="72"/>
      <c r="K37" s="187">
        <f>D36</f>
        <v>0.12</v>
      </c>
      <c r="L37" s="72"/>
      <c r="M37" s="117" t="e">
        <f>K37*M35</f>
        <v>#REF!</v>
      </c>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row>
    <row r="38" spans="1:299">
      <c r="B38" s="81"/>
      <c r="C38" s="45"/>
      <c r="D38" s="45"/>
      <c r="E38" s="45"/>
      <c r="F38" s="45"/>
      <c r="G38" s="260"/>
      <c r="H38" s="253"/>
      <c r="I38" s="865" t="str">
        <f>B37</f>
        <v xml:space="preserve">  PFLMA Trust Contribution</v>
      </c>
      <c r="J38" s="932"/>
      <c r="K38" s="949">
        <v>0</v>
      </c>
      <c r="L38" s="72"/>
      <c r="M38" s="117" t="e">
        <f>K38*M24</f>
        <v>#REF!</v>
      </c>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row>
    <row r="39" spans="1:299">
      <c r="B39" s="81" t="s">
        <v>438</v>
      </c>
      <c r="C39" s="45"/>
      <c r="D39" s="389">
        <v>7.6809383045675458E-2</v>
      </c>
      <c r="E39" s="45"/>
      <c r="F39" s="45"/>
      <c r="G39" s="260"/>
      <c r="H39" s="253"/>
      <c r="I39" s="104"/>
      <c r="J39" s="72"/>
      <c r="K39" s="72"/>
      <c r="L39" s="72"/>
      <c r="M39" s="128"/>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row>
    <row r="40" spans="1:299" ht="13.5" thickBot="1">
      <c r="B40" s="94" t="s">
        <v>438</v>
      </c>
      <c r="C40" s="95"/>
      <c r="D40" s="96">
        <v>2.5000000000000001E-2</v>
      </c>
      <c r="E40" s="95"/>
      <c r="F40" s="95"/>
      <c r="G40" s="262"/>
      <c r="H40" s="253"/>
      <c r="I40" s="129" t="s">
        <v>25</v>
      </c>
      <c r="J40" s="74"/>
      <c r="K40" s="74"/>
      <c r="L40" s="74"/>
      <c r="M40" s="130" t="e">
        <f>SUM(M35:M39)</f>
        <v>#REF!</v>
      </c>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row>
    <row r="41" spans="1:299">
      <c r="B41" s="2610" t="s">
        <v>597</v>
      </c>
      <c r="C41" s="2610"/>
      <c r="D41" s="2610"/>
      <c r="E41" s="2610"/>
      <c r="F41" s="2610"/>
      <c r="G41" s="2610"/>
      <c r="H41" s="253"/>
      <c r="I41" s="104"/>
      <c r="J41" s="72"/>
      <c r="K41" s="72"/>
      <c r="L41" s="72"/>
      <c r="M41" s="105"/>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row>
    <row r="42" spans="1:299">
      <c r="B42" s="2611"/>
      <c r="C42" s="2611"/>
      <c r="D42" s="2611"/>
      <c r="E42" s="2611"/>
      <c r="F42" s="2611"/>
      <c r="G42" s="2611"/>
      <c r="H42" s="253"/>
      <c r="I42" s="104" t="str">
        <f>B40</f>
        <v xml:space="preserve">  CAF</v>
      </c>
      <c r="J42" s="72"/>
      <c r="K42" s="131">
        <v>0</v>
      </c>
      <c r="L42" s="72"/>
      <c r="M42" s="132" t="e">
        <f>M40*(1+K42)</f>
        <v>#REF!</v>
      </c>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row>
    <row r="43" spans="1:299" ht="13.5" thickBot="1">
      <c r="B43" s="2611"/>
      <c r="C43" s="2611"/>
      <c r="D43" s="2611"/>
      <c r="E43" s="2611"/>
      <c r="F43" s="2611"/>
      <c r="G43" s="2611"/>
      <c r="H43" s="253"/>
      <c r="I43" s="570" t="str">
        <f>B34</f>
        <v xml:space="preserve">  Meals / Food***</v>
      </c>
      <c r="J43" s="72"/>
      <c r="K43" s="882">
        <f>F34</f>
        <v>8.16</v>
      </c>
      <c r="L43" s="122"/>
      <c r="M43" s="960">
        <f>K43*M9</f>
        <v>14892</v>
      </c>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row>
    <row r="44" spans="1:299" ht="13.5" thickTop="1">
      <c r="B44" s="2611"/>
      <c r="C44" s="2611"/>
      <c r="D44" s="2611"/>
      <c r="E44" s="2611"/>
      <c r="F44" s="2611"/>
      <c r="G44" s="2611"/>
      <c r="H44" s="253"/>
      <c r="I44" s="104"/>
      <c r="J44" s="72"/>
      <c r="K44" s="131"/>
      <c r="L44" s="72"/>
      <c r="M44" s="132" t="e">
        <f>SUM(M42:M43)</f>
        <v>#REF!</v>
      </c>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row>
    <row r="45" spans="1:299">
      <c r="B45" s="2611"/>
      <c r="C45" s="2611"/>
      <c r="D45" s="2611"/>
      <c r="E45" s="2611"/>
      <c r="F45" s="2611"/>
      <c r="G45" s="2611"/>
      <c r="H45" s="253"/>
      <c r="I45" s="104"/>
      <c r="J45" s="72"/>
      <c r="K45" s="72"/>
      <c r="L45" s="72"/>
      <c r="M45" s="136"/>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row>
    <row r="46" spans="1:299" ht="13.5" thickBot="1">
      <c r="B46" s="253"/>
      <c r="C46" s="253"/>
      <c r="D46" s="253"/>
      <c r="E46" s="253"/>
      <c r="F46" s="253"/>
      <c r="G46" s="253"/>
      <c r="H46" s="253"/>
      <c r="I46" s="104" t="s">
        <v>28</v>
      </c>
      <c r="J46" s="72"/>
      <c r="K46" s="72"/>
      <c r="L46" s="73"/>
      <c r="M46" s="958" t="e">
        <f>M44/M9</f>
        <v>#REF!</v>
      </c>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row>
    <row r="47" spans="1:299" s="253" customFormat="1" ht="13.5" thickBot="1">
      <c r="I47" s="584"/>
      <c r="J47" s="358"/>
      <c r="K47" s="359"/>
      <c r="L47" s="360"/>
      <c r="M47" s="577"/>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c r="IX47" s="255"/>
      <c r="IY47" s="255"/>
      <c r="IZ47" s="255"/>
      <c r="JA47" s="255"/>
      <c r="JB47" s="255"/>
      <c r="JC47" s="255"/>
      <c r="JD47" s="255"/>
      <c r="JE47" s="255"/>
      <c r="JF47" s="255"/>
      <c r="JG47" s="255"/>
      <c r="JH47" s="255"/>
      <c r="JI47" s="255"/>
      <c r="JJ47" s="255"/>
      <c r="JK47" s="255"/>
      <c r="JL47" s="255"/>
      <c r="JM47" s="255"/>
      <c r="JN47" s="255"/>
      <c r="JO47" s="255"/>
      <c r="JP47" s="255"/>
      <c r="JQ47" s="255"/>
      <c r="JR47" s="255"/>
      <c r="JS47" s="255"/>
      <c r="JT47" s="255"/>
      <c r="JU47" s="255"/>
      <c r="JV47" s="255"/>
      <c r="JW47" s="255"/>
      <c r="JX47" s="255"/>
      <c r="JY47" s="255"/>
      <c r="JZ47" s="255"/>
      <c r="KA47" s="255"/>
      <c r="KB47" s="255"/>
      <c r="KC47" s="255"/>
      <c r="KD47" s="255"/>
      <c r="KE47" s="255"/>
      <c r="KF47" s="255"/>
      <c r="KG47" s="255"/>
      <c r="KH47" s="255"/>
      <c r="KI47" s="255"/>
      <c r="KJ47" s="255"/>
      <c r="KK47" s="255"/>
      <c r="KL47" s="255"/>
      <c r="KM47" s="255"/>
    </row>
    <row r="48" spans="1:299" s="255" customFormat="1">
      <c r="A48" s="253"/>
      <c r="B48" s="253"/>
      <c r="C48" s="253"/>
      <c r="D48" s="253"/>
      <c r="E48" s="253"/>
      <c r="F48" s="253"/>
      <c r="G48" s="253"/>
      <c r="H48" s="253"/>
      <c r="I48" s="253"/>
      <c r="J48" s="253"/>
      <c r="K48" s="253"/>
      <c r="L48" s="253" t="s">
        <v>817</v>
      </c>
      <c r="M48" s="253">
        <v>377.55</v>
      </c>
      <c r="N48" s="593" t="e">
        <f>M49/M48</f>
        <v>#REF!</v>
      </c>
      <c r="O48" s="8"/>
      <c r="P48" s="8"/>
      <c r="Q48" s="8"/>
      <c r="R48" s="8"/>
      <c r="S48" s="8"/>
      <c r="T48" s="8"/>
      <c r="U48" s="8"/>
      <c r="V48" s="8"/>
      <c r="W48" s="8"/>
      <c r="X48" s="8"/>
      <c r="Y48" s="8"/>
      <c r="Z48" s="8"/>
      <c r="AA48" s="8"/>
      <c r="AB48" s="8"/>
      <c r="AC48" s="8"/>
      <c r="AD48" s="8"/>
      <c r="AE48" s="8"/>
      <c r="AF48" s="8"/>
      <c r="AG48" s="8"/>
      <c r="AH48" s="8"/>
      <c r="AI48" s="8"/>
      <c r="AJ48" s="8"/>
      <c r="AK48" s="8"/>
    </row>
    <row r="49" spans="1:37" s="255" customFormat="1">
      <c r="A49" s="253"/>
      <c r="B49" s="253"/>
      <c r="C49" s="253"/>
      <c r="D49" s="253"/>
      <c r="E49" s="253"/>
      <c r="F49" s="253"/>
      <c r="G49" s="253"/>
      <c r="H49" s="253"/>
      <c r="I49" s="253"/>
      <c r="J49" s="253"/>
      <c r="K49" s="253"/>
      <c r="L49" s="253"/>
      <c r="M49" s="482" t="e">
        <f>M46-M48</f>
        <v>#REF!</v>
      </c>
      <c r="N49" s="253"/>
      <c r="O49" s="8"/>
      <c r="P49" s="8"/>
      <c r="Q49" s="8"/>
      <c r="R49" s="8"/>
      <c r="S49" s="8"/>
      <c r="T49" s="8"/>
      <c r="U49" s="8"/>
      <c r="V49" s="8"/>
      <c r="W49" s="8"/>
      <c r="X49" s="8"/>
      <c r="Y49" s="8"/>
      <c r="Z49" s="8"/>
      <c r="AA49" s="8"/>
      <c r="AB49" s="8"/>
      <c r="AC49" s="8"/>
      <c r="AD49" s="8"/>
      <c r="AE49" s="8"/>
      <c r="AF49" s="8"/>
      <c r="AG49" s="8"/>
      <c r="AH49" s="8"/>
      <c r="AI49" s="8"/>
      <c r="AJ49" s="8"/>
      <c r="AK49" s="8"/>
    </row>
    <row r="50" spans="1:37" s="255" customFormat="1">
      <c r="A50" s="253"/>
      <c r="B50" s="253"/>
      <c r="C50" s="253"/>
      <c r="D50" s="253"/>
      <c r="E50" s="253"/>
      <c r="F50" s="253"/>
      <c r="G50" s="253"/>
      <c r="H50" s="253"/>
      <c r="I50" s="253"/>
      <c r="J50" s="253"/>
      <c r="K50" s="253"/>
      <c r="L50" s="253"/>
      <c r="M50" s="253"/>
      <c r="N50" s="253"/>
      <c r="O50" s="8"/>
      <c r="P50" s="8"/>
      <c r="Q50" s="8"/>
      <c r="R50" s="8"/>
      <c r="S50" s="8"/>
      <c r="T50" s="8"/>
      <c r="U50" s="8"/>
      <c r="V50" s="8"/>
      <c r="W50" s="8"/>
      <c r="X50" s="8"/>
      <c r="Y50" s="8"/>
      <c r="Z50" s="8"/>
      <c r="AA50" s="8"/>
      <c r="AB50" s="8"/>
      <c r="AC50" s="8"/>
      <c r="AD50" s="8"/>
      <c r="AE50" s="8"/>
      <c r="AF50" s="8"/>
      <c r="AG50" s="8"/>
      <c r="AH50" s="8"/>
      <c r="AI50" s="8"/>
      <c r="AJ50" s="8"/>
      <c r="AK50" s="8"/>
    </row>
    <row r="51" spans="1:37" s="255" customFormat="1">
      <c r="A51" s="253"/>
      <c r="B51" s="253"/>
      <c r="C51" s="253"/>
      <c r="D51" s="253"/>
      <c r="E51" s="253"/>
      <c r="F51" s="253"/>
      <c r="G51" s="253"/>
      <c r="H51" s="253"/>
      <c r="I51" s="253"/>
      <c r="J51" s="253"/>
      <c r="K51" s="253"/>
      <c r="L51" s="253"/>
      <c r="M51" s="253"/>
      <c r="N51" s="253"/>
      <c r="O51" s="8"/>
      <c r="P51" s="8"/>
      <c r="Q51" s="8"/>
      <c r="R51" s="8"/>
      <c r="S51" s="8"/>
      <c r="T51" s="8"/>
      <c r="U51" s="8"/>
      <c r="V51" s="8"/>
      <c r="W51" s="8"/>
      <c r="X51" s="8"/>
      <c r="Y51" s="8"/>
      <c r="Z51" s="8"/>
      <c r="AA51" s="8"/>
      <c r="AB51" s="8"/>
      <c r="AC51" s="8"/>
      <c r="AD51" s="8"/>
      <c r="AE51" s="8"/>
      <c r="AF51" s="8"/>
      <c r="AG51" s="8"/>
      <c r="AH51" s="8"/>
      <c r="AI51" s="8"/>
      <c r="AJ51" s="8"/>
      <c r="AK51" s="8"/>
    </row>
    <row r="52" spans="1:37" s="255" customFormat="1">
      <c r="A52" s="253"/>
      <c r="B52" s="253"/>
      <c r="C52" s="253"/>
      <c r="D52" s="253"/>
      <c r="E52" s="253"/>
      <c r="F52" s="253"/>
      <c r="G52" s="253"/>
      <c r="H52" s="253"/>
      <c r="I52" s="253"/>
      <c r="J52" s="253"/>
      <c r="K52" s="253"/>
      <c r="L52" s="253"/>
      <c r="M52" s="253"/>
      <c r="N52" s="253"/>
      <c r="O52" s="8"/>
      <c r="P52" s="8"/>
      <c r="Q52" s="8"/>
      <c r="R52" s="8"/>
      <c r="S52" s="8"/>
      <c r="T52" s="8"/>
      <c r="U52" s="8"/>
      <c r="V52" s="8"/>
      <c r="W52" s="8"/>
      <c r="X52" s="8"/>
      <c r="Y52" s="8"/>
      <c r="Z52" s="8"/>
      <c r="AA52" s="8"/>
      <c r="AB52" s="8"/>
      <c r="AC52" s="8"/>
      <c r="AD52" s="8"/>
      <c r="AE52" s="8"/>
      <c r="AF52" s="8"/>
      <c r="AG52" s="8"/>
      <c r="AH52" s="8"/>
      <c r="AI52" s="8"/>
      <c r="AJ52" s="8"/>
      <c r="AK52" s="8"/>
    </row>
    <row r="53" spans="1:37" s="255" customFormat="1">
      <c r="A53" s="253"/>
      <c r="B53" s="253"/>
      <c r="C53" s="253"/>
      <c r="D53" s="253"/>
      <c r="E53" s="253"/>
      <c r="F53" s="253"/>
      <c r="G53" s="253"/>
      <c r="H53" s="253"/>
      <c r="I53" s="253"/>
      <c r="J53" s="253"/>
      <c r="K53" s="253"/>
      <c r="L53" s="253"/>
      <c r="M53" s="253"/>
      <c r="N53" s="253"/>
      <c r="O53" s="8"/>
      <c r="P53" s="8"/>
      <c r="Q53" s="8"/>
      <c r="R53" s="8"/>
      <c r="S53" s="8"/>
      <c r="T53" s="8"/>
      <c r="U53" s="8"/>
      <c r="V53" s="8"/>
      <c r="W53" s="8"/>
      <c r="X53" s="8"/>
      <c r="Y53" s="8"/>
      <c r="Z53" s="8"/>
      <c r="AA53" s="8"/>
      <c r="AB53" s="8"/>
      <c r="AC53" s="8"/>
      <c r="AD53" s="8"/>
      <c r="AE53" s="8"/>
      <c r="AF53" s="8"/>
      <c r="AG53" s="8"/>
      <c r="AH53" s="8"/>
      <c r="AI53" s="8"/>
      <c r="AJ53" s="8"/>
      <c r="AK53" s="8"/>
    </row>
    <row r="54" spans="1:37" s="255" customFormat="1">
      <c r="A54" s="253"/>
      <c r="B54" s="253"/>
      <c r="C54" s="253"/>
      <c r="D54" s="253"/>
      <c r="E54" s="253"/>
      <c r="F54" s="253"/>
      <c r="G54" s="253"/>
      <c r="H54" s="253"/>
      <c r="I54" s="253"/>
      <c r="J54" s="253"/>
      <c r="K54" s="253"/>
      <c r="L54" s="253"/>
      <c r="M54" s="253"/>
      <c r="N54" s="253"/>
      <c r="O54" s="8"/>
      <c r="P54" s="8"/>
      <c r="Q54" s="8"/>
      <c r="R54" s="8"/>
      <c r="S54" s="8"/>
      <c r="T54" s="8"/>
      <c r="U54" s="8"/>
      <c r="V54" s="8"/>
      <c r="W54" s="8"/>
      <c r="X54" s="8"/>
      <c r="Y54" s="8"/>
      <c r="Z54" s="8"/>
      <c r="AA54" s="8"/>
      <c r="AB54" s="8"/>
      <c r="AC54" s="8"/>
      <c r="AD54" s="8"/>
      <c r="AE54" s="8"/>
      <c r="AF54" s="8"/>
      <c r="AG54" s="8"/>
      <c r="AH54" s="8"/>
      <c r="AI54" s="8"/>
      <c r="AJ54" s="8"/>
      <c r="AK54" s="8"/>
    </row>
    <row r="55" spans="1:37" s="255" customFormat="1">
      <c r="A55" s="253"/>
      <c r="B55" s="253"/>
      <c r="C55" s="253"/>
      <c r="D55" s="253"/>
      <c r="E55" s="253"/>
      <c r="F55" s="253"/>
      <c r="G55" s="253"/>
      <c r="H55" s="253"/>
      <c r="I55" s="253"/>
      <c r="J55" s="253"/>
      <c r="K55" s="253"/>
      <c r="L55" s="253"/>
      <c r="M55" s="253"/>
      <c r="N55" s="253"/>
      <c r="O55" s="8"/>
      <c r="P55" s="8"/>
      <c r="Q55" s="8"/>
      <c r="R55" s="8"/>
      <c r="S55" s="8"/>
      <c r="T55" s="8"/>
      <c r="U55" s="8"/>
      <c r="V55" s="8"/>
      <c r="W55" s="8"/>
      <c r="X55" s="8"/>
      <c r="Y55" s="8"/>
      <c r="Z55" s="8"/>
      <c r="AA55" s="8"/>
      <c r="AB55" s="8"/>
      <c r="AC55" s="8"/>
      <c r="AD55" s="8"/>
      <c r="AE55" s="8"/>
      <c r="AF55" s="8"/>
      <c r="AG55" s="8"/>
      <c r="AH55" s="8"/>
      <c r="AI55" s="8"/>
      <c r="AJ55" s="8"/>
      <c r="AK55" s="8"/>
    </row>
    <row r="56" spans="1:37" s="255" customFormat="1">
      <c r="A56" s="253"/>
      <c r="B56" s="253"/>
      <c r="C56" s="253"/>
      <c r="D56" s="253"/>
      <c r="E56" s="253"/>
      <c r="F56" s="253"/>
      <c r="G56" s="253"/>
      <c r="H56" s="253"/>
      <c r="I56" s="253"/>
      <c r="J56" s="253"/>
      <c r="K56" s="253"/>
      <c r="L56" s="253"/>
      <c r="M56" s="253"/>
      <c r="N56" s="253"/>
      <c r="O56" s="8"/>
      <c r="P56" s="8"/>
      <c r="Q56" s="8"/>
      <c r="R56" s="8"/>
      <c r="S56" s="8"/>
      <c r="T56" s="8"/>
      <c r="U56" s="8"/>
      <c r="V56" s="8"/>
      <c r="W56" s="8"/>
      <c r="X56" s="8"/>
      <c r="Y56" s="8"/>
      <c r="Z56" s="8"/>
      <c r="AA56" s="8"/>
      <c r="AB56" s="8"/>
      <c r="AC56" s="8"/>
      <c r="AD56" s="8"/>
      <c r="AE56" s="8"/>
      <c r="AF56" s="8"/>
      <c r="AG56" s="8"/>
      <c r="AH56" s="8"/>
      <c r="AI56" s="8"/>
      <c r="AJ56" s="8"/>
      <c r="AK56" s="8"/>
    </row>
    <row r="57" spans="1:37" s="255" customFormat="1">
      <c r="A57" s="253"/>
      <c r="B57" s="253"/>
      <c r="C57" s="253"/>
      <c r="D57" s="253"/>
      <c r="E57" s="253"/>
      <c r="F57" s="253"/>
      <c r="G57" s="253"/>
      <c r="H57" s="253"/>
      <c r="I57" s="253"/>
      <c r="J57" s="253"/>
      <c r="K57" s="253"/>
      <c r="L57" s="253"/>
      <c r="M57" s="253"/>
      <c r="N57" s="253"/>
      <c r="O57" s="8"/>
      <c r="P57" s="8"/>
      <c r="Q57" s="8"/>
      <c r="R57" s="8"/>
      <c r="S57" s="8"/>
      <c r="T57" s="8"/>
      <c r="U57" s="8"/>
      <c r="V57" s="8"/>
      <c r="W57" s="8"/>
      <c r="X57" s="8"/>
      <c r="Y57" s="8"/>
      <c r="Z57" s="8"/>
      <c r="AA57" s="8"/>
      <c r="AB57" s="8"/>
      <c r="AC57" s="8"/>
      <c r="AD57" s="8"/>
      <c r="AE57" s="8"/>
      <c r="AF57" s="8"/>
      <c r="AG57" s="8"/>
      <c r="AH57" s="8"/>
      <c r="AI57" s="8"/>
      <c r="AJ57" s="8"/>
      <c r="AK57" s="8"/>
    </row>
    <row r="58" spans="1:37" s="255" customFormat="1">
      <c r="A58" s="253"/>
      <c r="B58" s="253"/>
      <c r="C58" s="253"/>
      <c r="D58" s="253"/>
      <c r="E58" s="253"/>
      <c r="F58" s="253"/>
      <c r="G58" s="253"/>
      <c r="H58" s="253"/>
      <c r="I58" s="253"/>
      <c r="J58" s="253"/>
      <c r="K58" s="253"/>
      <c r="L58" s="253"/>
      <c r="M58" s="253"/>
      <c r="N58" s="253"/>
      <c r="O58" s="8"/>
      <c r="P58" s="8"/>
      <c r="Q58" s="8"/>
      <c r="R58" s="8"/>
      <c r="S58" s="8"/>
      <c r="T58" s="8"/>
      <c r="U58" s="8"/>
      <c r="V58" s="8"/>
      <c r="W58" s="8"/>
      <c r="X58" s="8"/>
      <c r="Y58" s="8"/>
      <c r="Z58" s="8"/>
      <c r="AA58" s="8"/>
      <c r="AB58" s="8"/>
      <c r="AC58" s="8"/>
      <c r="AD58" s="8"/>
      <c r="AE58" s="8"/>
      <c r="AF58" s="8"/>
      <c r="AG58" s="8"/>
      <c r="AH58" s="8"/>
      <c r="AI58" s="8"/>
      <c r="AJ58" s="8"/>
      <c r="AK58" s="8"/>
    </row>
    <row r="59" spans="1:37" s="255" customFormat="1">
      <c r="A59" s="253"/>
      <c r="B59" s="253"/>
      <c r="C59" s="253"/>
      <c r="D59" s="253"/>
      <c r="E59" s="253"/>
      <c r="F59" s="253"/>
      <c r="G59" s="253"/>
      <c r="H59" s="253"/>
      <c r="I59" s="253"/>
      <c r="J59" s="253"/>
      <c r="K59" s="253"/>
      <c r="L59" s="253"/>
      <c r="M59" s="253"/>
      <c r="N59" s="253"/>
      <c r="O59" s="8"/>
      <c r="P59" s="8"/>
      <c r="Q59" s="8"/>
      <c r="R59" s="8"/>
      <c r="S59" s="8"/>
      <c r="T59" s="8"/>
      <c r="U59" s="8"/>
      <c r="V59" s="8"/>
      <c r="W59" s="8"/>
      <c r="X59" s="8"/>
      <c r="Y59" s="8"/>
      <c r="Z59" s="8"/>
      <c r="AA59" s="8"/>
      <c r="AB59" s="8"/>
      <c r="AC59" s="8"/>
      <c r="AD59" s="8"/>
      <c r="AE59" s="8"/>
      <c r="AF59" s="8"/>
      <c r="AG59" s="8"/>
      <c r="AH59" s="8"/>
      <c r="AI59" s="8"/>
      <c r="AJ59" s="8"/>
      <c r="AK59" s="8"/>
    </row>
    <row r="60" spans="1:37" s="255" customFormat="1">
      <c r="A60" s="253"/>
      <c r="B60" s="253"/>
      <c r="C60" s="253"/>
      <c r="D60" s="253"/>
      <c r="E60" s="253"/>
      <c r="F60" s="253"/>
      <c r="G60" s="253"/>
      <c r="H60" s="253"/>
      <c r="I60" s="253"/>
      <c r="J60" s="253"/>
      <c r="K60" s="253"/>
      <c r="L60" s="253"/>
      <c r="M60" s="253"/>
      <c r="N60" s="253"/>
      <c r="O60" s="8"/>
      <c r="P60" s="8"/>
      <c r="Q60" s="8"/>
      <c r="R60" s="8"/>
      <c r="S60" s="8"/>
      <c r="T60" s="8"/>
      <c r="U60" s="8"/>
      <c r="V60" s="8"/>
      <c r="W60" s="8"/>
      <c r="X60" s="8"/>
      <c r="Y60" s="8"/>
      <c r="Z60" s="8"/>
      <c r="AA60" s="8"/>
      <c r="AB60" s="8"/>
      <c r="AC60" s="8"/>
      <c r="AD60" s="8"/>
      <c r="AE60" s="8"/>
      <c r="AF60" s="8"/>
      <c r="AG60" s="8"/>
      <c r="AH60" s="8"/>
      <c r="AI60" s="8"/>
      <c r="AJ60" s="8"/>
      <c r="AK60" s="8"/>
    </row>
    <row r="61" spans="1:37" s="255" customFormat="1">
      <c r="A61" s="253"/>
      <c r="B61" s="253"/>
      <c r="C61" s="253"/>
      <c r="D61" s="253"/>
      <c r="E61" s="253"/>
      <c r="F61" s="253"/>
      <c r="G61" s="253"/>
      <c r="H61" s="253"/>
      <c r="I61" s="253"/>
      <c r="J61" s="253"/>
      <c r="K61" s="253"/>
      <c r="L61" s="253"/>
      <c r="M61" s="253"/>
      <c r="N61" s="253"/>
      <c r="O61" s="8"/>
      <c r="P61" s="8"/>
      <c r="Q61" s="8"/>
      <c r="R61" s="8"/>
      <c r="S61" s="8"/>
      <c r="T61" s="8"/>
      <c r="U61" s="8"/>
      <c r="V61" s="8"/>
      <c r="W61" s="8"/>
      <c r="X61" s="8"/>
      <c r="Y61" s="8"/>
      <c r="Z61" s="8"/>
      <c r="AA61" s="8"/>
      <c r="AB61" s="8"/>
      <c r="AC61" s="8"/>
      <c r="AD61" s="8"/>
      <c r="AE61" s="8"/>
      <c r="AF61" s="8"/>
      <c r="AG61" s="8"/>
      <c r="AH61" s="8"/>
      <c r="AI61" s="8"/>
      <c r="AJ61" s="8"/>
      <c r="AK61" s="8"/>
    </row>
    <row r="62" spans="1:37" s="255" customFormat="1">
      <c r="A62" s="253"/>
      <c r="B62" s="253"/>
      <c r="C62" s="253"/>
      <c r="D62" s="253"/>
      <c r="E62" s="253"/>
      <c r="F62" s="253"/>
      <c r="G62" s="253"/>
      <c r="H62" s="253"/>
      <c r="I62" s="253"/>
      <c r="J62" s="253"/>
      <c r="K62" s="253"/>
      <c r="L62" s="253"/>
      <c r="M62" s="253"/>
      <c r="N62" s="253"/>
      <c r="O62" s="8"/>
      <c r="P62" s="8"/>
      <c r="Q62" s="8"/>
      <c r="R62" s="8"/>
      <c r="S62" s="8"/>
      <c r="T62" s="8"/>
      <c r="U62" s="8"/>
      <c r="V62" s="8"/>
      <c r="W62" s="8"/>
      <c r="X62" s="8"/>
      <c r="Y62" s="8"/>
      <c r="Z62" s="8"/>
      <c r="AA62" s="8"/>
      <c r="AB62" s="8"/>
      <c r="AC62" s="8"/>
      <c r="AD62" s="8"/>
      <c r="AE62" s="8"/>
      <c r="AF62" s="8"/>
      <c r="AG62" s="8"/>
      <c r="AH62" s="8"/>
      <c r="AI62" s="8"/>
      <c r="AJ62" s="8"/>
      <c r="AK62" s="8"/>
    </row>
    <row r="63" spans="1:37" s="255" customFormat="1">
      <c r="A63" s="253"/>
      <c r="B63" s="253"/>
      <c r="C63" s="253"/>
      <c r="D63" s="253"/>
      <c r="E63" s="253"/>
      <c r="F63" s="253"/>
      <c r="G63" s="253"/>
      <c r="H63" s="253"/>
      <c r="I63" s="253"/>
      <c r="J63" s="253"/>
      <c r="K63" s="253"/>
      <c r="L63" s="253"/>
      <c r="M63" s="253"/>
      <c r="N63" s="253"/>
      <c r="O63" s="8"/>
      <c r="P63" s="8"/>
      <c r="Q63" s="8"/>
      <c r="R63" s="8"/>
      <c r="S63" s="8"/>
      <c r="T63" s="8"/>
      <c r="U63" s="8"/>
      <c r="V63" s="8"/>
      <c r="W63" s="8"/>
      <c r="X63" s="8"/>
      <c r="Y63" s="8"/>
      <c r="Z63" s="8"/>
      <c r="AA63" s="8"/>
      <c r="AB63" s="8"/>
      <c r="AC63" s="8"/>
      <c r="AD63" s="8"/>
      <c r="AE63" s="8"/>
      <c r="AF63" s="8"/>
      <c r="AG63" s="8"/>
      <c r="AH63" s="8"/>
      <c r="AI63" s="8"/>
      <c r="AJ63" s="8"/>
      <c r="AK63" s="8"/>
    </row>
    <row r="64" spans="1:37" s="255" customFormat="1">
      <c r="A64" s="253"/>
      <c r="B64" s="253"/>
      <c r="C64" s="253"/>
      <c r="D64" s="253"/>
      <c r="E64" s="253"/>
      <c r="F64" s="253"/>
      <c r="G64" s="253"/>
      <c r="H64" s="253"/>
      <c r="I64" s="253"/>
      <c r="J64" s="253"/>
      <c r="K64" s="253"/>
      <c r="L64" s="253"/>
      <c r="M64" s="253"/>
      <c r="N64" s="253"/>
      <c r="O64" s="8"/>
      <c r="P64" s="8"/>
      <c r="Q64" s="8"/>
      <c r="R64" s="8"/>
      <c r="S64" s="8"/>
      <c r="T64" s="8"/>
      <c r="U64" s="8"/>
      <c r="V64" s="8"/>
      <c r="W64" s="8"/>
      <c r="X64" s="8"/>
      <c r="Y64" s="8"/>
      <c r="Z64" s="8"/>
      <c r="AA64" s="8"/>
      <c r="AB64" s="8"/>
      <c r="AC64" s="8"/>
      <c r="AD64" s="8"/>
      <c r="AE64" s="8"/>
      <c r="AF64" s="8"/>
      <c r="AG64" s="8"/>
      <c r="AH64" s="8"/>
      <c r="AI64" s="8"/>
      <c r="AJ64" s="8"/>
      <c r="AK64" s="8"/>
    </row>
    <row r="65" spans="1:37" s="255" customFormat="1">
      <c r="A65" s="253"/>
      <c r="B65" s="253"/>
      <c r="C65" s="253"/>
      <c r="D65" s="253"/>
      <c r="E65" s="253"/>
      <c r="F65" s="253"/>
      <c r="G65" s="253"/>
      <c r="H65" s="253"/>
      <c r="I65" s="253"/>
      <c r="J65" s="253"/>
      <c r="K65" s="253"/>
      <c r="L65" s="253"/>
      <c r="M65" s="253"/>
      <c r="N65" s="253"/>
      <c r="O65" s="8"/>
      <c r="P65" s="8"/>
      <c r="Q65" s="8"/>
      <c r="R65" s="8"/>
      <c r="S65" s="8"/>
      <c r="T65" s="8"/>
      <c r="U65" s="8"/>
      <c r="V65" s="8"/>
      <c r="W65" s="8"/>
      <c r="X65" s="8"/>
      <c r="Y65" s="8"/>
      <c r="Z65" s="8"/>
      <c r="AA65" s="8"/>
      <c r="AB65" s="8"/>
      <c r="AC65" s="8"/>
      <c r="AD65" s="8"/>
      <c r="AE65" s="8"/>
      <c r="AF65" s="8"/>
      <c r="AG65" s="8"/>
      <c r="AH65" s="8"/>
      <c r="AI65" s="8"/>
      <c r="AJ65" s="8"/>
      <c r="AK65" s="8"/>
    </row>
    <row r="66" spans="1:37" s="255" customFormat="1">
      <c r="A66" s="253"/>
      <c r="B66" s="253"/>
      <c r="C66" s="253"/>
      <c r="D66" s="253"/>
      <c r="E66" s="253"/>
      <c r="F66" s="253"/>
      <c r="G66" s="253"/>
      <c r="H66" s="253"/>
      <c r="I66" s="253"/>
      <c r="J66" s="253"/>
      <c r="K66" s="253"/>
      <c r="L66" s="253"/>
      <c r="M66" s="253"/>
      <c r="N66" s="253"/>
      <c r="O66" s="8"/>
      <c r="P66" s="8"/>
      <c r="Q66" s="8"/>
      <c r="R66" s="8"/>
      <c r="S66" s="8"/>
      <c r="T66" s="8"/>
      <c r="U66" s="8"/>
      <c r="V66" s="8"/>
      <c r="W66" s="8"/>
      <c r="X66" s="8"/>
      <c r="Y66" s="8"/>
      <c r="Z66" s="8"/>
      <c r="AA66" s="8"/>
      <c r="AB66" s="8"/>
      <c r="AC66" s="8"/>
      <c r="AD66" s="8"/>
      <c r="AE66" s="8"/>
      <c r="AF66" s="8"/>
      <c r="AG66" s="8"/>
      <c r="AH66" s="8"/>
      <c r="AI66" s="8"/>
      <c r="AJ66" s="8"/>
      <c r="AK66" s="8"/>
    </row>
    <row r="67" spans="1:37" s="255" customFormat="1">
      <c r="A67" s="253"/>
      <c r="B67" s="253"/>
      <c r="C67" s="253"/>
      <c r="D67" s="253"/>
      <c r="E67" s="253"/>
      <c r="F67" s="253"/>
      <c r="G67" s="253"/>
      <c r="H67" s="253"/>
      <c r="I67" s="253"/>
      <c r="J67" s="253"/>
      <c r="K67" s="253"/>
      <c r="L67" s="253"/>
      <c r="M67" s="253"/>
      <c r="N67" s="253"/>
      <c r="O67" s="8"/>
      <c r="P67" s="8"/>
      <c r="Q67" s="8"/>
      <c r="R67" s="8"/>
      <c r="S67" s="8"/>
      <c r="T67" s="8"/>
      <c r="U67" s="8"/>
      <c r="V67" s="8"/>
      <c r="W67" s="8"/>
      <c r="X67" s="8"/>
      <c r="Y67" s="8"/>
      <c r="Z67" s="8"/>
      <c r="AA67" s="8"/>
      <c r="AB67" s="8"/>
      <c r="AC67" s="8"/>
      <c r="AD67" s="8"/>
      <c r="AE67" s="8"/>
      <c r="AF67" s="8"/>
      <c r="AG67" s="8"/>
      <c r="AH67" s="8"/>
      <c r="AI67" s="8"/>
      <c r="AJ67" s="8"/>
      <c r="AK67" s="8"/>
    </row>
    <row r="68" spans="1:37" s="255" customFormat="1">
      <c r="A68" s="253"/>
      <c r="B68" s="253"/>
      <c r="C68" s="253"/>
      <c r="D68" s="253"/>
      <c r="E68" s="253"/>
      <c r="F68" s="253"/>
      <c r="G68" s="253"/>
      <c r="H68" s="253"/>
      <c r="I68" s="253"/>
      <c r="J68" s="253"/>
      <c r="K68" s="253"/>
      <c r="L68" s="253"/>
      <c r="M68" s="253"/>
      <c r="N68" s="253"/>
      <c r="O68" s="8"/>
      <c r="P68" s="8"/>
      <c r="Q68" s="8"/>
      <c r="R68" s="8"/>
      <c r="S68" s="8"/>
      <c r="T68" s="8"/>
      <c r="U68" s="8"/>
      <c r="V68" s="8"/>
      <c r="W68" s="8"/>
      <c r="X68" s="8"/>
      <c r="Y68" s="8"/>
      <c r="Z68" s="8"/>
      <c r="AA68" s="8"/>
      <c r="AB68" s="8"/>
      <c r="AC68" s="8"/>
      <c r="AD68" s="8"/>
      <c r="AE68" s="8"/>
      <c r="AF68" s="8"/>
      <c r="AG68" s="8"/>
      <c r="AH68" s="8"/>
      <c r="AI68" s="8"/>
      <c r="AJ68" s="8"/>
      <c r="AK68" s="8"/>
    </row>
    <row r="69" spans="1:37" s="255" customFormat="1">
      <c r="A69" s="253"/>
      <c r="B69" s="253"/>
      <c r="C69" s="253"/>
      <c r="D69" s="253"/>
      <c r="E69" s="253"/>
      <c r="F69" s="253"/>
      <c r="G69" s="253"/>
      <c r="H69" s="253"/>
      <c r="I69" s="253"/>
      <c r="J69" s="253"/>
      <c r="K69" s="253"/>
      <c r="L69" s="253"/>
      <c r="M69" s="253"/>
      <c r="N69" s="253"/>
      <c r="O69" s="8"/>
      <c r="P69" s="8"/>
      <c r="Q69" s="8"/>
      <c r="R69" s="8"/>
      <c r="S69" s="8"/>
      <c r="T69" s="8"/>
      <c r="U69" s="8"/>
      <c r="V69" s="8"/>
      <c r="W69" s="8"/>
      <c r="X69" s="8"/>
      <c r="Y69" s="8"/>
      <c r="Z69" s="8"/>
      <c r="AA69" s="8"/>
      <c r="AB69" s="8"/>
      <c r="AC69" s="8"/>
      <c r="AD69" s="8"/>
      <c r="AE69" s="8"/>
      <c r="AF69" s="8"/>
      <c r="AG69" s="8"/>
      <c r="AH69" s="8"/>
      <c r="AI69" s="8"/>
      <c r="AJ69" s="8"/>
      <c r="AK69" s="8"/>
    </row>
    <row r="70" spans="1:37" s="255" customFormat="1">
      <c r="A70" s="253"/>
      <c r="B70" s="253"/>
      <c r="C70" s="253"/>
      <c r="D70" s="253"/>
      <c r="E70" s="253"/>
      <c r="F70" s="253"/>
      <c r="G70" s="253"/>
      <c r="H70" s="253"/>
      <c r="I70" s="253"/>
      <c r="J70" s="253"/>
      <c r="K70" s="253"/>
      <c r="L70" s="253"/>
      <c r="M70" s="253"/>
      <c r="N70" s="253"/>
      <c r="O70" s="8"/>
      <c r="P70" s="8"/>
      <c r="Q70" s="8"/>
      <c r="R70" s="8"/>
      <c r="S70" s="8"/>
      <c r="T70" s="8"/>
      <c r="U70" s="8"/>
      <c r="V70" s="8"/>
      <c r="W70" s="8"/>
      <c r="X70" s="8"/>
      <c r="Y70" s="8"/>
      <c r="Z70" s="8"/>
      <c r="AA70" s="8"/>
      <c r="AB70" s="8"/>
      <c r="AC70" s="8"/>
      <c r="AD70" s="8"/>
      <c r="AE70" s="8"/>
      <c r="AF70" s="8"/>
      <c r="AG70" s="8"/>
      <c r="AH70" s="8"/>
      <c r="AI70" s="8"/>
      <c r="AJ70" s="8"/>
      <c r="AK70" s="8"/>
    </row>
    <row r="71" spans="1:37" s="255" customFormat="1">
      <c r="A71" s="253"/>
      <c r="B71" s="253"/>
      <c r="C71" s="253"/>
      <c r="D71" s="253"/>
      <c r="E71" s="253"/>
      <c r="F71" s="253"/>
      <c r="G71" s="253"/>
      <c r="H71" s="253"/>
      <c r="I71" s="253"/>
      <c r="J71" s="253"/>
      <c r="K71" s="253"/>
      <c r="L71" s="253"/>
      <c r="M71" s="253"/>
      <c r="N71" s="253"/>
      <c r="O71" s="8"/>
      <c r="P71" s="8"/>
      <c r="Q71" s="8"/>
      <c r="R71" s="8"/>
      <c r="S71" s="8"/>
      <c r="T71" s="8"/>
      <c r="U71" s="8"/>
      <c r="V71" s="8"/>
      <c r="W71" s="8"/>
      <c r="X71" s="8"/>
      <c r="Y71" s="8"/>
      <c r="Z71" s="8"/>
      <c r="AA71" s="8"/>
      <c r="AB71" s="8"/>
      <c r="AC71" s="8"/>
      <c r="AD71" s="8"/>
      <c r="AE71" s="8"/>
      <c r="AF71" s="8"/>
      <c r="AG71" s="8"/>
      <c r="AH71" s="8"/>
      <c r="AI71" s="8"/>
      <c r="AJ71" s="8"/>
      <c r="AK71" s="8"/>
    </row>
    <row r="72" spans="1:37" s="255" customFormat="1">
      <c r="A72" s="253"/>
      <c r="B72" s="253"/>
      <c r="C72" s="253"/>
      <c r="D72" s="253"/>
      <c r="E72" s="253"/>
      <c r="F72" s="253"/>
      <c r="G72" s="253"/>
      <c r="H72" s="253"/>
      <c r="I72" s="253"/>
      <c r="J72" s="253"/>
      <c r="K72" s="253"/>
      <c r="L72" s="253"/>
      <c r="M72" s="253"/>
      <c r="N72" s="253"/>
      <c r="O72" s="8"/>
      <c r="P72" s="8"/>
      <c r="Q72" s="8"/>
      <c r="R72" s="8"/>
      <c r="S72" s="8"/>
      <c r="T72" s="8"/>
      <c r="U72" s="8"/>
      <c r="V72" s="8"/>
      <c r="W72" s="8"/>
      <c r="X72" s="8"/>
      <c r="Y72" s="8"/>
      <c r="Z72" s="8"/>
      <c r="AA72" s="8"/>
      <c r="AB72" s="8"/>
      <c r="AC72" s="8"/>
      <c r="AD72" s="8"/>
      <c r="AE72" s="8"/>
      <c r="AF72" s="8"/>
      <c r="AG72" s="8"/>
      <c r="AH72" s="8"/>
      <c r="AI72" s="8"/>
      <c r="AJ72" s="8"/>
      <c r="AK72" s="8"/>
    </row>
    <row r="73" spans="1:37" s="255" customFormat="1">
      <c r="A73" s="253"/>
      <c r="B73" s="253"/>
      <c r="C73" s="253"/>
      <c r="D73" s="253"/>
      <c r="E73" s="253"/>
      <c r="F73" s="253"/>
      <c r="G73" s="253"/>
      <c r="H73" s="253"/>
      <c r="I73" s="253"/>
      <c r="J73" s="253"/>
      <c r="K73" s="253"/>
      <c r="L73" s="253"/>
      <c r="M73" s="253"/>
      <c r="N73" s="253"/>
      <c r="O73" s="8"/>
      <c r="P73" s="8"/>
      <c r="Q73" s="8"/>
      <c r="R73" s="8"/>
      <c r="S73" s="8"/>
      <c r="T73" s="8"/>
      <c r="U73" s="8"/>
      <c r="V73" s="8"/>
      <c r="W73" s="8"/>
      <c r="X73" s="8"/>
      <c r="Y73" s="8"/>
      <c r="Z73" s="8"/>
      <c r="AA73" s="8"/>
      <c r="AB73" s="8"/>
      <c r="AC73" s="8"/>
      <c r="AD73" s="8"/>
      <c r="AE73" s="8"/>
      <c r="AF73" s="8"/>
      <c r="AG73" s="8"/>
      <c r="AH73" s="8"/>
      <c r="AI73" s="8"/>
      <c r="AJ73" s="8"/>
      <c r="AK73" s="8"/>
    </row>
    <row r="74" spans="1:37" s="255" customFormat="1">
      <c r="A74" s="253"/>
      <c r="B74" s="253"/>
      <c r="C74" s="253"/>
      <c r="D74" s="253"/>
      <c r="E74" s="253"/>
      <c r="F74" s="253"/>
      <c r="G74" s="253"/>
      <c r="H74" s="253"/>
      <c r="I74" s="253"/>
      <c r="J74" s="253"/>
      <c r="K74" s="253"/>
      <c r="L74" s="253"/>
      <c r="M74" s="253"/>
      <c r="N74" s="253"/>
      <c r="O74" s="8"/>
      <c r="P74" s="8"/>
      <c r="Q74" s="8"/>
      <c r="R74" s="8"/>
      <c r="S74" s="8"/>
      <c r="T74" s="8"/>
      <c r="U74" s="8"/>
      <c r="V74" s="8"/>
      <c r="W74" s="8"/>
      <c r="X74" s="8"/>
      <c r="Y74" s="8"/>
      <c r="Z74" s="8"/>
      <c r="AA74" s="8"/>
      <c r="AB74" s="8"/>
      <c r="AC74" s="8"/>
      <c r="AD74" s="8"/>
      <c r="AE74" s="8"/>
      <c r="AF74" s="8"/>
      <c r="AG74" s="8"/>
      <c r="AH74" s="8"/>
      <c r="AI74" s="8"/>
      <c r="AJ74" s="8"/>
      <c r="AK74" s="8"/>
    </row>
    <row r="75" spans="1:37" s="255" customFormat="1">
      <c r="A75" s="253"/>
      <c r="B75" s="253"/>
      <c r="C75" s="253"/>
      <c r="D75" s="253"/>
      <c r="E75" s="253"/>
      <c r="F75" s="253"/>
      <c r="G75" s="253"/>
      <c r="H75" s="253"/>
      <c r="I75" s="253"/>
      <c r="J75" s="253"/>
      <c r="K75" s="253"/>
      <c r="L75" s="253"/>
      <c r="M75" s="253"/>
      <c r="N75" s="253"/>
      <c r="O75" s="8"/>
      <c r="P75" s="8"/>
      <c r="Q75" s="8"/>
      <c r="R75" s="8"/>
      <c r="S75" s="8"/>
      <c r="T75" s="8"/>
      <c r="U75" s="8"/>
      <c r="V75" s="8"/>
      <c r="W75" s="8"/>
      <c r="X75" s="8"/>
      <c r="Y75" s="8"/>
      <c r="Z75" s="8"/>
      <c r="AA75" s="8"/>
      <c r="AB75" s="8"/>
      <c r="AC75" s="8"/>
      <c r="AD75" s="8"/>
      <c r="AE75" s="8"/>
      <c r="AF75" s="8"/>
      <c r="AG75" s="8"/>
      <c r="AH75" s="8"/>
      <c r="AI75" s="8"/>
      <c r="AJ75" s="8"/>
      <c r="AK75" s="8"/>
    </row>
    <row r="76" spans="1:37" s="255" customFormat="1">
      <c r="A76" s="253"/>
      <c r="B76" s="253"/>
      <c r="C76" s="253"/>
      <c r="D76" s="253"/>
      <c r="E76" s="253"/>
      <c r="F76" s="253"/>
      <c r="G76" s="253"/>
      <c r="H76" s="253"/>
      <c r="I76" s="253"/>
      <c r="J76" s="253"/>
      <c r="K76" s="253"/>
      <c r="L76" s="253"/>
      <c r="M76" s="253"/>
      <c r="N76" s="253"/>
      <c r="O76" s="8"/>
      <c r="P76" s="8"/>
      <c r="Q76" s="8"/>
      <c r="R76" s="8"/>
      <c r="S76" s="8"/>
      <c r="T76" s="8"/>
      <c r="U76" s="8"/>
      <c r="V76" s="8"/>
      <c r="W76" s="8"/>
      <c r="X76" s="8"/>
      <c r="Y76" s="8"/>
      <c r="Z76" s="8"/>
      <c r="AA76" s="8"/>
      <c r="AB76" s="8"/>
      <c r="AC76" s="8"/>
      <c r="AD76" s="8"/>
      <c r="AE76" s="8"/>
      <c r="AF76" s="8"/>
      <c r="AG76" s="8"/>
      <c r="AH76" s="8"/>
      <c r="AI76" s="8"/>
      <c r="AJ76" s="8"/>
      <c r="AK76" s="8"/>
    </row>
    <row r="77" spans="1:37" s="255" customFormat="1">
      <c r="A77" s="253"/>
      <c r="B77" s="253"/>
      <c r="C77" s="253"/>
      <c r="D77" s="253"/>
      <c r="E77" s="253"/>
      <c r="F77" s="253"/>
      <c r="G77" s="253"/>
      <c r="H77" s="253"/>
      <c r="I77" s="253"/>
      <c r="J77" s="253"/>
      <c r="K77" s="253"/>
      <c r="L77" s="253"/>
      <c r="M77" s="253"/>
      <c r="N77" s="253"/>
      <c r="O77" s="8"/>
      <c r="P77" s="8"/>
      <c r="Q77" s="8"/>
      <c r="R77" s="8"/>
      <c r="S77" s="8"/>
      <c r="T77" s="8"/>
      <c r="U77" s="8"/>
      <c r="V77" s="8"/>
      <c r="W77" s="8"/>
      <c r="X77" s="8"/>
      <c r="Y77" s="8"/>
      <c r="Z77" s="8"/>
      <c r="AA77" s="8"/>
      <c r="AB77" s="8"/>
      <c r="AC77" s="8"/>
      <c r="AD77" s="8"/>
      <c r="AE77" s="8"/>
      <c r="AF77" s="8"/>
      <c r="AG77" s="8"/>
      <c r="AH77" s="8"/>
      <c r="AI77" s="8"/>
      <c r="AJ77" s="8"/>
      <c r="AK77" s="8"/>
    </row>
    <row r="78" spans="1:37" s="255" customFormat="1">
      <c r="A78" s="253"/>
      <c r="B78" s="253"/>
      <c r="C78" s="253"/>
      <c r="D78" s="253"/>
      <c r="E78" s="253"/>
      <c r="F78" s="253"/>
      <c r="G78" s="253"/>
      <c r="H78" s="253"/>
      <c r="I78" s="253"/>
      <c r="J78" s="253"/>
      <c r="K78" s="253"/>
      <c r="L78" s="253"/>
      <c r="M78" s="253"/>
      <c r="N78" s="253"/>
      <c r="O78" s="8"/>
      <c r="P78" s="8"/>
      <c r="Q78" s="8"/>
      <c r="R78" s="8"/>
      <c r="S78" s="8"/>
      <c r="T78" s="8"/>
      <c r="U78" s="8"/>
      <c r="V78" s="8"/>
      <c r="W78" s="8"/>
      <c r="X78" s="8"/>
      <c r="Y78" s="8"/>
      <c r="Z78" s="8"/>
      <c r="AA78" s="8"/>
      <c r="AB78" s="8"/>
      <c r="AC78" s="8"/>
      <c r="AD78" s="8"/>
      <c r="AE78" s="8"/>
      <c r="AF78" s="8"/>
      <c r="AG78" s="8"/>
      <c r="AH78" s="8"/>
      <c r="AI78" s="8"/>
      <c r="AJ78" s="8"/>
      <c r="AK78" s="8"/>
    </row>
    <row r="79" spans="1:37" s="255" customFormat="1">
      <c r="A79" s="253"/>
      <c r="B79" s="253"/>
      <c r="C79" s="253"/>
      <c r="D79" s="253"/>
      <c r="E79" s="253"/>
      <c r="F79" s="253"/>
      <c r="G79" s="253"/>
      <c r="H79" s="253"/>
      <c r="I79" s="253"/>
      <c r="J79" s="253"/>
      <c r="K79" s="253"/>
      <c r="L79" s="253"/>
      <c r="M79" s="253"/>
      <c r="N79" s="253"/>
      <c r="O79" s="8"/>
      <c r="P79" s="8"/>
      <c r="Q79" s="8"/>
      <c r="R79" s="8"/>
      <c r="S79" s="8"/>
      <c r="T79" s="8"/>
      <c r="U79" s="8"/>
      <c r="V79" s="8"/>
      <c r="W79" s="8"/>
      <c r="X79" s="8"/>
      <c r="Y79" s="8"/>
      <c r="Z79" s="8"/>
      <c r="AA79" s="8"/>
      <c r="AB79" s="8"/>
      <c r="AC79" s="8"/>
      <c r="AD79" s="8"/>
      <c r="AE79" s="8"/>
      <c r="AF79" s="8"/>
      <c r="AG79" s="8"/>
      <c r="AH79" s="8"/>
      <c r="AI79" s="8"/>
      <c r="AJ79" s="8"/>
      <c r="AK79" s="8"/>
    </row>
    <row r="80" spans="1:37" s="255" customFormat="1">
      <c r="A80" s="253"/>
      <c r="B80" s="253"/>
      <c r="C80" s="253"/>
      <c r="D80" s="253"/>
      <c r="E80" s="253"/>
      <c r="F80" s="253"/>
      <c r="G80" s="253"/>
      <c r="H80" s="253"/>
      <c r="I80" s="253"/>
      <c r="J80" s="253"/>
      <c r="K80" s="253"/>
      <c r="L80" s="253"/>
      <c r="M80" s="253"/>
      <c r="N80" s="253"/>
      <c r="O80" s="8"/>
      <c r="P80" s="8"/>
      <c r="Q80" s="8"/>
      <c r="R80" s="8"/>
      <c r="S80" s="8"/>
      <c r="T80" s="8"/>
      <c r="U80" s="8"/>
      <c r="V80" s="8"/>
      <c r="W80" s="8"/>
      <c r="X80" s="8"/>
      <c r="Y80" s="8"/>
      <c r="Z80" s="8"/>
      <c r="AA80" s="8"/>
      <c r="AB80" s="8"/>
      <c r="AC80" s="8"/>
      <c r="AD80" s="8"/>
      <c r="AE80" s="8"/>
      <c r="AF80" s="8"/>
      <c r="AG80" s="8"/>
      <c r="AH80" s="8"/>
      <c r="AI80" s="8"/>
      <c r="AJ80" s="8"/>
      <c r="AK80" s="8"/>
    </row>
    <row r="81" spans="1:37" s="255" customFormat="1">
      <c r="A81" s="253"/>
      <c r="B81" s="253"/>
      <c r="C81" s="253"/>
      <c r="D81" s="253"/>
      <c r="E81" s="253"/>
      <c r="F81" s="253"/>
      <c r="G81" s="253"/>
      <c r="H81" s="253"/>
      <c r="I81" s="253"/>
      <c r="J81" s="253"/>
      <c r="K81" s="253"/>
      <c r="L81" s="253"/>
      <c r="M81" s="253"/>
      <c r="N81" s="253"/>
      <c r="O81" s="8"/>
      <c r="P81" s="8"/>
      <c r="Q81" s="8"/>
      <c r="R81" s="8"/>
      <c r="S81" s="8"/>
      <c r="T81" s="8"/>
      <c r="U81" s="8"/>
      <c r="V81" s="8"/>
      <c r="W81" s="8"/>
      <c r="X81" s="8"/>
      <c r="Y81" s="8"/>
      <c r="Z81" s="8"/>
      <c r="AA81" s="8"/>
      <c r="AB81" s="8"/>
      <c r="AC81" s="8"/>
      <c r="AD81" s="8"/>
      <c r="AE81" s="8"/>
      <c r="AF81" s="8"/>
      <c r="AG81" s="8"/>
      <c r="AH81" s="8"/>
      <c r="AI81" s="8"/>
      <c r="AJ81" s="8"/>
      <c r="AK81" s="8"/>
    </row>
    <row r="82" spans="1:37" s="255" customFormat="1">
      <c r="A82" s="253"/>
      <c r="B82" s="253"/>
      <c r="C82" s="253"/>
      <c r="D82" s="253"/>
      <c r="E82" s="253"/>
      <c r="F82" s="253"/>
      <c r="G82" s="253"/>
      <c r="H82" s="253"/>
      <c r="I82" s="253"/>
      <c r="J82" s="253"/>
      <c r="K82" s="253"/>
      <c r="L82" s="253"/>
      <c r="M82" s="253"/>
      <c r="N82" s="253"/>
      <c r="O82" s="8"/>
      <c r="P82" s="8"/>
      <c r="Q82" s="8"/>
      <c r="R82" s="8"/>
      <c r="S82" s="8"/>
      <c r="T82" s="8"/>
      <c r="U82" s="8"/>
      <c r="V82" s="8"/>
      <c r="W82" s="8"/>
      <c r="X82" s="8"/>
      <c r="Y82" s="8"/>
      <c r="Z82" s="8"/>
      <c r="AA82" s="8"/>
      <c r="AB82" s="8"/>
      <c r="AC82" s="8"/>
      <c r="AD82" s="8"/>
      <c r="AE82" s="8"/>
      <c r="AF82" s="8"/>
      <c r="AG82" s="8"/>
      <c r="AH82" s="8"/>
      <c r="AI82" s="8"/>
      <c r="AJ82" s="8"/>
      <c r="AK82" s="8"/>
    </row>
    <row r="83" spans="1:37" s="255" customFormat="1">
      <c r="A83" s="253"/>
      <c r="B83" s="253"/>
      <c r="C83" s="253"/>
      <c r="D83" s="253"/>
      <c r="E83" s="253"/>
      <c r="F83" s="253"/>
      <c r="G83" s="253"/>
      <c r="H83" s="253"/>
      <c r="I83" s="253"/>
      <c r="J83" s="253"/>
      <c r="K83" s="253"/>
      <c r="L83" s="253"/>
      <c r="M83" s="253"/>
      <c r="N83" s="253"/>
      <c r="O83" s="8"/>
      <c r="P83" s="8"/>
      <c r="Q83" s="8"/>
      <c r="R83" s="8"/>
      <c r="S83" s="8"/>
      <c r="T83" s="8"/>
      <c r="U83" s="8"/>
      <c r="V83" s="8"/>
      <c r="W83" s="8"/>
      <c r="X83" s="8"/>
      <c r="Y83" s="8"/>
      <c r="Z83" s="8"/>
      <c r="AA83" s="8"/>
      <c r="AB83" s="8"/>
      <c r="AC83" s="8"/>
      <c r="AD83" s="8"/>
      <c r="AE83" s="8"/>
      <c r="AF83" s="8"/>
      <c r="AG83" s="8"/>
      <c r="AH83" s="8"/>
      <c r="AI83" s="8"/>
      <c r="AJ83" s="8"/>
      <c r="AK83" s="8"/>
    </row>
    <row r="84" spans="1:37" s="255" customFormat="1">
      <c r="A84" s="253"/>
      <c r="B84" s="253"/>
      <c r="C84" s="253"/>
      <c r="D84" s="253"/>
      <c r="E84" s="253"/>
      <c r="F84" s="253"/>
      <c r="G84" s="253"/>
      <c r="H84" s="253"/>
      <c r="I84" s="253"/>
      <c r="J84" s="253"/>
      <c r="K84" s="253"/>
      <c r="L84" s="253"/>
      <c r="M84" s="253"/>
      <c r="N84" s="253"/>
      <c r="O84" s="8"/>
      <c r="P84" s="8"/>
      <c r="Q84" s="8"/>
      <c r="R84" s="8"/>
      <c r="S84" s="8"/>
      <c r="T84" s="8"/>
      <c r="U84" s="8"/>
      <c r="V84" s="8"/>
      <c r="W84" s="8"/>
      <c r="X84" s="8"/>
      <c r="Y84" s="8"/>
      <c r="Z84" s="8"/>
      <c r="AA84" s="8"/>
      <c r="AB84" s="8"/>
      <c r="AC84" s="8"/>
      <c r="AD84" s="8"/>
      <c r="AE84" s="8"/>
      <c r="AF84" s="8"/>
      <c r="AG84" s="8"/>
      <c r="AH84" s="8"/>
      <c r="AI84" s="8"/>
      <c r="AJ84" s="8"/>
      <c r="AK84" s="8"/>
    </row>
    <row r="85" spans="1:37" s="255" customFormat="1">
      <c r="A85" s="253"/>
      <c r="B85" s="253"/>
      <c r="C85" s="253"/>
      <c r="D85" s="253"/>
      <c r="E85" s="253"/>
      <c r="F85" s="253"/>
      <c r="G85" s="253"/>
      <c r="H85" s="253"/>
      <c r="I85" s="253"/>
      <c r="J85" s="253"/>
      <c r="K85" s="253"/>
      <c r="L85" s="253"/>
      <c r="M85" s="253"/>
      <c r="N85" s="253"/>
      <c r="O85" s="8"/>
      <c r="P85" s="8"/>
      <c r="Q85" s="8"/>
      <c r="R85" s="8"/>
      <c r="S85" s="8"/>
      <c r="T85" s="8"/>
      <c r="U85" s="8"/>
      <c r="V85" s="8"/>
      <c r="W85" s="8"/>
      <c r="X85" s="8"/>
      <c r="Y85" s="8"/>
      <c r="Z85" s="8"/>
      <c r="AA85" s="8"/>
      <c r="AB85" s="8"/>
      <c r="AC85" s="8"/>
      <c r="AD85" s="8"/>
      <c r="AE85" s="8"/>
      <c r="AF85" s="8"/>
      <c r="AG85" s="8"/>
      <c r="AH85" s="8"/>
      <c r="AI85" s="8"/>
      <c r="AJ85" s="8"/>
      <c r="AK85" s="8"/>
    </row>
    <row r="86" spans="1:37" s="255" customFormat="1">
      <c r="A86" s="253"/>
      <c r="B86" s="253"/>
      <c r="C86" s="253"/>
      <c r="D86" s="253"/>
      <c r="E86" s="253"/>
      <c r="F86" s="253"/>
      <c r="G86" s="253"/>
      <c r="H86" s="253"/>
      <c r="I86" s="253"/>
      <c r="J86" s="253"/>
      <c r="K86" s="253"/>
      <c r="L86" s="253"/>
      <c r="M86" s="253"/>
      <c r="N86" s="253"/>
      <c r="O86" s="8"/>
      <c r="P86" s="8"/>
      <c r="Q86" s="8"/>
      <c r="R86" s="8"/>
      <c r="S86" s="8"/>
      <c r="T86" s="8"/>
      <c r="U86" s="8"/>
      <c r="V86" s="8"/>
      <c r="W86" s="8"/>
      <c r="X86" s="8"/>
      <c r="Y86" s="8"/>
      <c r="Z86" s="8"/>
      <c r="AA86" s="8"/>
      <c r="AB86" s="8"/>
      <c r="AC86" s="8"/>
      <c r="AD86" s="8"/>
      <c r="AE86" s="8"/>
      <c r="AF86" s="8"/>
      <c r="AG86" s="8"/>
      <c r="AH86" s="8"/>
      <c r="AI86" s="8"/>
      <c r="AJ86" s="8"/>
      <c r="AK86" s="8"/>
    </row>
    <row r="87" spans="1:37" s="255" customFormat="1">
      <c r="A87" s="253"/>
      <c r="B87" s="253"/>
      <c r="C87" s="253"/>
      <c r="D87" s="253"/>
      <c r="E87" s="253"/>
      <c r="F87" s="253"/>
      <c r="G87" s="253"/>
      <c r="H87" s="253"/>
      <c r="I87" s="253"/>
      <c r="J87" s="253"/>
      <c r="K87" s="253"/>
      <c r="L87" s="253"/>
      <c r="M87" s="253"/>
      <c r="N87" s="253"/>
      <c r="O87" s="8"/>
      <c r="P87" s="8"/>
      <c r="Q87" s="8"/>
      <c r="R87" s="8"/>
      <c r="S87" s="8"/>
      <c r="T87" s="8"/>
      <c r="U87" s="8"/>
      <c r="V87" s="8"/>
      <c r="W87" s="8"/>
      <c r="X87" s="8"/>
      <c r="Y87" s="8"/>
      <c r="Z87" s="8"/>
      <c r="AA87" s="8"/>
      <c r="AB87" s="8"/>
      <c r="AC87" s="8"/>
      <c r="AD87" s="8"/>
      <c r="AE87" s="8"/>
      <c r="AF87" s="8"/>
      <c r="AG87" s="8"/>
      <c r="AH87" s="8"/>
      <c r="AI87" s="8"/>
      <c r="AJ87" s="8"/>
      <c r="AK87" s="8"/>
    </row>
    <row r="88" spans="1:37" s="255" customFormat="1">
      <c r="A88" s="253"/>
      <c r="B88" s="253"/>
      <c r="C88" s="253"/>
      <c r="D88" s="253"/>
      <c r="E88" s="253"/>
      <c r="F88" s="253"/>
      <c r="G88" s="253"/>
      <c r="H88" s="253"/>
      <c r="I88" s="253"/>
      <c r="J88" s="253"/>
      <c r="K88" s="253"/>
      <c r="L88" s="253"/>
      <c r="M88" s="253"/>
      <c r="N88" s="253"/>
      <c r="O88" s="8"/>
      <c r="P88" s="8"/>
      <c r="Q88" s="8"/>
      <c r="R88" s="8"/>
      <c r="S88" s="8"/>
      <c r="T88" s="8"/>
      <c r="U88" s="8"/>
      <c r="V88" s="8"/>
      <c r="W88" s="8"/>
      <c r="X88" s="8"/>
      <c r="Y88" s="8"/>
      <c r="Z88" s="8"/>
      <c r="AA88" s="8"/>
      <c r="AB88" s="8"/>
      <c r="AC88" s="8"/>
      <c r="AD88" s="8"/>
      <c r="AE88" s="8"/>
      <c r="AF88" s="8"/>
      <c r="AG88" s="8"/>
      <c r="AH88" s="8"/>
      <c r="AI88" s="8"/>
      <c r="AJ88" s="8"/>
      <c r="AK88" s="8"/>
    </row>
    <row r="89" spans="1:37" s="255" customFormat="1">
      <c r="A89" s="253"/>
      <c r="B89" s="253"/>
      <c r="C89" s="253"/>
      <c r="D89" s="253"/>
      <c r="E89" s="253"/>
      <c r="F89" s="253"/>
      <c r="G89" s="253"/>
      <c r="H89" s="253"/>
      <c r="I89" s="253"/>
      <c r="J89" s="253"/>
      <c r="K89" s="253"/>
      <c r="L89" s="253"/>
      <c r="M89" s="253"/>
      <c r="N89" s="253"/>
      <c r="O89" s="8"/>
      <c r="P89" s="8"/>
      <c r="Q89" s="8"/>
      <c r="R89" s="8"/>
      <c r="S89" s="8"/>
      <c r="T89" s="8"/>
      <c r="U89" s="8"/>
      <c r="V89" s="8"/>
      <c r="W89" s="8"/>
      <c r="X89" s="8"/>
      <c r="Y89" s="8"/>
      <c r="Z89" s="8"/>
      <c r="AA89" s="8"/>
      <c r="AB89" s="8"/>
      <c r="AC89" s="8"/>
      <c r="AD89" s="8"/>
      <c r="AE89" s="8"/>
      <c r="AF89" s="8"/>
      <c r="AG89" s="8"/>
      <c r="AH89" s="8"/>
      <c r="AI89" s="8"/>
      <c r="AJ89" s="8"/>
      <c r="AK89" s="8"/>
    </row>
    <row r="90" spans="1:37" s="255" customFormat="1">
      <c r="A90" s="253"/>
      <c r="B90" s="253"/>
      <c r="C90" s="253"/>
      <c r="D90" s="253"/>
      <c r="E90" s="253"/>
      <c r="F90" s="253"/>
      <c r="G90" s="253"/>
      <c r="H90" s="253"/>
      <c r="I90" s="253"/>
      <c r="J90" s="253"/>
      <c r="K90" s="253"/>
      <c r="L90" s="253"/>
      <c r="M90" s="253"/>
      <c r="N90" s="253"/>
      <c r="O90" s="8"/>
      <c r="P90" s="8"/>
      <c r="Q90" s="8"/>
      <c r="R90" s="8"/>
      <c r="S90" s="8"/>
      <c r="T90" s="8"/>
      <c r="U90" s="8"/>
      <c r="V90" s="8"/>
      <c r="W90" s="8"/>
      <c r="X90" s="8"/>
      <c r="Y90" s="8"/>
      <c r="Z90" s="8"/>
      <c r="AA90" s="8"/>
      <c r="AB90" s="8"/>
      <c r="AC90" s="8"/>
      <c r="AD90" s="8"/>
      <c r="AE90" s="8"/>
      <c r="AF90" s="8"/>
      <c r="AG90" s="8"/>
      <c r="AH90" s="8"/>
      <c r="AI90" s="8"/>
      <c r="AJ90" s="8"/>
      <c r="AK90" s="8"/>
    </row>
    <row r="91" spans="1:37" s="255" customFormat="1">
      <c r="A91" s="253"/>
      <c r="B91" s="253"/>
      <c r="C91" s="253"/>
      <c r="D91" s="253"/>
      <c r="E91" s="253"/>
      <c r="F91" s="253"/>
      <c r="G91" s="253"/>
      <c r="H91" s="253"/>
      <c r="I91" s="253"/>
      <c r="J91" s="253"/>
      <c r="K91" s="253"/>
      <c r="L91" s="253"/>
      <c r="M91" s="253"/>
      <c r="N91" s="253"/>
      <c r="O91" s="8"/>
      <c r="P91" s="8"/>
      <c r="Q91" s="8"/>
      <c r="R91" s="8"/>
      <c r="S91" s="8"/>
      <c r="T91" s="8"/>
      <c r="U91" s="8"/>
      <c r="V91" s="8"/>
      <c r="W91" s="8"/>
      <c r="X91" s="8"/>
      <c r="Y91" s="8"/>
      <c r="Z91" s="8"/>
      <c r="AA91" s="8"/>
      <c r="AB91" s="8"/>
      <c r="AC91" s="8"/>
      <c r="AD91" s="8"/>
      <c r="AE91" s="8"/>
      <c r="AF91" s="8"/>
      <c r="AG91" s="8"/>
      <c r="AH91" s="8"/>
      <c r="AI91" s="8"/>
      <c r="AJ91" s="8"/>
      <c r="AK91" s="8"/>
    </row>
    <row r="92" spans="1:37" s="255" customFormat="1">
      <c r="A92" s="253"/>
      <c r="B92" s="253"/>
      <c r="C92" s="253"/>
      <c r="D92" s="253"/>
      <c r="E92" s="253"/>
      <c r="F92" s="253"/>
      <c r="G92" s="253"/>
      <c r="H92" s="253"/>
      <c r="I92" s="253"/>
      <c r="J92" s="253"/>
      <c r="K92" s="253"/>
      <c r="L92" s="253"/>
      <c r="M92" s="253"/>
      <c r="N92" s="253"/>
      <c r="O92" s="8"/>
      <c r="P92" s="8"/>
      <c r="Q92" s="8"/>
      <c r="R92" s="8"/>
      <c r="S92" s="8"/>
      <c r="T92" s="8"/>
      <c r="U92" s="8"/>
      <c r="V92" s="8"/>
      <c r="W92" s="8"/>
      <c r="X92" s="8"/>
      <c r="Y92" s="8"/>
      <c r="Z92" s="8"/>
      <c r="AA92" s="8"/>
      <c r="AB92" s="8"/>
      <c r="AC92" s="8"/>
      <c r="AD92" s="8"/>
      <c r="AE92" s="8"/>
      <c r="AF92" s="8"/>
      <c r="AG92" s="8"/>
      <c r="AH92" s="8"/>
      <c r="AI92" s="8"/>
      <c r="AJ92" s="8"/>
      <c r="AK92" s="8"/>
    </row>
    <row r="93" spans="1:37" s="255" customFormat="1">
      <c r="A93" s="253"/>
      <c r="B93" s="253"/>
      <c r="C93" s="253"/>
      <c r="D93" s="253"/>
      <c r="E93" s="253"/>
      <c r="F93" s="253"/>
      <c r="G93" s="253"/>
      <c r="H93" s="253"/>
      <c r="I93" s="253"/>
      <c r="J93" s="253"/>
      <c r="K93" s="253"/>
      <c r="L93" s="253"/>
      <c r="M93" s="253"/>
      <c r="N93" s="253"/>
      <c r="O93" s="8"/>
      <c r="P93" s="8"/>
      <c r="Q93" s="8"/>
      <c r="R93" s="8"/>
      <c r="S93" s="8"/>
      <c r="T93" s="8"/>
      <c r="U93" s="8"/>
      <c r="V93" s="8"/>
      <c r="W93" s="8"/>
      <c r="X93" s="8"/>
      <c r="Y93" s="8"/>
      <c r="Z93" s="8"/>
      <c r="AA93" s="8"/>
      <c r="AB93" s="8"/>
      <c r="AC93" s="8"/>
      <c r="AD93" s="8"/>
      <c r="AE93" s="8"/>
      <c r="AF93" s="8"/>
      <c r="AG93" s="8"/>
      <c r="AH93" s="8"/>
      <c r="AI93" s="8"/>
      <c r="AJ93" s="8"/>
      <c r="AK93" s="8"/>
    </row>
    <row r="94" spans="1:37" s="255" customFormat="1">
      <c r="A94" s="253"/>
      <c r="B94" s="253"/>
      <c r="C94" s="253"/>
      <c r="D94" s="253"/>
      <c r="E94" s="253"/>
      <c r="F94" s="253"/>
      <c r="G94" s="253"/>
      <c r="H94" s="253"/>
      <c r="I94" s="253"/>
      <c r="J94" s="253"/>
      <c r="K94" s="253"/>
      <c r="L94" s="253"/>
      <c r="M94" s="253"/>
      <c r="N94" s="253"/>
      <c r="O94" s="8"/>
      <c r="P94" s="8"/>
      <c r="Q94" s="8"/>
      <c r="R94" s="8"/>
      <c r="S94" s="8"/>
      <c r="T94" s="8"/>
      <c r="U94" s="8"/>
      <c r="V94" s="8"/>
      <c r="W94" s="8"/>
      <c r="X94" s="8"/>
      <c r="Y94" s="8"/>
      <c r="Z94" s="8"/>
      <c r="AA94" s="8"/>
      <c r="AB94" s="8"/>
      <c r="AC94" s="8"/>
      <c r="AD94" s="8"/>
      <c r="AE94" s="8"/>
      <c r="AF94" s="8"/>
      <c r="AG94" s="8"/>
      <c r="AH94" s="8"/>
      <c r="AI94" s="8"/>
      <c r="AJ94" s="8"/>
      <c r="AK94" s="8"/>
    </row>
    <row r="95" spans="1:37" s="255" customFormat="1">
      <c r="A95" s="253"/>
      <c r="B95" s="253"/>
      <c r="C95" s="253"/>
      <c r="D95" s="253"/>
      <c r="E95" s="253"/>
      <c r="F95" s="253"/>
      <c r="G95" s="253"/>
      <c r="H95" s="253"/>
      <c r="I95" s="253"/>
      <c r="J95" s="253"/>
      <c r="K95" s="253"/>
      <c r="L95" s="253"/>
      <c r="M95" s="253"/>
      <c r="N95" s="253"/>
      <c r="O95" s="8"/>
      <c r="P95" s="8"/>
      <c r="Q95" s="8"/>
      <c r="R95" s="8"/>
      <c r="S95" s="8"/>
      <c r="T95" s="8"/>
      <c r="U95" s="8"/>
      <c r="V95" s="8"/>
      <c r="W95" s="8"/>
      <c r="X95" s="8"/>
      <c r="Y95" s="8"/>
      <c r="Z95" s="8"/>
      <c r="AA95" s="8"/>
      <c r="AB95" s="8"/>
      <c r="AC95" s="8"/>
      <c r="AD95" s="8"/>
      <c r="AE95" s="8"/>
      <c r="AF95" s="8"/>
      <c r="AG95" s="8"/>
      <c r="AH95" s="8"/>
      <c r="AI95" s="8"/>
      <c r="AJ95" s="8"/>
      <c r="AK95" s="8"/>
    </row>
    <row r="96" spans="1:37" s="255" customFormat="1">
      <c r="A96" s="253"/>
      <c r="B96" s="253"/>
      <c r="C96" s="253"/>
      <c r="D96" s="253"/>
      <c r="E96" s="253"/>
      <c r="F96" s="253"/>
      <c r="G96" s="253"/>
      <c r="H96" s="253"/>
      <c r="I96" s="253"/>
      <c r="J96" s="253"/>
      <c r="K96" s="253"/>
      <c r="L96" s="253"/>
      <c r="M96" s="253"/>
      <c r="N96" s="253"/>
      <c r="O96" s="8"/>
      <c r="P96" s="8"/>
      <c r="Q96" s="8"/>
      <c r="R96" s="8"/>
      <c r="S96" s="8"/>
      <c r="T96" s="8"/>
      <c r="U96" s="8"/>
      <c r="V96" s="8"/>
      <c r="W96" s="8"/>
      <c r="X96" s="8"/>
      <c r="Y96" s="8"/>
      <c r="Z96" s="8"/>
      <c r="AA96" s="8"/>
      <c r="AB96" s="8"/>
      <c r="AC96" s="8"/>
      <c r="AD96" s="8"/>
      <c r="AE96" s="8"/>
      <c r="AF96" s="8"/>
      <c r="AG96" s="8"/>
      <c r="AH96" s="8"/>
      <c r="AI96" s="8"/>
      <c r="AJ96" s="8"/>
      <c r="AK96" s="8"/>
    </row>
    <row r="97" spans="1:37" s="255" customFormat="1">
      <c r="A97" s="253"/>
      <c r="B97" s="253"/>
      <c r="C97" s="253"/>
      <c r="D97" s="253"/>
      <c r="E97" s="253"/>
      <c r="F97" s="253"/>
      <c r="G97" s="253"/>
      <c r="H97" s="253"/>
      <c r="I97" s="253"/>
      <c r="J97" s="253"/>
      <c r="K97" s="253"/>
      <c r="L97" s="253"/>
      <c r="M97" s="253"/>
      <c r="N97" s="253"/>
      <c r="O97" s="8"/>
      <c r="P97" s="8"/>
      <c r="Q97" s="8"/>
      <c r="R97" s="8"/>
      <c r="S97" s="8"/>
      <c r="T97" s="8"/>
      <c r="U97" s="8"/>
      <c r="V97" s="8"/>
      <c r="W97" s="8"/>
      <c r="X97" s="8"/>
      <c r="Y97" s="8"/>
      <c r="Z97" s="8"/>
      <c r="AA97" s="8"/>
      <c r="AB97" s="8"/>
      <c r="AC97" s="8"/>
      <c r="AD97" s="8"/>
      <c r="AE97" s="8"/>
      <c r="AF97" s="8"/>
      <c r="AG97" s="8"/>
      <c r="AH97" s="8"/>
      <c r="AI97" s="8"/>
      <c r="AJ97" s="8"/>
      <c r="AK97" s="8"/>
    </row>
    <row r="98" spans="1:37" s="255" customFormat="1">
      <c r="A98" s="253"/>
      <c r="B98" s="253"/>
      <c r="C98" s="253"/>
      <c r="D98" s="253"/>
      <c r="E98" s="253"/>
      <c r="F98" s="253"/>
      <c r="G98" s="253"/>
      <c r="H98" s="253"/>
      <c r="I98" s="253"/>
      <c r="J98" s="253"/>
      <c r="K98" s="253"/>
      <c r="L98" s="253"/>
      <c r="M98" s="253"/>
      <c r="N98" s="253"/>
      <c r="O98" s="8"/>
      <c r="P98" s="8"/>
      <c r="Q98" s="8"/>
      <c r="R98" s="8"/>
      <c r="S98" s="8"/>
      <c r="T98" s="8"/>
      <c r="U98" s="8"/>
      <c r="V98" s="8"/>
      <c r="W98" s="8"/>
      <c r="X98" s="8"/>
      <c r="Y98" s="8"/>
      <c r="Z98" s="8"/>
      <c r="AA98" s="8"/>
      <c r="AB98" s="8"/>
      <c r="AC98" s="8"/>
      <c r="AD98" s="8"/>
      <c r="AE98" s="8"/>
      <c r="AF98" s="8"/>
      <c r="AG98" s="8"/>
      <c r="AH98" s="8"/>
      <c r="AI98" s="8"/>
      <c r="AJ98" s="8"/>
      <c r="AK98" s="8"/>
    </row>
    <row r="99" spans="1:37" s="255" customFormat="1">
      <c r="A99" s="253"/>
      <c r="B99" s="253"/>
      <c r="C99" s="253"/>
      <c r="D99" s="253"/>
      <c r="E99" s="253"/>
      <c r="F99" s="253"/>
      <c r="G99" s="253"/>
      <c r="H99" s="253"/>
      <c r="I99" s="253"/>
      <c r="J99" s="253"/>
      <c r="K99" s="253"/>
      <c r="L99" s="253"/>
      <c r="M99" s="253"/>
      <c r="N99" s="253"/>
      <c r="O99" s="8"/>
      <c r="P99" s="8"/>
      <c r="Q99" s="8"/>
      <c r="R99" s="8"/>
      <c r="S99" s="8"/>
      <c r="T99" s="8"/>
      <c r="U99" s="8"/>
      <c r="V99" s="8"/>
      <c r="W99" s="8"/>
      <c r="X99" s="8"/>
      <c r="Y99" s="8"/>
      <c r="Z99" s="8"/>
      <c r="AA99" s="8"/>
      <c r="AB99" s="8"/>
      <c r="AC99" s="8"/>
      <c r="AD99" s="8"/>
      <c r="AE99" s="8"/>
      <c r="AF99" s="8"/>
      <c r="AG99" s="8"/>
      <c r="AH99" s="8"/>
      <c r="AI99" s="8"/>
      <c r="AJ99" s="8"/>
      <c r="AK99" s="8"/>
    </row>
    <row r="100" spans="1:37" s="255" customFormat="1">
      <c r="A100" s="253"/>
      <c r="B100" s="253"/>
      <c r="C100" s="253"/>
      <c r="D100" s="253"/>
      <c r="E100" s="253"/>
      <c r="F100" s="253"/>
      <c r="G100" s="253"/>
      <c r="H100" s="253"/>
      <c r="I100" s="253"/>
      <c r="J100" s="253"/>
      <c r="K100" s="253"/>
      <c r="L100" s="253"/>
      <c r="M100" s="253"/>
      <c r="N100" s="253"/>
      <c r="O100" s="8"/>
      <c r="P100" s="8"/>
      <c r="Q100" s="8"/>
      <c r="R100" s="8"/>
      <c r="S100" s="8"/>
      <c r="T100" s="8"/>
      <c r="U100" s="8"/>
      <c r="V100" s="8"/>
      <c r="W100" s="8"/>
      <c r="X100" s="8"/>
      <c r="Y100" s="8"/>
      <c r="Z100" s="8"/>
      <c r="AA100" s="8"/>
      <c r="AB100" s="8"/>
      <c r="AC100" s="8"/>
      <c r="AD100" s="8"/>
      <c r="AE100" s="8"/>
      <c r="AF100" s="8"/>
      <c r="AG100" s="8"/>
      <c r="AH100" s="8"/>
      <c r="AI100" s="8"/>
      <c r="AJ100" s="8"/>
      <c r="AK100" s="8"/>
    </row>
    <row r="101" spans="1:37" s="255" customFormat="1">
      <c r="A101" s="253"/>
      <c r="B101" s="253"/>
      <c r="C101" s="253"/>
      <c r="D101" s="253"/>
      <c r="E101" s="253"/>
      <c r="F101" s="253"/>
      <c r="G101" s="253"/>
      <c r="H101" s="253"/>
      <c r="I101" s="253"/>
      <c r="J101" s="253"/>
      <c r="K101" s="253"/>
      <c r="L101" s="253"/>
      <c r="M101" s="253"/>
      <c r="N101" s="253"/>
      <c r="O101" s="8"/>
      <c r="P101" s="8"/>
      <c r="Q101" s="8"/>
      <c r="R101" s="8"/>
      <c r="S101" s="8"/>
      <c r="T101" s="8"/>
      <c r="U101" s="8"/>
      <c r="V101" s="8"/>
      <c r="W101" s="8"/>
      <c r="X101" s="8"/>
      <c r="Y101" s="8"/>
      <c r="Z101" s="8"/>
      <c r="AA101" s="8"/>
      <c r="AB101" s="8"/>
      <c r="AC101" s="8"/>
      <c r="AD101" s="8"/>
      <c r="AE101" s="8"/>
      <c r="AF101" s="8"/>
      <c r="AG101" s="8"/>
      <c r="AH101" s="8"/>
      <c r="AI101" s="8"/>
      <c r="AJ101" s="8"/>
      <c r="AK101" s="8"/>
    </row>
    <row r="102" spans="1:37" s="255" customFormat="1">
      <c r="A102" s="253"/>
      <c r="B102" s="253"/>
      <c r="C102" s="253"/>
      <c r="D102" s="253"/>
      <c r="E102" s="253"/>
      <c r="F102" s="253"/>
      <c r="G102" s="253"/>
      <c r="H102" s="253"/>
      <c r="I102" s="253"/>
      <c r="J102" s="253"/>
      <c r="K102" s="253"/>
      <c r="L102" s="253"/>
      <c r="M102" s="253"/>
      <c r="N102" s="253"/>
      <c r="O102" s="8"/>
      <c r="P102" s="8"/>
      <c r="Q102" s="8"/>
      <c r="R102" s="8"/>
      <c r="S102" s="8"/>
      <c r="T102" s="8"/>
      <c r="U102" s="8"/>
      <c r="V102" s="8"/>
      <c r="W102" s="8"/>
      <c r="X102" s="8"/>
      <c r="Y102" s="8"/>
      <c r="Z102" s="8"/>
      <c r="AA102" s="8"/>
      <c r="AB102" s="8"/>
      <c r="AC102" s="8"/>
      <c r="AD102" s="8"/>
      <c r="AE102" s="8"/>
      <c r="AF102" s="8"/>
      <c r="AG102" s="8"/>
      <c r="AH102" s="8"/>
      <c r="AI102" s="8"/>
      <c r="AJ102" s="8"/>
      <c r="AK102" s="8"/>
    </row>
    <row r="103" spans="1:37" s="255" customFormat="1">
      <c r="A103" s="253"/>
      <c r="B103" s="253"/>
      <c r="C103" s="253"/>
      <c r="D103" s="253"/>
      <c r="E103" s="253"/>
      <c r="F103" s="253"/>
      <c r="G103" s="253"/>
      <c r="H103" s="253"/>
      <c r="I103" s="253"/>
      <c r="J103" s="253"/>
      <c r="K103" s="253"/>
      <c r="L103" s="253"/>
      <c r="M103" s="253"/>
      <c r="N103" s="253"/>
      <c r="O103" s="8"/>
      <c r="P103" s="8"/>
      <c r="Q103" s="8"/>
      <c r="R103" s="8"/>
      <c r="S103" s="8"/>
      <c r="T103" s="8"/>
      <c r="U103" s="8"/>
      <c r="V103" s="8"/>
      <c r="W103" s="8"/>
      <c r="X103" s="8"/>
      <c r="Y103" s="8"/>
      <c r="Z103" s="8"/>
      <c r="AA103" s="8"/>
      <c r="AB103" s="8"/>
      <c r="AC103" s="8"/>
      <c r="AD103" s="8"/>
      <c r="AE103" s="8"/>
      <c r="AF103" s="8"/>
      <c r="AG103" s="8"/>
      <c r="AH103" s="8"/>
      <c r="AI103" s="8"/>
      <c r="AJ103" s="8"/>
      <c r="AK103" s="8"/>
    </row>
    <row r="104" spans="1:37" s="255" customFormat="1">
      <c r="A104" s="253"/>
      <c r="B104" s="253"/>
      <c r="C104" s="253"/>
      <c r="D104" s="253"/>
      <c r="E104" s="253"/>
      <c r="F104" s="253"/>
      <c r="G104" s="253"/>
      <c r="H104" s="253"/>
      <c r="I104" s="253"/>
      <c r="J104" s="253"/>
      <c r="K104" s="253"/>
      <c r="L104" s="253"/>
      <c r="M104" s="253"/>
      <c r="N104" s="253"/>
      <c r="O104" s="8"/>
      <c r="P104" s="8"/>
      <c r="Q104" s="8"/>
      <c r="R104" s="8"/>
      <c r="S104" s="8"/>
      <c r="T104" s="8"/>
      <c r="U104" s="8"/>
      <c r="V104" s="8"/>
      <c r="W104" s="8"/>
      <c r="X104" s="8"/>
      <c r="Y104" s="8"/>
      <c r="Z104" s="8"/>
      <c r="AA104" s="8"/>
      <c r="AB104" s="8"/>
      <c r="AC104" s="8"/>
      <c r="AD104" s="8"/>
      <c r="AE104" s="8"/>
      <c r="AF104" s="8"/>
      <c r="AG104" s="8"/>
      <c r="AH104" s="8"/>
      <c r="AI104" s="8"/>
      <c r="AJ104" s="8"/>
      <c r="AK104" s="8"/>
    </row>
    <row r="105" spans="1:37" s="255" customFormat="1">
      <c r="A105" s="253"/>
      <c r="B105" s="253"/>
      <c r="C105" s="253"/>
      <c r="D105" s="253"/>
      <c r="E105" s="253"/>
      <c r="F105" s="253"/>
      <c r="G105" s="253"/>
      <c r="H105" s="253"/>
      <c r="I105" s="253"/>
      <c r="J105" s="253"/>
      <c r="K105" s="253"/>
      <c r="L105" s="253"/>
      <c r="M105" s="253"/>
      <c r="N105" s="253"/>
      <c r="O105" s="8"/>
      <c r="P105" s="8"/>
      <c r="Q105" s="8"/>
      <c r="R105" s="8"/>
      <c r="S105" s="8"/>
      <c r="T105" s="8"/>
      <c r="U105" s="8"/>
      <c r="V105" s="8"/>
      <c r="W105" s="8"/>
      <c r="X105" s="8"/>
      <c r="Y105" s="8"/>
      <c r="Z105" s="8"/>
      <c r="AA105" s="8"/>
      <c r="AB105" s="8"/>
      <c r="AC105" s="8"/>
      <c r="AD105" s="8"/>
      <c r="AE105" s="8"/>
      <c r="AF105" s="8"/>
      <c r="AG105" s="8"/>
      <c r="AH105" s="8"/>
      <c r="AI105" s="8"/>
      <c r="AJ105" s="8"/>
      <c r="AK105" s="8"/>
    </row>
    <row r="106" spans="1:37" s="255" customFormat="1">
      <c r="A106" s="253"/>
      <c r="B106" s="253"/>
      <c r="C106" s="253"/>
      <c r="D106" s="253"/>
      <c r="E106" s="253"/>
      <c r="F106" s="253"/>
      <c r="G106" s="253"/>
      <c r="H106" s="253"/>
      <c r="I106" s="253"/>
      <c r="J106" s="253"/>
      <c r="K106" s="253"/>
      <c r="L106" s="253"/>
      <c r="M106" s="253"/>
      <c r="N106" s="253"/>
      <c r="O106" s="8"/>
      <c r="P106" s="8"/>
      <c r="Q106" s="8"/>
      <c r="R106" s="8"/>
      <c r="S106" s="8"/>
      <c r="T106" s="8"/>
      <c r="U106" s="8"/>
      <c r="V106" s="8"/>
      <c r="W106" s="8"/>
      <c r="X106" s="8"/>
      <c r="Y106" s="8"/>
      <c r="Z106" s="8"/>
      <c r="AA106" s="8"/>
      <c r="AB106" s="8"/>
      <c r="AC106" s="8"/>
      <c r="AD106" s="8"/>
      <c r="AE106" s="8"/>
      <c r="AF106" s="8"/>
      <c r="AG106" s="8"/>
      <c r="AH106" s="8"/>
      <c r="AI106" s="8"/>
      <c r="AJ106" s="8"/>
      <c r="AK106" s="8"/>
    </row>
    <row r="107" spans="1:37" s="255" customFormat="1">
      <c r="A107" s="253"/>
      <c r="B107" s="253"/>
      <c r="C107" s="253"/>
      <c r="D107" s="253"/>
      <c r="E107" s="253"/>
      <c r="F107" s="253"/>
      <c r="G107" s="253"/>
      <c r="H107" s="253"/>
      <c r="I107" s="253"/>
      <c r="J107" s="253"/>
      <c r="K107" s="253"/>
      <c r="L107" s="253"/>
      <c r="M107" s="253"/>
      <c r="N107" s="253"/>
      <c r="O107" s="8"/>
      <c r="P107" s="8"/>
      <c r="Q107" s="8"/>
      <c r="R107" s="8"/>
      <c r="S107" s="8"/>
      <c r="T107" s="8"/>
      <c r="U107" s="8"/>
      <c r="V107" s="8"/>
      <c r="W107" s="8"/>
      <c r="X107" s="8"/>
      <c r="Y107" s="8"/>
      <c r="Z107" s="8"/>
      <c r="AA107" s="8"/>
      <c r="AB107" s="8"/>
      <c r="AC107" s="8"/>
      <c r="AD107" s="8"/>
      <c r="AE107" s="8"/>
      <c r="AF107" s="8"/>
      <c r="AG107" s="8"/>
      <c r="AH107" s="8"/>
      <c r="AI107" s="8"/>
      <c r="AJ107" s="8"/>
      <c r="AK107" s="8"/>
    </row>
    <row r="108" spans="1:37" s="255" customFormat="1">
      <c r="B108" s="253"/>
      <c r="C108" s="253"/>
      <c r="D108" s="253"/>
      <c r="E108" s="253"/>
      <c r="F108" s="253"/>
      <c r="G108" s="253"/>
      <c r="I108" s="253"/>
      <c r="J108" s="253"/>
      <c r="K108" s="253"/>
      <c r="L108" s="253"/>
      <c r="M108" s="253"/>
      <c r="O108" s="8"/>
      <c r="P108" s="8"/>
      <c r="Q108" s="8"/>
      <c r="R108" s="8"/>
      <c r="S108" s="8"/>
      <c r="T108" s="8"/>
      <c r="U108" s="8"/>
      <c r="V108" s="8"/>
      <c r="W108" s="8"/>
      <c r="X108" s="8"/>
      <c r="Y108" s="8"/>
      <c r="Z108" s="8"/>
      <c r="AA108" s="8"/>
      <c r="AB108" s="8"/>
      <c r="AC108" s="8"/>
      <c r="AD108" s="8"/>
      <c r="AE108" s="8"/>
      <c r="AF108" s="8"/>
      <c r="AG108" s="8"/>
      <c r="AH108" s="8"/>
      <c r="AI108" s="8"/>
      <c r="AJ108" s="8"/>
      <c r="AK108" s="8"/>
    </row>
    <row r="109" spans="1:37" s="255" customFormat="1">
      <c r="B109" s="253"/>
      <c r="C109" s="253"/>
      <c r="D109" s="253"/>
      <c r="E109" s="253"/>
      <c r="F109" s="253"/>
      <c r="G109" s="253"/>
      <c r="I109" s="253"/>
      <c r="J109" s="253"/>
      <c r="K109" s="253"/>
      <c r="L109" s="253"/>
      <c r="M109" s="253"/>
      <c r="O109" s="8"/>
      <c r="P109" s="8"/>
      <c r="Q109" s="8"/>
      <c r="R109" s="8"/>
      <c r="S109" s="8"/>
      <c r="T109" s="8"/>
      <c r="U109" s="8"/>
      <c r="V109" s="8"/>
      <c r="W109" s="8"/>
      <c r="X109" s="8"/>
      <c r="Y109" s="8"/>
      <c r="Z109" s="8"/>
      <c r="AA109" s="8"/>
      <c r="AB109" s="8"/>
      <c r="AC109" s="8"/>
      <c r="AD109" s="8"/>
      <c r="AE109" s="8"/>
      <c r="AF109" s="8"/>
      <c r="AG109" s="8"/>
      <c r="AH109" s="8"/>
      <c r="AI109" s="8"/>
      <c r="AJ109" s="8"/>
      <c r="AK109" s="8"/>
    </row>
    <row r="110" spans="1:37" s="255" customFormat="1">
      <c r="O110" s="8"/>
      <c r="P110" s="8"/>
      <c r="Q110" s="8"/>
      <c r="R110" s="8"/>
      <c r="S110" s="8"/>
      <c r="T110" s="8"/>
      <c r="U110" s="8"/>
      <c r="V110" s="8"/>
      <c r="W110" s="8"/>
      <c r="X110" s="8"/>
      <c r="Y110" s="8"/>
      <c r="Z110" s="8"/>
      <c r="AA110" s="8"/>
      <c r="AB110" s="8"/>
      <c r="AC110" s="8"/>
      <c r="AD110" s="8"/>
      <c r="AE110" s="8"/>
      <c r="AF110" s="8"/>
      <c r="AG110" s="8"/>
      <c r="AH110" s="8"/>
      <c r="AI110" s="8"/>
      <c r="AJ110" s="8"/>
      <c r="AK110" s="8"/>
    </row>
    <row r="111" spans="1:37" s="255" customFormat="1">
      <c r="O111" s="8"/>
      <c r="P111" s="8"/>
      <c r="Q111" s="8"/>
      <c r="R111" s="8"/>
      <c r="S111" s="8"/>
      <c r="T111" s="8"/>
      <c r="U111" s="8"/>
      <c r="V111" s="8"/>
      <c r="W111" s="8"/>
      <c r="X111" s="8"/>
      <c r="Y111" s="8"/>
      <c r="Z111" s="8"/>
      <c r="AA111" s="8"/>
      <c r="AB111" s="8"/>
      <c r="AC111" s="8"/>
      <c r="AD111" s="8"/>
      <c r="AE111" s="8"/>
      <c r="AF111" s="8"/>
      <c r="AG111" s="8"/>
      <c r="AH111" s="8"/>
      <c r="AI111" s="8"/>
      <c r="AJ111" s="8"/>
      <c r="AK111" s="8"/>
    </row>
    <row r="112" spans="1:37" s="25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row>
    <row r="113" spans="15:37" s="25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row>
    <row r="114" spans="15:37" s="25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row>
    <row r="115" spans="15:37" s="25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row>
    <row r="116" spans="15:37" s="25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row>
    <row r="117" spans="15:37" s="25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row>
    <row r="118" spans="15:37" s="25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row>
    <row r="119" spans="15:37" s="25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row>
    <row r="120" spans="15:37" s="25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row>
    <row r="121" spans="15:37" s="25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row>
    <row r="122" spans="15:37" s="25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row>
    <row r="123" spans="15:37" s="25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row>
    <row r="124" spans="15:37" s="25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row>
    <row r="125" spans="15:37" s="25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row>
    <row r="126" spans="15:37" s="25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row>
    <row r="127" spans="15:37" s="25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row>
    <row r="128" spans="15:37" s="25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row>
    <row r="129" spans="15:37" s="25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row>
    <row r="130" spans="15:37" s="25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row>
    <row r="131" spans="15:37" s="25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row>
    <row r="132" spans="15:37" s="25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row>
    <row r="133" spans="15:37" s="25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row>
    <row r="134" spans="15:37" s="25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row>
    <row r="135" spans="15:37" s="25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row>
    <row r="136" spans="15:37" s="25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row>
    <row r="137" spans="15:37" s="25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row>
    <row r="138" spans="15:37" s="25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row>
    <row r="139" spans="15:37" s="25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row>
    <row r="140" spans="15:37" s="25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row>
    <row r="141" spans="15:37" s="25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row>
    <row r="142" spans="15:37" s="25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row>
    <row r="143" spans="15:37" s="25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row>
    <row r="144" spans="15:37" s="25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row>
    <row r="145" spans="15:37" s="25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row>
    <row r="146" spans="15:37" s="25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row>
    <row r="147" spans="15:37" s="25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row>
    <row r="148" spans="15:37" s="25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row>
    <row r="149" spans="15:37" s="25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row>
    <row r="150" spans="15:37" s="25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row>
    <row r="151" spans="15:37" s="25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row>
    <row r="152" spans="15:37" s="25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row>
    <row r="153" spans="15:37" s="25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row>
    <row r="154" spans="15:37" s="25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row>
    <row r="155" spans="15:37" s="25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row>
    <row r="156" spans="15:37" s="25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row>
    <row r="157" spans="15:37" s="25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row>
    <row r="158" spans="15:37" s="25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row>
    <row r="159" spans="15:37" s="25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row>
    <row r="160" spans="15:37" s="25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row>
    <row r="161" spans="15:37" s="25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row>
    <row r="162" spans="15:37" s="25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row>
    <row r="163" spans="15:37" s="25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row>
    <row r="164" spans="15:37" s="25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row>
    <row r="165" spans="15:37" s="25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row>
    <row r="166" spans="15:37" s="25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row>
    <row r="167" spans="15:37" s="25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row>
    <row r="168" spans="15:37" s="25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row>
    <row r="169" spans="15:37" s="25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row>
    <row r="170" spans="15:37" s="25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row>
    <row r="171" spans="15:37" s="25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row>
    <row r="172" spans="15:37" s="25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row>
    <row r="173" spans="15:37" s="25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row>
    <row r="174" spans="15:37" s="25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row>
    <row r="175" spans="15:37" s="25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row>
    <row r="176" spans="15:37" s="25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row>
    <row r="177" spans="15:37" s="25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row>
    <row r="178" spans="15:37" s="25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row>
    <row r="179" spans="15:37" s="25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row>
    <row r="180" spans="15:37" s="25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row>
    <row r="181" spans="15:37" s="25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row>
    <row r="182" spans="15:37" s="25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row>
    <row r="183" spans="15:37" s="25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row>
    <row r="184" spans="15:37" s="25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row>
    <row r="185" spans="15:37" s="25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row>
    <row r="186" spans="15:37" s="25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row>
    <row r="187" spans="15:37" s="25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row>
    <row r="188" spans="15:37" s="25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row>
    <row r="189" spans="15:37" s="25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row>
    <row r="190" spans="15:37" s="25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row>
    <row r="191" spans="15:37" s="25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row>
    <row r="192" spans="15:37" s="25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row>
    <row r="193" spans="15:37" s="25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row>
    <row r="194" spans="15:37" s="25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row>
    <row r="195" spans="15:37" s="25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row>
    <row r="196" spans="15:37" s="25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row>
    <row r="197" spans="15:37" s="25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row>
    <row r="198" spans="15:37" s="25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row>
    <row r="199" spans="15:37" s="25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row>
    <row r="200" spans="15:37" s="25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row>
    <row r="201" spans="15:37" s="25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row>
    <row r="202" spans="15:37" s="25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row>
    <row r="203" spans="15:37" s="25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row>
    <row r="204" spans="15:37" s="25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row>
    <row r="205" spans="15:37" s="25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row>
    <row r="206" spans="15:37" s="25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row>
    <row r="207" spans="15:37" s="25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row>
    <row r="208" spans="15:37" s="25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row>
    <row r="209" spans="15:37" s="25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row>
    <row r="210" spans="15:37" s="25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row>
    <row r="211" spans="15:37" s="25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row>
    <row r="212" spans="15:37" s="25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row>
    <row r="213" spans="15:37" s="25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row>
    <row r="214" spans="15:37" s="25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row>
    <row r="215" spans="15:37" s="25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row>
    <row r="216" spans="15:37" s="25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row>
    <row r="217" spans="15:37" s="25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row>
    <row r="218" spans="15:37" s="25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row>
    <row r="219" spans="15:37" s="25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row>
    <row r="220" spans="15:37" s="25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row>
    <row r="221" spans="15:37" s="25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row>
    <row r="222" spans="15:37" s="25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row>
    <row r="223" spans="15:37" s="25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row>
    <row r="224" spans="15:37" s="25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row>
    <row r="225" spans="15:37" s="25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row>
    <row r="226" spans="15:37" s="25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row>
    <row r="227" spans="15:37" s="25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row>
    <row r="228" spans="15:37" s="25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row>
    <row r="229" spans="15:37" s="25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row>
    <row r="230" spans="15:37" s="25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row>
    <row r="231" spans="15:37" s="25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row>
    <row r="232" spans="15:37" s="25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row>
    <row r="233" spans="15:37" s="25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row>
    <row r="234" spans="15:37" s="25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row>
    <row r="235" spans="15:37" s="25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row>
    <row r="236" spans="15:37" s="25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row>
    <row r="237" spans="15:37" s="25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row>
    <row r="238" spans="15:37" s="25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row>
    <row r="239" spans="15:37" s="25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row>
    <row r="240" spans="15:37" s="25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row>
    <row r="241" spans="15:37" s="25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row>
    <row r="242" spans="15:37" s="25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row>
    <row r="243" spans="15:37" s="25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row>
    <row r="244" spans="15:37" s="25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row>
    <row r="245" spans="15:37" s="25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row>
    <row r="246" spans="15:37" s="25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row>
    <row r="247" spans="15:37" s="25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row>
    <row r="248" spans="15:37" s="25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row>
    <row r="249" spans="15:37" s="25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row>
    <row r="250" spans="15:37" s="25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row>
    <row r="251" spans="15:37" s="25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row>
    <row r="252" spans="15:37" s="25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row>
    <row r="253" spans="15:37" s="25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row>
    <row r="254" spans="15:37" s="25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row>
    <row r="255" spans="15:37" s="25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row>
    <row r="256" spans="15:37" s="25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row>
    <row r="257" spans="15:37" s="25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row>
    <row r="258" spans="15:37" s="25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row>
    <row r="259" spans="15:37" s="25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row>
    <row r="260" spans="15:37" s="25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row>
    <row r="261" spans="15:37" s="25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row>
    <row r="262" spans="15:37" s="25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row>
    <row r="263" spans="15:37" s="25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row>
    <row r="264" spans="15:37" s="25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row>
    <row r="265" spans="15:37" s="25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row>
    <row r="266" spans="15:37" s="25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row>
    <row r="267" spans="15:37" s="25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row>
    <row r="268" spans="15:37" s="25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row>
    <row r="269" spans="15:37" s="25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row>
    <row r="270" spans="15:37" s="25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row>
    <row r="271" spans="15:37" s="25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row>
    <row r="272" spans="15:37" s="25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row>
    <row r="273" spans="15:37" s="25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row>
    <row r="274" spans="15:37" s="25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row>
    <row r="275" spans="15:37" s="25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row>
    <row r="276" spans="15:37" s="25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row>
    <row r="277" spans="15:37" s="25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row>
    <row r="278" spans="15:37" s="25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row>
    <row r="279" spans="15:37" s="25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row>
    <row r="280" spans="15:37" s="25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row>
    <row r="281" spans="15:37" s="25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row>
    <row r="282" spans="15:37" s="25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row>
    <row r="283" spans="15:37" s="25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row>
    <row r="284" spans="15:37" s="25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row>
    <row r="285" spans="15:37" s="25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row>
    <row r="286" spans="15:37" s="25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row>
    <row r="287" spans="15:37" s="25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row>
    <row r="288" spans="15:37" s="25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row>
    <row r="289" spans="15:37" s="25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row>
    <row r="290" spans="15:37" s="25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row>
    <row r="291" spans="15:37" s="25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row>
    <row r="292" spans="15:37" s="25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row>
    <row r="293" spans="15:37" s="25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row>
    <row r="294" spans="15:37" s="25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row>
    <row r="295" spans="15:37" s="25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row>
    <row r="296" spans="15:37" s="25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row>
    <row r="297" spans="15:37" s="25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row>
    <row r="298" spans="15:37" s="25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row>
    <row r="299" spans="15:37" s="25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row>
    <row r="300" spans="15:37" s="25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row>
    <row r="301" spans="15:37" s="25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row>
    <row r="302" spans="15:37" s="25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row>
    <row r="303" spans="15:37" s="25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row>
    <row r="304" spans="15:37" s="25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row>
    <row r="305" spans="15:37" s="25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row>
    <row r="306" spans="15:37" s="25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row>
    <row r="307" spans="15:37" s="25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row>
    <row r="308" spans="15:37" s="25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row>
    <row r="309" spans="15:37" s="25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row>
    <row r="310" spans="15:37" s="25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row>
    <row r="311" spans="15:37" s="25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row>
    <row r="312" spans="15:37" s="25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row>
    <row r="313" spans="15:37" s="25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row>
    <row r="314" spans="15:37" s="25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row>
    <row r="315" spans="15:37" s="25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row>
    <row r="316" spans="15:37" s="25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row>
    <row r="317" spans="15:37" s="25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row>
    <row r="318" spans="15:37" s="25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row>
    <row r="319" spans="15:37" s="25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row>
    <row r="320" spans="15:37" s="25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row>
    <row r="321" spans="15:37" s="25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row>
    <row r="322" spans="15:37" s="25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row>
    <row r="323" spans="15:37" s="25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row>
    <row r="324" spans="15:37" s="25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row>
    <row r="325" spans="15:37" s="25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row>
    <row r="326" spans="15:37" s="25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row>
    <row r="327" spans="15:37" s="25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row>
    <row r="328" spans="15:37" s="25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row>
    <row r="329" spans="15:37" s="25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row>
    <row r="330" spans="15:37" s="25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row>
    <row r="331" spans="15:37" s="25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row>
    <row r="332" spans="15:37" s="25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row>
    <row r="333" spans="15:37" s="25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row>
    <row r="334" spans="15:37" s="25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row>
    <row r="335" spans="15:37" s="25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row>
    <row r="336" spans="15:37" s="25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row>
    <row r="337" spans="15:37" s="25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row>
    <row r="338" spans="15:37" s="25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row>
    <row r="339" spans="15:37" s="25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row>
    <row r="340" spans="15:37" s="25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row>
    <row r="341" spans="15:37" s="25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row>
    <row r="342" spans="15:37" s="25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row>
    <row r="343" spans="15:37" s="25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row>
    <row r="344" spans="15:37" s="25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row>
    <row r="345" spans="15:37" s="25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row>
    <row r="346" spans="15:37" s="25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row>
    <row r="347" spans="15:37" s="25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row>
    <row r="348" spans="15:37" s="25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row>
    <row r="349" spans="15:37" s="25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row>
    <row r="350" spans="15:37" s="25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row>
    <row r="351" spans="15:37" s="25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row>
    <row r="352" spans="15:37" s="25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row>
    <row r="353" spans="15:37" s="25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row>
    <row r="354" spans="15:37" s="25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row>
    <row r="355" spans="15:37" s="25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row>
    <row r="356" spans="15:37" s="25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row>
    <row r="357" spans="15:37" s="25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row>
    <row r="358" spans="15:37" s="25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row>
    <row r="359" spans="15:37" s="25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row>
    <row r="360" spans="15:37" s="25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row>
    <row r="361" spans="15:37" s="25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row>
    <row r="362" spans="15:37" s="25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row>
    <row r="363" spans="15:37" s="25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row>
    <row r="364" spans="15:37" s="25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row>
    <row r="365" spans="15:37" s="25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row>
    <row r="366" spans="15:37" s="25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row>
    <row r="367" spans="15:37" s="25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row>
    <row r="368" spans="15:37" s="25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row>
    <row r="369" spans="2:37" s="25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row>
    <row r="370" spans="2:37" s="25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row>
    <row r="371" spans="2:37" s="25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row>
    <row r="372" spans="2:37" s="25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row>
    <row r="373" spans="2:37" s="25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row>
    <row r="374" spans="2:37" s="25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row>
    <row r="375" spans="2:37" s="25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row>
    <row r="376" spans="2:37" s="25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row>
    <row r="377" spans="2:37" s="25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row>
    <row r="378" spans="2:37" s="25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row>
    <row r="379" spans="2:37" s="25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row>
    <row r="380" spans="2:37" s="25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row>
    <row r="381" spans="2:37" s="25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row>
    <row r="382" spans="2:37" s="255" customFormat="1">
      <c r="O382" s="8"/>
      <c r="P382" s="8"/>
      <c r="Q382" s="8"/>
      <c r="R382" s="8"/>
      <c r="S382" s="8"/>
      <c r="T382" s="8"/>
      <c r="U382" s="8"/>
      <c r="V382" s="8"/>
      <c r="W382" s="8"/>
      <c r="X382" s="8"/>
      <c r="Y382" s="8"/>
      <c r="Z382" s="8"/>
      <c r="AA382" s="8"/>
      <c r="AB382" s="8"/>
      <c r="AC382" s="8"/>
      <c r="AD382" s="8"/>
      <c r="AE382" s="8"/>
      <c r="AF382" s="8"/>
      <c r="AG382" s="8"/>
      <c r="AH382" s="8"/>
      <c r="AI382" s="8"/>
      <c r="AJ382" s="8"/>
      <c r="AK382" s="8"/>
    </row>
    <row r="383" spans="2:37" s="255" customFormat="1">
      <c r="O383" s="8"/>
      <c r="P383" s="8"/>
      <c r="Q383" s="8"/>
      <c r="R383" s="8"/>
      <c r="S383" s="8"/>
      <c r="T383" s="8"/>
      <c r="U383" s="8"/>
      <c r="V383" s="8"/>
      <c r="W383" s="8"/>
      <c r="X383" s="8"/>
      <c r="Y383" s="8"/>
      <c r="Z383" s="8"/>
      <c r="AA383" s="8"/>
      <c r="AB383" s="8"/>
      <c r="AC383" s="8"/>
      <c r="AD383" s="8"/>
      <c r="AE383" s="8"/>
      <c r="AF383" s="8"/>
      <c r="AG383" s="8"/>
      <c r="AH383" s="8"/>
      <c r="AI383" s="8"/>
      <c r="AJ383" s="8"/>
      <c r="AK383" s="8"/>
    </row>
    <row r="384" spans="2:37">
      <c r="B384" s="255"/>
      <c r="C384" s="255"/>
      <c r="D384" s="255"/>
      <c r="E384" s="255"/>
      <c r="F384" s="255"/>
      <c r="G384" s="255"/>
      <c r="I384" s="255"/>
      <c r="J384" s="255"/>
      <c r="K384" s="255"/>
      <c r="L384" s="255"/>
      <c r="M384" s="255"/>
    </row>
  </sheetData>
  <mergeCells count="4">
    <mergeCell ref="B1:G1"/>
    <mergeCell ref="I1:M1"/>
    <mergeCell ref="I8:M8"/>
    <mergeCell ref="B41:G45"/>
  </mergeCells>
  <pageMargins left="0.25" right="0.25" top="0.75" bottom="0.75" header="0.3" footer="0.3"/>
  <pageSetup scale="95" orientation="portrait" r:id="rId1"/>
  <headerFooter>
    <oddFooter>&amp;R&amp;P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EK484"/>
  <sheetViews>
    <sheetView topLeftCell="A11" zoomScale="80" zoomScaleNormal="80" workbookViewId="0">
      <selection activeCell="Q76" sqref="Q76"/>
    </sheetView>
  </sheetViews>
  <sheetFormatPr defaultColWidth="9.42578125" defaultRowHeight="15"/>
  <cols>
    <col min="1" max="1" width="2.42578125" style="2" customWidth="1"/>
    <col min="2" max="2" width="30.5703125" style="2" customWidth="1"/>
    <col min="3" max="3" width="24" style="2" customWidth="1"/>
    <col min="4" max="5" width="14.42578125" style="2" customWidth="1"/>
    <col min="6" max="6" width="14.42578125" style="2" hidden="1" customWidth="1"/>
    <col min="7" max="7" width="47.5703125" style="2" customWidth="1"/>
    <col min="8" max="8" width="9" style="2168" customWidth="1"/>
    <col min="9" max="9" width="25.5703125" style="2" customWidth="1"/>
    <col min="10" max="10" width="19.42578125" style="2" customWidth="1"/>
    <col min="11" max="11" width="14.5703125" style="2" customWidth="1"/>
    <col min="12" max="12" width="13.5703125" style="2" customWidth="1"/>
    <col min="13" max="13" width="16.140625" style="2" customWidth="1"/>
    <col min="14" max="14" width="8.5703125" style="2" customWidth="1"/>
    <col min="15" max="15" width="9.5703125" style="36" customWidth="1"/>
    <col min="16" max="141" width="9.42578125" style="41"/>
    <col min="142" max="16384" width="9.42578125" style="2"/>
  </cols>
  <sheetData>
    <row r="1" spans="1:141" ht="15.75" thickBot="1">
      <c r="A1" s="36"/>
      <c r="B1" s="2554" t="s">
        <v>546</v>
      </c>
      <c r="C1" s="2554"/>
      <c r="D1" s="2554"/>
      <c r="E1" s="2554"/>
      <c r="F1" s="2554"/>
      <c r="G1" s="2554"/>
      <c r="H1" s="944"/>
      <c r="I1" s="2587" t="s">
        <v>578</v>
      </c>
      <c r="J1" s="2587"/>
      <c r="K1" s="2587"/>
      <c r="L1" s="2587"/>
      <c r="M1" s="2587"/>
      <c r="N1" s="36"/>
      <c r="P1" s="36"/>
      <c r="Q1" s="36"/>
      <c r="R1" s="36"/>
      <c r="S1" s="36"/>
      <c r="T1" s="36"/>
      <c r="U1" s="36"/>
      <c r="V1" s="36"/>
      <c r="W1" s="36"/>
      <c r="X1" s="36"/>
      <c r="Y1" s="36"/>
      <c r="Z1" s="36"/>
      <c r="AA1" s="36"/>
      <c r="AB1" s="36"/>
      <c r="AC1" s="36"/>
      <c r="AD1" s="36"/>
      <c r="AE1" s="36"/>
      <c r="AF1" s="36"/>
      <c r="AG1" s="36"/>
      <c r="AH1" s="36"/>
      <c r="EK1" s="2"/>
    </row>
    <row r="2" spans="1:141" ht="16.5" thickBot="1">
      <c r="A2" s="36"/>
      <c r="B2" s="36"/>
      <c r="C2" s="36"/>
      <c r="D2" s="36"/>
      <c r="E2" s="36"/>
      <c r="F2" s="36"/>
      <c r="G2" s="36"/>
      <c r="H2" s="2161"/>
      <c r="I2" s="37"/>
      <c r="J2" s="36"/>
      <c r="K2" s="36"/>
      <c r="L2" s="36"/>
      <c r="M2" s="36"/>
      <c r="N2" s="36"/>
      <c r="P2" s="36"/>
      <c r="Q2" s="36"/>
      <c r="R2" s="36"/>
      <c r="S2" s="36"/>
      <c r="T2" s="36"/>
      <c r="U2" s="36"/>
      <c r="V2" s="36"/>
      <c r="W2" s="36"/>
      <c r="X2" s="36"/>
      <c r="Y2" s="36"/>
      <c r="Z2" s="36"/>
      <c r="AA2" s="36"/>
      <c r="AB2" s="36"/>
      <c r="AC2" s="36"/>
      <c r="AD2" s="36"/>
      <c r="AE2" s="36"/>
      <c r="AF2" s="36"/>
      <c r="AG2" s="36"/>
      <c r="AH2" s="36"/>
      <c r="EK2" s="2"/>
    </row>
    <row r="3" spans="1:141">
      <c r="A3" s="36"/>
      <c r="B3" s="138" t="s">
        <v>0</v>
      </c>
      <c r="C3" s="139" t="s">
        <v>1</v>
      </c>
      <c r="D3" s="163" t="s">
        <v>2</v>
      </c>
      <c r="E3" s="39"/>
      <c r="F3" s="39"/>
      <c r="G3" s="39"/>
      <c r="H3" s="2161"/>
      <c r="I3" s="36"/>
      <c r="J3" s="36"/>
      <c r="K3" s="36"/>
      <c r="L3" s="36"/>
      <c r="M3" s="36"/>
      <c r="N3" s="36"/>
      <c r="P3" s="36"/>
      <c r="Q3" s="36"/>
      <c r="R3" s="36"/>
      <c r="S3" s="36"/>
      <c r="T3" s="36"/>
      <c r="U3" s="36"/>
      <c r="V3" s="36"/>
      <c r="W3" s="36"/>
      <c r="X3" s="36"/>
      <c r="Y3" s="36"/>
      <c r="Z3" s="36"/>
      <c r="AA3" s="36"/>
      <c r="AB3" s="36"/>
      <c r="AC3" s="36"/>
      <c r="AD3" s="36"/>
      <c r="AE3" s="36"/>
      <c r="AF3" s="36"/>
      <c r="AG3" s="36"/>
      <c r="AH3" s="36"/>
      <c r="EK3" s="2"/>
    </row>
    <row r="4" spans="1:141">
      <c r="A4" s="36"/>
      <c r="B4" s="140" t="s">
        <v>370</v>
      </c>
      <c r="C4" s="141">
        <v>15</v>
      </c>
      <c r="D4" s="164">
        <f>C4*8</f>
        <v>120</v>
      </c>
      <c r="E4" s="39"/>
      <c r="F4" s="39"/>
      <c r="G4" s="39"/>
      <c r="H4" s="2161"/>
      <c r="I4" s="36"/>
      <c r="J4" s="36"/>
      <c r="K4" s="36"/>
      <c r="L4" s="36"/>
      <c r="M4" s="36"/>
      <c r="N4" s="36"/>
      <c r="P4" s="36"/>
      <c r="Q4" s="36"/>
      <c r="R4" s="36"/>
      <c r="S4" s="36"/>
      <c r="T4" s="36"/>
      <c r="U4" s="36"/>
      <c r="V4" s="36"/>
      <c r="W4" s="36"/>
      <c r="X4" s="36"/>
      <c r="Y4" s="36"/>
      <c r="Z4" s="36"/>
      <c r="AA4" s="36"/>
      <c r="AB4" s="36"/>
      <c r="AC4" s="36"/>
      <c r="AD4" s="36"/>
      <c r="AE4" s="36"/>
      <c r="AF4" s="36"/>
      <c r="AG4" s="36"/>
      <c r="AH4" s="36"/>
      <c r="EK4" s="2"/>
    </row>
    <row r="5" spans="1:141">
      <c r="A5" s="36"/>
      <c r="B5" s="140" t="s">
        <v>378</v>
      </c>
      <c r="C5" s="141">
        <v>8</v>
      </c>
      <c r="D5" s="164">
        <f>C5*8</f>
        <v>64</v>
      </c>
      <c r="E5" s="39"/>
      <c r="F5" s="39"/>
      <c r="G5" s="39"/>
      <c r="H5" s="2161"/>
      <c r="I5" s="36"/>
      <c r="J5" s="36"/>
      <c r="K5" s="36"/>
      <c r="L5" s="36"/>
      <c r="M5" s="36"/>
      <c r="N5" s="36"/>
      <c r="P5" s="36"/>
      <c r="Q5" s="36"/>
      <c r="R5" s="36"/>
      <c r="S5" s="36"/>
      <c r="T5" s="36"/>
      <c r="U5" s="36"/>
      <c r="V5" s="36"/>
      <c r="W5" s="36"/>
      <c r="X5" s="36"/>
      <c r="Y5" s="36"/>
      <c r="Z5" s="36"/>
      <c r="AA5" s="36"/>
      <c r="AB5" s="36"/>
      <c r="AC5" s="36"/>
      <c r="AD5" s="36"/>
      <c r="AE5" s="36"/>
      <c r="AF5" s="36"/>
      <c r="AG5" s="36"/>
      <c r="AH5" s="36"/>
      <c r="EK5" s="2"/>
    </row>
    <row r="6" spans="1:141">
      <c r="A6" s="36"/>
      <c r="B6" s="140" t="s">
        <v>372</v>
      </c>
      <c r="C6" s="141">
        <v>11</v>
      </c>
      <c r="D6" s="164">
        <f>C6*8</f>
        <v>88</v>
      </c>
      <c r="E6" s="39"/>
      <c r="F6" s="39"/>
      <c r="G6" s="39"/>
      <c r="H6" s="2161"/>
      <c r="I6" s="36"/>
      <c r="J6" s="36"/>
      <c r="K6" s="36"/>
      <c r="L6" s="36"/>
      <c r="M6" s="36"/>
      <c r="N6" s="36"/>
      <c r="P6" s="36"/>
      <c r="Q6" s="36"/>
      <c r="R6" s="36"/>
      <c r="S6" s="36"/>
      <c r="T6" s="36"/>
      <c r="U6" s="36"/>
      <c r="V6" s="36"/>
      <c r="W6" s="36"/>
      <c r="X6" s="36"/>
      <c r="Y6" s="36"/>
      <c r="Z6" s="36"/>
      <c r="AA6" s="36"/>
      <c r="AB6" s="36"/>
      <c r="AC6" s="36"/>
      <c r="AD6" s="36"/>
      <c r="AE6" s="36"/>
      <c r="AF6" s="36"/>
      <c r="AG6" s="36"/>
      <c r="AH6" s="36"/>
      <c r="EK6" s="2"/>
    </row>
    <row r="7" spans="1:141">
      <c r="A7" s="36"/>
      <c r="B7" s="142" t="s">
        <v>902</v>
      </c>
      <c r="C7" s="141">
        <v>5</v>
      </c>
      <c r="D7" s="165">
        <f>C7*8</f>
        <v>40</v>
      </c>
      <c r="E7" s="39"/>
      <c r="F7" s="39"/>
      <c r="G7" s="39"/>
      <c r="H7" s="2161"/>
      <c r="I7" s="36"/>
      <c r="J7" s="36"/>
      <c r="K7" s="36"/>
      <c r="L7" s="36"/>
      <c r="M7" s="36"/>
      <c r="N7" s="36"/>
      <c r="P7" s="36"/>
      <c r="Q7" s="36"/>
      <c r="R7" s="36"/>
      <c r="S7" s="36"/>
      <c r="T7" s="36"/>
      <c r="U7" s="36"/>
      <c r="V7" s="36"/>
      <c r="W7" s="36"/>
      <c r="X7" s="36"/>
      <c r="Y7" s="36"/>
      <c r="Z7" s="36"/>
      <c r="AA7" s="36"/>
      <c r="AB7" s="36"/>
      <c r="AC7" s="36"/>
      <c r="AD7" s="36"/>
      <c r="AE7" s="36"/>
      <c r="AF7" s="36"/>
      <c r="AG7" s="36"/>
      <c r="AH7" s="36"/>
      <c r="EK7" s="2"/>
    </row>
    <row r="8" spans="1:141" ht="15.75" thickBot="1">
      <c r="A8" s="36"/>
      <c r="B8" s="140"/>
      <c r="C8" s="143" t="s">
        <v>3</v>
      </c>
      <c r="D8" s="164">
        <f>SUM(D4:D7)</f>
        <v>312</v>
      </c>
      <c r="E8" s="39"/>
      <c r="F8" s="39"/>
      <c r="G8" s="39"/>
      <c r="H8" s="2161"/>
      <c r="I8" s="36"/>
      <c r="J8" s="36"/>
      <c r="K8" s="36"/>
      <c r="L8" s="36"/>
      <c r="M8" s="36"/>
      <c r="N8" s="36"/>
      <c r="P8" s="36"/>
      <c r="Q8" s="36"/>
      <c r="R8" s="36"/>
      <c r="S8" s="36"/>
      <c r="T8" s="36"/>
      <c r="U8" s="36"/>
      <c r="V8" s="36"/>
      <c r="W8" s="36"/>
      <c r="X8" s="36"/>
      <c r="Y8" s="36"/>
      <c r="Z8" s="36"/>
      <c r="AA8" s="36"/>
      <c r="AB8" s="36"/>
      <c r="AC8" s="36"/>
      <c r="AD8" s="36"/>
      <c r="AE8" s="36"/>
      <c r="AF8" s="36"/>
      <c r="AG8" s="36"/>
      <c r="AH8" s="36"/>
      <c r="EK8" s="2"/>
    </row>
    <row r="9" spans="1:141" ht="15.75" thickBot="1">
      <c r="A9" s="36"/>
      <c r="B9" s="144"/>
      <c r="C9" s="145" t="s">
        <v>4</v>
      </c>
      <c r="D9" s="166">
        <f>D8/(52*40)</f>
        <v>0.15</v>
      </c>
      <c r="E9" s="39"/>
      <c r="F9" s="39"/>
      <c r="G9" s="40"/>
      <c r="H9" s="2161"/>
      <c r="I9" s="2613" t="s">
        <v>579</v>
      </c>
      <c r="J9" s="2614"/>
      <c r="K9" s="2614"/>
      <c r="L9" s="2614"/>
      <c r="M9" s="2615"/>
      <c r="N9" s="36"/>
      <c r="P9" s="36"/>
      <c r="Q9" s="36"/>
      <c r="R9" s="36"/>
      <c r="S9" s="36"/>
      <c r="T9" s="36"/>
      <c r="U9" s="36"/>
      <c r="V9" s="36"/>
      <c r="W9" s="36"/>
      <c r="X9" s="36"/>
      <c r="Y9" s="36"/>
      <c r="Z9" s="36"/>
      <c r="AA9" s="36"/>
      <c r="AB9" s="36"/>
      <c r="AC9" s="36"/>
      <c r="AD9" s="36"/>
      <c r="AE9" s="36"/>
      <c r="AF9" s="36"/>
      <c r="AG9" s="36"/>
      <c r="AH9" s="36"/>
      <c r="EK9" s="2"/>
    </row>
    <row r="10" spans="1:141" ht="15.75" thickBot="1">
      <c r="A10" s="36"/>
      <c r="B10" s="36"/>
      <c r="C10" s="36"/>
      <c r="D10" s="36"/>
      <c r="E10" s="36"/>
      <c r="F10" s="36"/>
      <c r="G10" s="36"/>
      <c r="H10" s="2161"/>
      <c r="I10" s="146" t="s">
        <v>277</v>
      </c>
      <c r="J10" s="147">
        <v>5</v>
      </c>
      <c r="K10" s="148"/>
      <c r="L10" s="149" t="s">
        <v>133</v>
      </c>
      <c r="M10" s="150">
        <f>J10*365</f>
        <v>1825</v>
      </c>
      <c r="N10" s="36"/>
      <c r="P10" s="36"/>
      <c r="Q10" s="36"/>
      <c r="R10" s="36"/>
      <c r="S10" s="36"/>
      <c r="T10" s="36"/>
      <c r="U10" s="36"/>
      <c r="V10" s="36"/>
      <c r="W10" s="36"/>
      <c r="X10" s="36"/>
      <c r="Y10" s="36"/>
      <c r="Z10" s="36"/>
      <c r="AA10" s="36"/>
      <c r="AB10" s="36"/>
      <c r="AC10" s="36"/>
      <c r="AD10" s="36"/>
      <c r="AE10" s="36"/>
      <c r="AF10" s="36"/>
      <c r="AG10" s="36"/>
      <c r="AH10" s="36"/>
      <c r="EK10" s="2"/>
    </row>
    <row r="11" spans="1:141" ht="26.25">
      <c r="A11" s="36"/>
      <c r="B11" s="42"/>
      <c r="C11" s="153"/>
      <c r="D11" s="153" t="s">
        <v>41</v>
      </c>
      <c r="E11" s="271"/>
      <c r="F11" s="1883" t="s">
        <v>1164</v>
      </c>
      <c r="G11" s="176" t="s">
        <v>278</v>
      </c>
      <c r="H11" s="2161"/>
      <c r="I11" s="106"/>
      <c r="J11" s="53"/>
      <c r="K11" s="54" t="s">
        <v>5</v>
      </c>
      <c r="L11" s="54" t="s">
        <v>6</v>
      </c>
      <c r="M11" s="107" t="s">
        <v>7</v>
      </c>
      <c r="N11" s="36"/>
      <c r="P11" s="36"/>
      <c r="Q11" s="36"/>
      <c r="R11" s="36"/>
      <c r="S11" s="36"/>
      <c r="T11" s="36"/>
      <c r="U11" s="36"/>
      <c r="V11" s="36"/>
      <c r="W11" s="36"/>
      <c r="X11" s="36"/>
      <c r="Y11" s="36"/>
      <c r="Z11" s="36"/>
      <c r="AA11" s="36"/>
      <c r="AB11" s="36"/>
      <c r="AC11" s="36"/>
      <c r="AD11" s="36"/>
      <c r="AE11" s="36"/>
      <c r="AF11" s="36"/>
      <c r="AG11" s="36"/>
      <c r="AH11" s="36"/>
      <c r="EK11" s="2"/>
    </row>
    <row r="12" spans="1:141">
      <c r="A12" s="36"/>
      <c r="B12" s="44" t="s">
        <v>29</v>
      </c>
      <c r="C12" s="925"/>
      <c r="D12" s="2358"/>
      <c r="E12" s="925"/>
      <c r="F12" s="2359"/>
      <c r="G12" s="2360"/>
      <c r="H12" s="2161"/>
      <c r="I12" s="100" t="str">
        <f t="shared" ref="I12:I19" si="0">B12</f>
        <v>Management</v>
      </c>
      <c r="J12" s="55"/>
      <c r="K12" s="56"/>
      <c r="L12" s="56"/>
      <c r="M12" s="108"/>
      <c r="N12" s="36"/>
      <c r="P12" s="36"/>
      <c r="Q12" s="36"/>
      <c r="R12" s="36"/>
      <c r="S12" s="36"/>
      <c r="T12" s="36"/>
      <c r="U12" s="36"/>
      <c r="V12" s="36"/>
      <c r="W12" s="36"/>
      <c r="X12" s="36"/>
      <c r="Y12" s="36"/>
      <c r="Z12" s="36"/>
      <c r="AA12" s="36"/>
      <c r="AB12" s="36"/>
      <c r="AC12" s="36"/>
      <c r="AD12" s="36"/>
      <c r="AE12" s="36"/>
      <c r="AF12" s="36"/>
      <c r="AG12" s="36"/>
      <c r="AH12" s="36"/>
      <c r="EK12" s="2"/>
    </row>
    <row r="13" spans="1:141">
      <c r="A13" s="36"/>
      <c r="B13" s="48" t="str">
        <f>'Int_Fire_Safety '!B13</f>
        <v xml:space="preserve">Program Functional Oversight </v>
      </c>
      <c r="C13" s="2361"/>
      <c r="D13" s="1409">
        <f>'M2022 BLS SALARY CHART (53_PCT)'!C22</f>
        <v>79415.232000000018</v>
      </c>
      <c r="E13" s="925"/>
      <c r="F13" s="1387">
        <v>92496.84919424048</v>
      </c>
      <c r="G13" s="1446" t="s">
        <v>1401</v>
      </c>
      <c r="H13" s="2161"/>
      <c r="I13" s="104" t="str">
        <f t="shared" si="0"/>
        <v xml:space="preserve">Program Functional Oversight </v>
      </c>
      <c r="J13" s="1002"/>
      <c r="K13" s="1131">
        <f>D13</f>
        <v>79415.232000000018</v>
      </c>
      <c r="L13" s="1004">
        <f>C45</f>
        <v>0.1</v>
      </c>
      <c r="M13" s="110">
        <f>K13*L13</f>
        <v>7941.5232000000024</v>
      </c>
      <c r="N13" s="36"/>
      <c r="P13" s="36"/>
      <c r="Q13" s="36"/>
      <c r="R13" s="36"/>
      <c r="S13" s="36"/>
      <c r="T13" s="36"/>
      <c r="U13" s="36"/>
      <c r="V13" s="36"/>
      <c r="W13" s="36"/>
      <c r="X13" s="36"/>
      <c r="Y13" s="36"/>
      <c r="Z13" s="36"/>
      <c r="AA13" s="36"/>
      <c r="AB13" s="36"/>
      <c r="AC13" s="36"/>
      <c r="AD13" s="36"/>
      <c r="AE13" s="36"/>
      <c r="AF13" s="36"/>
      <c r="AG13" s="36"/>
      <c r="AH13" s="36"/>
      <c r="EK13" s="2"/>
    </row>
    <row r="14" spans="1:141">
      <c r="A14" s="36"/>
      <c r="B14" s="48" t="s">
        <v>402</v>
      </c>
      <c r="C14" s="2361"/>
      <c r="D14" s="1409">
        <f>'Integrated Team '!E14</f>
        <v>80606.448000000004</v>
      </c>
      <c r="E14" s="925"/>
      <c r="F14" s="1387">
        <v>60923</v>
      </c>
      <c r="G14" s="2599" t="s">
        <v>1410</v>
      </c>
      <c r="H14" s="2161"/>
      <c r="I14" s="104" t="str">
        <f t="shared" si="0"/>
        <v xml:space="preserve">  Specialty Site Manager</v>
      </c>
      <c r="J14" s="1002"/>
      <c r="K14" s="1131">
        <f>D14</f>
        <v>80606.448000000004</v>
      </c>
      <c r="L14" s="1004">
        <f>C46</f>
        <v>1</v>
      </c>
      <c r="M14" s="110">
        <f>K14*L14</f>
        <v>80606.448000000004</v>
      </c>
      <c r="N14" s="36"/>
      <c r="P14" s="36"/>
      <c r="Q14" s="36"/>
      <c r="R14" s="36"/>
      <c r="S14" s="36"/>
      <c r="T14" s="36"/>
      <c r="U14" s="36"/>
      <c r="V14" s="36"/>
      <c r="W14" s="36"/>
      <c r="X14" s="36"/>
      <c r="Y14" s="36"/>
      <c r="Z14" s="36"/>
      <c r="AA14" s="36"/>
      <c r="AB14" s="36"/>
      <c r="AC14" s="36"/>
      <c r="AD14" s="36"/>
      <c r="AE14" s="36"/>
      <c r="AF14" s="36"/>
      <c r="AG14" s="36"/>
      <c r="AH14" s="36"/>
      <c r="EK14" s="2"/>
    </row>
    <row r="15" spans="1:141">
      <c r="A15" s="36"/>
      <c r="B15" s="44" t="s">
        <v>30</v>
      </c>
      <c r="C15" s="2361"/>
      <c r="D15" s="1409"/>
      <c r="E15" s="925"/>
      <c r="F15" s="1387"/>
      <c r="G15" s="2599"/>
      <c r="H15" s="2161"/>
      <c r="I15" s="100" t="str">
        <f t="shared" si="0"/>
        <v>Medical and Clinical</v>
      </c>
      <c r="J15" s="1002"/>
      <c r="K15" s="1003"/>
      <c r="L15" s="1004"/>
      <c r="M15" s="110"/>
      <c r="N15" s="36"/>
      <c r="P15" s="36"/>
      <c r="Q15" s="36"/>
      <c r="R15" s="36"/>
      <c r="S15" s="36"/>
      <c r="T15" s="36"/>
      <c r="U15" s="36"/>
      <c r="V15" s="36"/>
      <c r="W15" s="36"/>
      <c r="X15" s="36"/>
      <c r="Y15" s="36"/>
      <c r="Z15" s="36"/>
      <c r="AA15" s="36"/>
      <c r="AB15" s="36"/>
      <c r="AC15" s="36"/>
      <c r="AD15" s="36"/>
      <c r="AE15" s="36"/>
      <c r="AF15" s="36"/>
      <c r="AG15" s="36"/>
      <c r="AH15" s="36"/>
      <c r="EK15" s="2"/>
    </row>
    <row r="16" spans="1:141">
      <c r="A16" s="36"/>
      <c r="B16" s="374" t="s">
        <v>436</v>
      </c>
      <c r="C16" s="2362"/>
      <c r="D16" s="1409">
        <f>'Integrated Team '!E18</f>
        <v>80606.448000000004</v>
      </c>
      <c r="E16" s="925"/>
      <c r="F16" s="1387">
        <v>60923.199999999997</v>
      </c>
      <c r="G16" s="1446" t="s">
        <v>1401</v>
      </c>
      <c r="H16" s="2162"/>
      <c r="I16" s="385" t="str">
        <f t="shared" si="0"/>
        <v xml:space="preserve">   LPHA</v>
      </c>
      <c r="J16" s="1129"/>
      <c r="K16" s="1131">
        <f>D16</f>
        <v>80606.448000000004</v>
      </c>
      <c r="L16" s="1132">
        <f>C48</f>
        <v>1</v>
      </c>
      <c r="M16" s="379">
        <f>K16*L16</f>
        <v>80606.448000000004</v>
      </c>
      <c r="N16" s="36"/>
      <c r="P16" s="36"/>
      <c r="Q16" s="36"/>
      <c r="R16" s="36"/>
      <c r="S16" s="36"/>
      <c r="T16" s="36"/>
      <c r="U16" s="36"/>
      <c r="V16" s="36"/>
      <c r="W16" s="36"/>
      <c r="X16" s="36"/>
      <c r="Y16" s="36"/>
      <c r="Z16" s="36"/>
      <c r="AA16" s="36"/>
      <c r="AB16" s="36"/>
      <c r="AC16" s="36"/>
      <c r="AD16" s="36"/>
      <c r="AE16" s="36"/>
      <c r="AF16" s="36"/>
      <c r="AG16" s="36"/>
      <c r="AH16" s="36"/>
      <c r="EK16" s="2"/>
    </row>
    <row r="17" spans="1:141">
      <c r="A17" s="36"/>
      <c r="B17" s="79" t="str">
        <f>Med_Int_Spec!B18</f>
        <v xml:space="preserve">  Certified Nursing Assistant (CNA)</v>
      </c>
      <c r="C17" s="2361"/>
      <c r="D17" s="1409">
        <f>'M2022 BLS SALARY CHART (53_PCT)'!C10</f>
        <v>41600</v>
      </c>
      <c r="E17" s="925"/>
      <c r="F17" s="1387">
        <v>32302.399999999998</v>
      </c>
      <c r="G17" s="1446" t="s">
        <v>1401</v>
      </c>
      <c r="H17" s="2161"/>
      <c r="I17" s="104" t="str">
        <f t="shared" si="0"/>
        <v xml:space="preserve">  Certified Nursing Assistant (CNA)</v>
      </c>
      <c r="J17" s="1002"/>
      <c r="K17" s="1131">
        <f>D17</f>
        <v>41600</v>
      </c>
      <c r="L17" s="1004">
        <f>C49</f>
        <v>1.4</v>
      </c>
      <c r="M17" s="110">
        <f>K17*L17</f>
        <v>58239.999999999993</v>
      </c>
      <c r="N17" s="167"/>
      <c r="P17" s="36"/>
      <c r="Q17" s="36"/>
      <c r="R17" s="36"/>
      <c r="S17" s="36"/>
      <c r="T17" s="36"/>
      <c r="U17" s="36"/>
      <c r="V17" s="36"/>
      <c r="W17" s="36"/>
      <c r="X17" s="36"/>
      <c r="Y17" s="36"/>
      <c r="Z17" s="36"/>
      <c r="AA17" s="36"/>
      <c r="AB17" s="36"/>
      <c r="AC17" s="36"/>
      <c r="AD17" s="36"/>
      <c r="AE17" s="36"/>
      <c r="AF17" s="36"/>
      <c r="AG17" s="36"/>
      <c r="AH17" s="36"/>
      <c r="EK17" s="2"/>
    </row>
    <row r="18" spans="1:141">
      <c r="A18" s="36"/>
      <c r="B18" s="44" t="s">
        <v>31</v>
      </c>
      <c r="C18" s="2361"/>
      <c r="D18" s="1409"/>
      <c r="E18" s="925"/>
      <c r="F18" s="1387"/>
      <c r="G18" s="2363"/>
      <c r="H18" s="2161"/>
      <c r="I18" s="100" t="str">
        <f t="shared" si="0"/>
        <v>Direct Care</v>
      </c>
      <c r="J18" s="1002"/>
      <c r="K18" s="1131"/>
      <c r="L18" s="1004"/>
      <c r="M18" s="110"/>
      <c r="N18" s="167"/>
      <c r="P18" s="36"/>
      <c r="Q18" s="36"/>
      <c r="R18" s="36"/>
      <c r="S18" s="36"/>
      <c r="T18" s="36"/>
      <c r="U18" s="36"/>
      <c r="V18" s="36"/>
      <c r="W18" s="36"/>
      <c r="X18" s="36"/>
      <c r="Y18" s="36"/>
      <c r="Z18" s="36"/>
      <c r="AA18" s="36"/>
      <c r="AB18" s="36"/>
      <c r="AC18" s="36"/>
      <c r="AD18" s="36"/>
      <c r="AE18" s="36"/>
      <c r="AF18" s="36"/>
      <c r="AG18" s="36"/>
      <c r="AH18" s="36"/>
      <c r="EK18" s="2"/>
    </row>
    <row r="19" spans="1:141">
      <c r="A19" s="36"/>
      <c r="B19" s="48" t="s">
        <v>912</v>
      </c>
      <c r="C19" s="2361"/>
      <c r="D19" s="1409">
        <f>'Int_Fire_Safety '!D22</f>
        <v>53206.566400000003</v>
      </c>
      <c r="E19" s="925"/>
      <c r="F19" s="1387">
        <v>41517</v>
      </c>
      <c r="G19" s="1446" t="s">
        <v>1401</v>
      </c>
      <c r="H19" s="2161"/>
      <c r="I19" s="104" t="str">
        <f t="shared" si="0"/>
        <v xml:space="preserve">    Direct Care III</v>
      </c>
      <c r="J19" s="1002"/>
      <c r="K19" s="1131">
        <f>D19</f>
        <v>53206.566400000003</v>
      </c>
      <c r="L19" s="1004">
        <f>C51</f>
        <v>6</v>
      </c>
      <c r="M19" s="110">
        <f>K19*L19</f>
        <v>319239.39840000001</v>
      </c>
      <c r="N19" s="2160">
        <v>5.8</v>
      </c>
      <c r="P19" s="36"/>
      <c r="Q19" s="36"/>
      <c r="R19" s="36"/>
      <c r="S19" s="36"/>
      <c r="T19" s="36"/>
      <c r="U19" s="36"/>
      <c r="V19" s="36"/>
      <c r="W19" s="36"/>
      <c r="X19" s="36"/>
      <c r="Y19" s="36"/>
      <c r="Z19" s="36"/>
      <c r="AA19" s="36"/>
      <c r="AB19" s="36"/>
      <c r="AC19" s="36"/>
      <c r="AD19" s="36"/>
      <c r="AE19" s="36"/>
      <c r="AF19" s="36"/>
      <c r="AG19" s="36"/>
      <c r="AH19" s="36"/>
      <c r="EK19" s="2"/>
    </row>
    <row r="20" spans="1:141">
      <c r="A20" s="36"/>
      <c r="B20" s="48" t="s">
        <v>974</v>
      </c>
      <c r="C20" s="2361"/>
      <c r="D20" s="1409">
        <f>'Int_Fire_Safety '!D23</f>
        <v>41600</v>
      </c>
      <c r="E20" s="925"/>
      <c r="F20" s="1387">
        <v>32198</v>
      </c>
      <c r="G20" s="1446" t="s">
        <v>1401</v>
      </c>
      <c r="H20" s="2161"/>
      <c r="I20" s="104" t="str">
        <f>B52</f>
        <v xml:space="preserve">    Direct Care / Cert Nurse Asst</v>
      </c>
      <c r="J20" s="1002"/>
      <c r="K20" s="1131">
        <f>'M2020 BLS  SALARY CHART'!C10</f>
        <v>35900.800000000003</v>
      </c>
      <c r="L20" s="1004">
        <f>C52</f>
        <v>3.8</v>
      </c>
      <c r="M20" s="110">
        <f>K20*L20</f>
        <v>136423.04000000001</v>
      </c>
      <c r="N20" s="2160">
        <v>4</v>
      </c>
      <c r="P20" s="36"/>
      <c r="Q20" s="36"/>
      <c r="R20" s="36"/>
      <c r="S20" s="36"/>
      <c r="T20" s="36"/>
      <c r="U20" s="36"/>
      <c r="V20" s="36"/>
      <c r="W20" s="36"/>
      <c r="X20" s="36"/>
      <c r="Y20" s="36"/>
      <c r="Z20" s="36"/>
      <c r="AA20" s="36"/>
      <c r="AB20" s="36"/>
      <c r="AC20" s="36"/>
      <c r="AD20" s="36"/>
      <c r="AE20" s="36"/>
      <c r="AF20" s="36"/>
      <c r="AG20" s="36"/>
      <c r="AH20" s="36"/>
      <c r="EK20" s="2"/>
    </row>
    <row r="21" spans="1:141">
      <c r="A21" s="36"/>
      <c r="B21" s="48" t="s">
        <v>32</v>
      </c>
      <c r="C21" s="2361"/>
      <c r="D21" s="1409">
        <f>'Int_Fire_Safety '!D24</f>
        <v>47403.283200000005</v>
      </c>
      <c r="E21" s="925"/>
      <c r="F21" s="1387">
        <v>32198</v>
      </c>
      <c r="G21" s="1446" t="s">
        <v>1402</v>
      </c>
      <c r="H21" s="2161"/>
      <c r="I21" s="104" t="str">
        <f>B21</f>
        <v xml:space="preserve">    Relief</v>
      </c>
      <c r="J21" s="1002"/>
      <c r="K21" s="1003">
        <f>D21</f>
        <v>47403.283200000005</v>
      </c>
      <c r="L21" s="1004">
        <f>C53</f>
        <v>0.89999999999999991</v>
      </c>
      <c r="M21" s="110">
        <f>K21*L21</f>
        <v>42662.954879999998</v>
      </c>
      <c r="N21" s="167"/>
      <c r="P21" s="36"/>
      <c r="Q21" s="36"/>
      <c r="R21" s="36"/>
      <c r="S21" s="36"/>
      <c r="T21" s="36"/>
      <c r="U21" s="36"/>
      <c r="V21" s="36"/>
      <c r="W21" s="36"/>
      <c r="X21" s="36"/>
      <c r="Y21" s="36"/>
      <c r="Z21" s="36"/>
      <c r="AA21" s="36"/>
      <c r="AB21" s="36"/>
      <c r="AC21" s="36"/>
      <c r="AD21" s="36"/>
      <c r="AE21" s="36"/>
      <c r="AF21" s="36"/>
      <c r="AG21" s="36"/>
      <c r="AH21" s="36"/>
      <c r="EK21" s="2"/>
    </row>
    <row r="22" spans="1:141">
      <c r="A22" s="36"/>
      <c r="B22" s="48"/>
      <c r="C22" s="925"/>
      <c r="D22" s="2358"/>
      <c r="E22" s="925"/>
      <c r="F22" s="925"/>
      <c r="G22" s="1446"/>
      <c r="H22" s="2161"/>
      <c r="I22" s="114" t="s">
        <v>13</v>
      </c>
      <c r="J22" s="1019"/>
      <c r="K22" s="1019"/>
      <c r="L22" s="1307">
        <f>SUM(L13:L21)</f>
        <v>14.200000000000001</v>
      </c>
      <c r="M22" s="115">
        <f>SUM(M13:M21)</f>
        <v>725719.81247999996</v>
      </c>
      <c r="N22" s="167"/>
      <c r="P22" s="36"/>
      <c r="Q22" s="36"/>
      <c r="R22" s="36"/>
      <c r="S22" s="36"/>
      <c r="T22" s="36"/>
      <c r="U22" s="36"/>
      <c r="V22" s="36"/>
      <c r="W22" s="36"/>
      <c r="X22" s="36"/>
      <c r="Y22" s="36"/>
      <c r="Z22" s="36"/>
      <c r="AA22" s="36"/>
      <c r="AB22" s="36"/>
      <c r="AC22" s="36"/>
      <c r="AD22" s="36"/>
      <c r="AE22" s="36"/>
      <c r="AF22" s="36"/>
      <c r="AG22" s="36"/>
      <c r="AH22" s="36"/>
      <c r="EK22" s="2"/>
    </row>
    <row r="23" spans="1:141">
      <c r="A23" s="36"/>
      <c r="B23" s="81"/>
      <c r="C23" s="925"/>
      <c r="D23" s="2364" t="s">
        <v>42</v>
      </c>
      <c r="E23" s="925"/>
      <c r="F23" s="925"/>
      <c r="G23" s="2365"/>
      <c r="H23" s="2161"/>
      <c r="I23" s="100" t="s">
        <v>15</v>
      </c>
      <c r="J23" s="156"/>
      <c r="K23" s="156"/>
      <c r="L23" s="269" t="s">
        <v>16</v>
      </c>
      <c r="M23" s="105"/>
      <c r="N23" s="167"/>
      <c r="P23" s="36"/>
      <c r="Q23" s="36"/>
      <c r="R23" s="36"/>
      <c r="S23" s="36"/>
      <c r="T23" s="36"/>
      <c r="U23" s="36"/>
      <c r="V23" s="36"/>
      <c r="W23" s="36"/>
      <c r="X23" s="36"/>
      <c r="Y23" s="36"/>
      <c r="Z23" s="36"/>
      <c r="AA23" s="36"/>
      <c r="AB23" s="36"/>
      <c r="AC23" s="36"/>
      <c r="AD23" s="36"/>
      <c r="AE23" s="36"/>
      <c r="AF23" s="36"/>
      <c r="AG23" s="36"/>
      <c r="AH23" s="36"/>
      <c r="EK23" s="2"/>
    </row>
    <row r="24" spans="1:141">
      <c r="A24" s="36"/>
      <c r="B24" s="81" t="s">
        <v>434</v>
      </c>
      <c r="C24" s="925"/>
      <c r="D24" s="2021">
        <f>'Int_Fire_Safety '!D28</f>
        <v>0.27379999999999999</v>
      </c>
      <c r="E24" s="925"/>
      <c r="G24" s="484" t="s">
        <v>1411</v>
      </c>
      <c r="H24" s="2161"/>
      <c r="I24" s="104" t="str">
        <f>B24</f>
        <v xml:space="preserve">  Tax and Fringe</v>
      </c>
      <c r="J24" s="156"/>
      <c r="K24" s="1138">
        <f>D24</f>
        <v>0.27379999999999999</v>
      </c>
      <c r="L24" s="156"/>
      <c r="M24" s="117">
        <f>K24*M22</f>
        <v>198702.08465702398</v>
      </c>
      <c r="N24" s="167"/>
      <c r="P24" s="36"/>
      <c r="Q24" s="36"/>
      <c r="R24" s="36"/>
      <c r="S24" s="36"/>
      <c r="T24" s="36"/>
      <c r="U24" s="36"/>
      <c r="V24" s="36"/>
      <c r="W24" s="36"/>
      <c r="X24" s="36"/>
      <c r="Y24" s="36"/>
      <c r="Z24" s="36"/>
      <c r="AA24" s="36"/>
      <c r="AB24" s="36"/>
      <c r="AC24" s="36"/>
      <c r="AD24" s="36"/>
      <c r="AE24" s="36"/>
      <c r="AF24" s="36"/>
      <c r="AG24" s="36"/>
      <c r="AH24" s="36"/>
      <c r="EK24" s="2"/>
    </row>
    <row r="25" spans="1:141">
      <c r="A25" s="36"/>
      <c r="B25" s="44"/>
      <c r="C25" s="2366"/>
      <c r="D25" s="2366"/>
      <c r="E25" s="925"/>
      <c r="F25" s="2366"/>
      <c r="G25" s="1446"/>
      <c r="H25" s="2161"/>
      <c r="I25" s="114" t="s">
        <v>18</v>
      </c>
      <c r="J25" s="1019"/>
      <c r="K25" s="1019"/>
      <c r="L25" s="1020"/>
      <c r="M25" s="118">
        <f>M22+M24</f>
        <v>924421.89713702397</v>
      </c>
      <c r="N25" s="167"/>
      <c r="P25" s="36"/>
      <c r="Q25" s="36"/>
      <c r="R25" s="36"/>
      <c r="S25" s="36"/>
      <c r="T25" s="36"/>
      <c r="U25" s="36"/>
      <c r="V25" s="36"/>
      <c r="W25" s="36"/>
      <c r="X25" s="36"/>
      <c r="Y25" s="36"/>
      <c r="Z25" s="36"/>
      <c r="AA25" s="36"/>
      <c r="AB25" s="36"/>
      <c r="AC25" s="36"/>
      <c r="AD25" s="36"/>
      <c r="AE25" s="36"/>
      <c r="AF25" s="36"/>
      <c r="AG25" s="36"/>
      <c r="AH25" s="36"/>
      <c r="EK25" s="2"/>
    </row>
    <row r="26" spans="1:141">
      <c r="A26" s="36"/>
      <c r="B26" s="48"/>
      <c r="C26" s="2366"/>
      <c r="E26" s="925"/>
      <c r="F26" s="2366"/>
      <c r="G26" s="1446"/>
      <c r="H26" s="2161"/>
      <c r="I26" s="100"/>
      <c r="J26" s="269"/>
      <c r="K26" s="269"/>
      <c r="L26" s="1023"/>
      <c r="M26" s="151"/>
      <c r="N26" s="167"/>
      <c r="P26" s="36"/>
      <c r="Q26" s="36"/>
      <c r="R26" s="36"/>
      <c r="S26" s="36"/>
      <c r="T26" s="36"/>
      <c r="U26" s="36"/>
      <c r="V26" s="36"/>
      <c r="W26" s="36"/>
      <c r="X26" s="36"/>
      <c r="Y26" s="36"/>
      <c r="Z26" s="36"/>
      <c r="AA26" s="36"/>
      <c r="AB26" s="36"/>
      <c r="AC26" s="36"/>
      <c r="AD26" s="36"/>
      <c r="AE26" s="36"/>
      <c r="AF26" s="36"/>
      <c r="AG26" s="36"/>
      <c r="AH26" s="36"/>
      <c r="EK26" s="2"/>
    </row>
    <row r="27" spans="1:141">
      <c r="A27" s="36"/>
      <c r="B27" s="48"/>
      <c r="C27" s="2367"/>
      <c r="D27" s="2338" t="s">
        <v>328</v>
      </c>
      <c r="E27" s="925"/>
      <c r="F27" s="2367"/>
      <c r="G27" s="2368"/>
      <c r="H27" s="2161"/>
      <c r="I27" s="106" t="s">
        <v>328</v>
      </c>
      <c r="J27" s="1012"/>
      <c r="K27" s="997" t="s">
        <v>19</v>
      </c>
      <c r="L27" s="1139" t="s">
        <v>20</v>
      </c>
      <c r="M27" s="120" t="s">
        <v>7</v>
      </c>
      <c r="N27" s="167"/>
      <c r="P27" s="36"/>
      <c r="Q27" s="36"/>
      <c r="R27" s="36"/>
      <c r="S27" s="36"/>
      <c r="T27" s="36"/>
      <c r="U27" s="36"/>
      <c r="V27" s="36"/>
      <c r="W27" s="36"/>
      <c r="X27" s="36"/>
      <c r="Y27" s="36"/>
      <c r="Z27" s="36"/>
      <c r="AA27" s="36"/>
      <c r="AB27" s="36"/>
      <c r="AC27" s="36"/>
      <c r="AD27" s="36"/>
      <c r="AE27" s="36"/>
      <c r="AF27" s="36"/>
      <c r="AG27" s="36"/>
      <c r="AH27" s="36"/>
      <c r="EK27" s="2"/>
    </row>
    <row r="28" spans="1:141">
      <c r="A28" s="36"/>
      <c r="B28" s="48" t="str">
        <f>Int_Beh!B26</f>
        <v xml:space="preserve">  Psychologist</v>
      </c>
      <c r="C28" s="2361"/>
      <c r="D28" s="1305">
        <f>'Integrated Team '!E35</f>
        <v>136.75</v>
      </c>
      <c r="E28" s="925"/>
      <c r="F28" s="2369">
        <v>135.32</v>
      </c>
      <c r="G28" s="1453" t="str">
        <f>'Integrated Team '!H35</f>
        <v>Benchmark to 101 CMR 413: Yits</v>
      </c>
      <c r="H28" s="2161"/>
      <c r="I28" s="109" t="str">
        <f>B28</f>
        <v xml:space="preserve">  Psychologist</v>
      </c>
      <c r="J28" s="269"/>
      <c r="K28" s="1151">
        <f>D28</f>
        <v>136.75</v>
      </c>
      <c r="L28" s="1429">
        <f>C55*52</f>
        <v>32.5</v>
      </c>
      <c r="M28" s="117">
        <f>K28*L28</f>
        <v>4444.375</v>
      </c>
      <c r="N28" s="167"/>
      <c r="P28" s="36"/>
      <c r="Q28" s="36"/>
      <c r="R28" s="36"/>
      <c r="S28" s="36"/>
      <c r="T28" s="36"/>
      <c r="U28" s="36"/>
      <c r="V28" s="36"/>
      <c r="W28" s="36"/>
      <c r="X28" s="36"/>
      <c r="Y28" s="36"/>
      <c r="Z28" s="36"/>
      <c r="AA28" s="36"/>
      <c r="AB28" s="36"/>
      <c r="AC28" s="36"/>
      <c r="AD28" s="36"/>
      <c r="AE28" s="36"/>
      <c r="AF28" s="36"/>
      <c r="AG28" s="36"/>
      <c r="AH28" s="36"/>
      <c r="EK28" s="2"/>
    </row>
    <row r="29" spans="1:141">
      <c r="A29" s="36"/>
      <c r="B29" s="48"/>
      <c r="E29" s="925"/>
      <c r="F29" s="2366"/>
      <c r="G29" s="1446"/>
      <c r="H29" s="2161"/>
      <c r="I29" s="114" t="s">
        <v>21</v>
      </c>
      <c r="J29" s="1148"/>
      <c r="K29" s="1148"/>
      <c r="L29" s="1148"/>
      <c r="M29" s="118">
        <f>SUM(M28:M28)</f>
        <v>4444.375</v>
      </c>
      <c r="N29" s="167"/>
      <c r="P29" s="36"/>
      <c r="Q29" s="36"/>
      <c r="R29" s="36"/>
      <c r="S29" s="36"/>
      <c r="T29" s="36"/>
      <c r="U29" s="36"/>
      <c r="V29" s="36"/>
      <c r="W29" s="36"/>
      <c r="X29" s="36"/>
      <c r="Y29" s="36"/>
      <c r="Z29" s="36"/>
      <c r="AA29" s="36"/>
      <c r="AB29" s="36"/>
      <c r="AC29" s="36"/>
      <c r="AD29" s="36"/>
      <c r="AE29" s="36"/>
      <c r="AF29" s="36"/>
      <c r="AG29" s="36"/>
      <c r="AH29" s="36"/>
      <c r="EK29" s="2"/>
    </row>
    <row r="30" spans="1:141">
      <c r="A30" s="36"/>
      <c r="B30" s="968"/>
      <c r="C30" s="2366"/>
      <c r="D30" s="2366"/>
      <c r="E30" s="2366"/>
      <c r="G30" s="969"/>
      <c r="H30" s="2161"/>
      <c r="I30" s="109"/>
      <c r="J30" s="156"/>
      <c r="K30" s="1442"/>
      <c r="L30" s="156"/>
      <c r="M30" s="964"/>
      <c r="N30" s="167"/>
      <c r="P30" s="36"/>
      <c r="Q30" s="36"/>
      <c r="R30" s="36"/>
      <c r="S30" s="36"/>
      <c r="T30" s="36"/>
      <c r="U30" s="36"/>
      <c r="V30" s="36"/>
      <c r="W30" s="36"/>
      <c r="X30" s="36"/>
      <c r="Y30" s="36"/>
      <c r="Z30" s="36"/>
      <c r="AA30" s="36"/>
      <c r="AB30" s="36"/>
      <c r="AC30" s="36"/>
      <c r="AD30" s="36"/>
      <c r="AE30" s="36"/>
      <c r="AF30" s="36"/>
      <c r="AG30" s="36"/>
      <c r="AH30" s="36"/>
      <c r="EK30" s="2"/>
    </row>
    <row r="31" spans="1:141">
      <c r="A31" s="36"/>
      <c r="B31" s="44"/>
      <c r="C31" s="2366"/>
      <c r="D31" s="2338" t="s">
        <v>367</v>
      </c>
      <c r="E31" s="925"/>
      <c r="F31" s="2366"/>
      <c r="G31" s="1446"/>
      <c r="H31" s="2161"/>
      <c r="I31" s="1091" t="str">
        <f>B32</f>
        <v xml:space="preserve">  Staff Training</v>
      </c>
      <c r="J31" s="156"/>
      <c r="K31" s="156"/>
      <c r="L31" s="1151">
        <f ca="1">D32</f>
        <v>192.10807561388694</v>
      </c>
      <c r="M31" s="1422">
        <f ca="1">L31*L22</f>
        <v>2727.9346737171945</v>
      </c>
      <c r="N31" s="167"/>
      <c r="P31" s="36"/>
      <c r="Q31" s="36"/>
      <c r="R31" s="36"/>
      <c r="S31" s="36"/>
      <c r="T31" s="36"/>
      <c r="U31" s="36"/>
      <c r="V31" s="36"/>
      <c r="W31" s="36"/>
      <c r="X31" s="36"/>
      <c r="Y31" s="36"/>
      <c r="Z31" s="36"/>
      <c r="AA31" s="36"/>
      <c r="AB31" s="36"/>
      <c r="AC31" s="36"/>
      <c r="AD31" s="36"/>
      <c r="AE31" s="36"/>
      <c r="AF31" s="36"/>
      <c r="AG31" s="36"/>
      <c r="AH31" s="36"/>
      <c r="EK31" s="2"/>
    </row>
    <row r="32" spans="1:141" ht="15.75">
      <c r="A32" s="36"/>
      <c r="B32" s="1619" t="str">
        <f>Int_Fire_Safety!B30</f>
        <v xml:space="preserve">  Staff Training</v>
      </c>
      <c r="C32" s="2351"/>
      <c r="D32" s="1822">
        <f ca="1">'Med_Int_Spec  '!D33</f>
        <v>192.10807561388694</v>
      </c>
      <c r="E32" s="925"/>
      <c r="F32" s="2351">
        <v>277.77999999999997</v>
      </c>
      <c r="G32" s="1816" t="s">
        <v>1105</v>
      </c>
      <c r="H32" s="2161"/>
      <c r="I32" s="48" t="str">
        <f>B33</f>
        <v xml:space="preserve">  Transportation</v>
      </c>
      <c r="J32" s="156"/>
      <c r="K32" s="156"/>
      <c r="L32" s="1151">
        <f>D33</f>
        <v>2.0190812303224459</v>
      </c>
      <c r="M32" s="1025">
        <f>L32*M10</f>
        <v>3684.8232453384639</v>
      </c>
      <c r="N32" s="167"/>
      <c r="P32" s="36"/>
      <c r="Q32" s="36"/>
      <c r="R32" s="36"/>
      <c r="S32" s="36"/>
      <c r="T32" s="36"/>
      <c r="U32" s="36"/>
      <c r="V32" s="36"/>
      <c r="W32" s="36"/>
      <c r="X32" s="36"/>
      <c r="Y32" s="36"/>
      <c r="Z32" s="36"/>
      <c r="AA32" s="36"/>
      <c r="AB32" s="36"/>
      <c r="AC32" s="36"/>
      <c r="AD32" s="36"/>
      <c r="AE32" s="36"/>
      <c r="AF32" s="36"/>
      <c r="AG32" s="36"/>
      <c r="AH32" s="36"/>
      <c r="EK32" s="2"/>
    </row>
    <row r="33" spans="1:141">
      <c r="A33" s="36"/>
      <c r="B33" s="81" t="s">
        <v>435</v>
      </c>
      <c r="C33" s="925"/>
      <c r="D33" s="2354">
        <f>'Med_Int_Spec  '!D34</f>
        <v>2.0190812303224459</v>
      </c>
      <c r="E33" s="925"/>
      <c r="G33" s="1816" t="s">
        <v>1306</v>
      </c>
      <c r="H33" s="2161"/>
      <c r="I33" s="109" t="str">
        <f>B35</f>
        <v xml:space="preserve">  Meals / Food</v>
      </c>
      <c r="J33" s="156"/>
      <c r="K33" s="1824"/>
      <c r="L33" s="1151">
        <f>D35</f>
        <v>10.004761904761907</v>
      </c>
      <c r="M33" s="1046">
        <f>L33*M10</f>
        <v>18258.690476190481</v>
      </c>
      <c r="N33" s="167"/>
      <c r="P33" s="36"/>
      <c r="Q33" s="36"/>
      <c r="R33" s="36"/>
      <c r="S33" s="36"/>
      <c r="T33" s="36"/>
      <c r="U33" s="36"/>
      <c r="V33" s="36"/>
      <c r="W33" s="36"/>
      <c r="X33" s="36"/>
      <c r="Y33" s="36"/>
      <c r="Z33" s="36"/>
      <c r="AA33" s="36"/>
      <c r="AB33" s="36"/>
      <c r="AC33" s="36"/>
      <c r="AD33" s="36"/>
      <c r="AE33" s="36"/>
      <c r="AF33" s="36"/>
      <c r="AG33" s="36"/>
      <c r="AH33" s="36"/>
      <c r="EK33" s="2"/>
    </row>
    <row r="34" spans="1:141">
      <c r="A34" s="36"/>
      <c r="B34" s="81" t="s">
        <v>454</v>
      </c>
      <c r="C34" s="925"/>
      <c r="D34" s="1206">
        <f ca="1">'Med_Int_Spec  '!D35</f>
        <v>693.71474143152727</v>
      </c>
      <c r="E34" s="925"/>
      <c r="F34" s="925"/>
      <c r="G34" s="2365" t="str">
        <f>'Integrated Team (FY21)'!H44</f>
        <v>Program Supplies &amp; Materials (33E) per FTE.</v>
      </c>
      <c r="H34" s="2161"/>
      <c r="I34" s="81" t="str">
        <f>B34</f>
        <v xml:space="preserve">  Program Supplies &amp; Materials</v>
      </c>
      <c r="J34" s="72"/>
      <c r="K34" s="72"/>
      <c r="L34" s="1151">
        <f ca="1">D34</f>
        <v>693.71474143152727</v>
      </c>
      <c r="M34" s="123">
        <f ca="1">L34*L22</f>
        <v>9850.7493283276872</v>
      </c>
      <c r="N34" s="167"/>
      <c r="P34" s="36"/>
      <c r="Q34" s="36"/>
      <c r="R34" s="36"/>
      <c r="S34" s="36"/>
      <c r="T34" s="36"/>
      <c r="U34" s="36"/>
      <c r="V34" s="36"/>
      <c r="W34" s="36"/>
      <c r="X34" s="36"/>
      <c r="Y34" s="36"/>
      <c r="Z34" s="36"/>
      <c r="AA34" s="36"/>
      <c r="AB34" s="36"/>
      <c r="AC34" s="36"/>
      <c r="AD34" s="36"/>
      <c r="AE34" s="36"/>
      <c r="AF34" s="36"/>
      <c r="AG34" s="36"/>
      <c r="AH34" s="36"/>
      <c r="EK34" s="2"/>
    </row>
    <row r="35" spans="1:141" ht="15.75" thickBot="1">
      <c r="A35" s="36"/>
      <c r="B35" s="48" t="s">
        <v>1108</v>
      </c>
      <c r="C35" s="1313"/>
      <c r="D35" s="1822">
        <f>'Med_Int_Spec  '!D36</f>
        <v>10.004761904761907</v>
      </c>
      <c r="E35" s="1313"/>
      <c r="F35" s="1313"/>
      <c r="G35" s="1438" t="s">
        <v>1104</v>
      </c>
      <c r="H35" s="2161"/>
      <c r="I35" s="100"/>
      <c r="J35" s="72"/>
      <c r="K35" s="72"/>
      <c r="L35" s="185"/>
      <c r="M35" s="963">
        <f ca="1">SUM(M30:M34)</f>
        <v>34522.197723573823</v>
      </c>
      <c r="N35" s="167"/>
      <c r="P35" s="36"/>
      <c r="Q35" s="36"/>
      <c r="R35" s="36"/>
      <c r="S35" s="36"/>
      <c r="T35" s="36"/>
      <c r="U35" s="36"/>
      <c r="V35" s="36"/>
      <c r="W35" s="36"/>
      <c r="X35" s="36"/>
      <c r="Y35" s="36"/>
      <c r="Z35" s="36"/>
      <c r="AA35" s="36"/>
      <c r="AB35" s="36"/>
      <c r="AC35" s="36"/>
      <c r="AD35" s="36"/>
      <c r="AE35" s="36"/>
      <c r="AF35" s="36"/>
      <c r="AG35" s="36"/>
      <c r="AH35" s="36"/>
      <c r="EK35" s="2"/>
    </row>
    <row r="36" spans="1:141" ht="15.75" thickTop="1">
      <c r="A36" s="36"/>
      <c r="B36" s="81"/>
      <c r="C36" s="925"/>
      <c r="D36" s="925"/>
      <c r="E36" s="925"/>
      <c r="F36" s="925"/>
      <c r="G36" s="2365"/>
      <c r="H36" s="2161"/>
      <c r="I36" s="104"/>
      <c r="J36" s="72"/>
      <c r="K36" s="72"/>
      <c r="L36" s="66"/>
      <c r="M36" s="125"/>
      <c r="N36" s="167"/>
      <c r="P36" s="36"/>
      <c r="Q36" s="36"/>
      <c r="R36" s="36"/>
      <c r="S36" s="36"/>
      <c r="T36" s="36"/>
      <c r="U36" s="36"/>
      <c r="V36" s="36"/>
      <c r="W36" s="36"/>
      <c r="X36" s="36"/>
      <c r="Y36" s="36"/>
      <c r="Z36" s="36"/>
      <c r="AA36" s="36"/>
      <c r="AB36" s="36"/>
      <c r="AC36" s="36"/>
      <c r="AD36" s="36"/>
      <c r="AE36" s="36"/>
      <c r="AF36" s="36"/>
      <c r="AG36" s="36"/>
      <c r="AH36" s="36"/>
      <c r="EK36" s="2"/>
    </row>
    <row r="37" spans="1:141">
      <c r="A37" s="36"/>
      <c r="B37" s="81" t="s">
        <v>437</v>
      </c>
      <c r="C37" s="339"/>
      <c r="D37" s="983">
        <f>'Integrated Team (FY21)'!E46</f>
        <v>0.12</v>
      </c>
      <c r="E37" s="339"/>
      <c r="F37" s="45"/>
      <c r="G37" s="384" t="s">
        <v>1099</v>
      </c>
      <c r="H37" s="2161"/>
      <c r="I37" s="114" t="s">
        <v>23</v>
      </c>
      <c r="J37" s="3"/>
      <c r="K37" s="3"/>
      <c r="L37" s="3"/>
      <c r="M37" s="126">
        <f ca="1">SUM(M25,M29, M35)</f>
        <v>963388.46986059775</v>
      </c>
      <c r="N37" s="167"/>
      <c r="P37" s="36"/>
      <c r="Q37" s="36"/>
      <c r="R37" s="36"/>
      <c r="S37" s="36"/>
      <c r="T37" s="36"/>
      <c r="U37" s="36"/>
      <c r="V37" s="36"/>
      <c r="W37" s="36"/>
      <c r="X37" s="36"/>
      <c r="Y37" s="36"/>
      <c r="Z37" s="36"/>
      <c r="AA37" s="36"/>
      <c r="AB37" s="36"/>
      <c r="AC37" s="36"/>
      <c r="AD37" s="36"/>
      <c r="AE37" s="36"/>
      <c r="AF37" s="36"/>
      <c r="AG37" s="36"/>
      <c r="AH37" s="36"/>
      <c r="EK37" s="2"/>
    </row>
    <row r="38" spans="1:141">
      <c r="A38" s="36"/>
      <c r="B38" s="935"/>
      <c r="C38" s="339"/>
      <c r="D38" s="1442"/>
      <c r="E38" s="339"/>
      <c r="F38" s="45"/>
      <c r="G38" s="49"/>
      <c r="H38" s="2161"/>
      <c r="I38" s="104"/>
      <c r="J38" s="72"/>
      <c r="K38" s="72"/>
      <c r="L38" s="73"/>
      <c r="M38" s="127"/>
      <c r="N38" s="167"/>
      <c r="P38" s="36"/>
      <c r="Q38" s="36"/>
      <c r="R38" s="36"/>
      <c r="S38" s="36"/>
      <c r="T38" s="36"/>
      <c r="U38" s="36"/>
      <c r="V38" s="36"/>
      <c r="W38" s="36"/>
      <c r="X38" s="36"/>
      <c r="Y38" s="36"/>
      <c r="Z38" s="36"/>
      <c r="AA38" s="36"/>
      <c r="AB38" s="36"/>
      <c r="AC38" s="36"/>
      <c r="AD38" s="36"/>
      <c r="AE38" s="36"/>
      <c r="AF38" s="36"/>
      <c r="AG38" s="36"/>
      <c r="AH38" s="36"/>
      <c r="EK38" s="2"/>
    </row>
    <row r="39" spans="1:141">
      <c r="A39" s="36"/>
      <c r="B39" s="81"/>
      <c r="C39" s="339"/>
      <c r="D39" s="983"/>
      <c r="E39" s="339"/>
      <c r="F39" s="45"/>
      <c r="G39" s="302"/>
      <c r="H39" s="2161"/>
      <c r="I39" s="104" t="str">
        <f>B37</f>
        <v xml:space="preserve">  Admin. Allocation</v>
      </c>
      <c r="J39" s="72"/>
      <c r="K39" s="1033">
        <f>D37</f>
        <v>0.12</v>
      </c>
      <c r="L39" s="156"/>
      <c r="M39" s="117">
        <f ca="1">K39*M37</f>
        <v>115606.61638327173</v>
      </c>
      <c r="N39" s="167"/>
      <c r="P39" s="36"/>
      <c r="Q39" s="36"/>
      <c r="R39" s="36"/>
      <c r="S39" s="36"/>
      <c r="T39" s="36"/>
      <c r="U39" s="36"/>
      <c r="V39" s="36"/>
      <c r="W39" s="36"/>
      <c r="X39" s="36"/>
      <c r="Y39" s="36"/>
      <c r="Z39" s="36"/>
      <c r="AA39" s="36"/>
      <c r="AB39" s="36"/>
      <c r="AC39" s="36"/>
      <c r="AD39" s="36"/>
      <c r="AE39" s="36"/>
      <c r="AF39" s="36"/>
      <c r="AG39" s="36"/>
      <c r="AH39" s="36"/>
      <c r="EK39" s="2"/>
    </row>
    <row r="40" spans="1:141" ht="15.75" thickBot="1">
      <c r="A40" s="36"/>
      <c r="B40" s="81"/>
      <c r="C40" s="339"/>
      <c r="D40" s="983"/>
      <c r="E40" s="339"/>
      <c r="F40" s="45"/>
      <c r="G40" s="302"/>
      <c r="H40" s="2161"/>
      <c r="I40" s="129" t="s">
        <v>25</v>
      </c>
      <c r="J40" s="74"/>
      <c r="K40" s="1043"/>
      <c r="L40" s="1043"/>
      <c r="M40" s="130">
        <f ca="1">SUM(M37:M39)</f>
        <v>1078995.0862438695</v>
      </c>
      <c r="N40" s="167"/>
      <c r="P40" s="36"/>
      <c r="Q40" s="36"/>
      <c r="R40" s="36"/>
      <c r="S40" s="36"/>
      <c r="T40" s="36"/>
      <c r="U40" s="36"/>
      <c r="V40" s="36"/>
      <c r="W40" s="36"/>
      <c r="X40" s="36"/>
      <c r="Y40" s="36"/>
      <c r="Z40" s="36"/>
      <c r="AA40" s="36"/>
      <c r="AB40" s="36"/>
      <c r="AC40" s="36"/>
      <c r="AD40" s="36"/>
      <c r="AE40" s="36"/>
      <c r="AF40" s="36"/>
      <c r="AG40" s="36"/>
      <c r="AH40" s="36"/>
      <c r="EK40" s="2"/>
    </row>
    <row r="41" spans="1:141" ht="15.75" thickTop="1">
      <c r="A41" s="36"/>
      <c r="B41" s="81" t="s">
        <v>438</v>
      </c>
      <c r="C41" s="339"/>
      <c r="D41" s="983">
        <f>'Integrated Team '!E47</f>
        <v>2.5758086673353865E-2</v>
      </c>
      <c r="E41" s="339"/>
      <c r="F41" s="45"/>
      <c r="G41" s="302" t="s">
        <v>893</v>
      </c>
      <c r="H41" s="2161"/>
      <c r="I41" s="104"/>
      <c r="J41" s="72"/>
      <c r="K41" s="156"/>
      <c r="L41" s="156"/>
      <c r="M41" s="105"/>
      <c r="N41" s="167"/>
      <c r="P41" s="36"/>
      <c r="Q41" s="36"/>
      <c r="R41" s="36"/>
      <c r="S41" s="36"/>
      <c r="T41" s="36"/>
      <c r="U41" s="36"/>
      <c r="V41" s="36"/>
      <c r="W41" s="36"/>
      <c r="X41" s="36"/>
      <c r="Y41" s="36"/>
      <c r="Z41" s="36"/>
      <c r="AA41" s="36"/>
      <c r="AB41" s="36"/>
      <c r="AC41" s="36"/>
      <c r="AD41" s="36"/>
      <c r="AE41" s="36"/>
      <c r="AF41" s="36"/>
      <c r="AG41" s="36"/>
      <c r="AH41" s="36"/>
      <c r="EK41" s="2"/>
    </row>
    <row r="42" spans="1:141">
      <c r="A42" s="36"/>
      <c r="B42" s="889"/>
      <c r="C42" s="36"/>
      <c r="D42" s="1823"/>
      <c r="E42" s="36"/>
      <c r="F42" s="36"/>
      <c r="G42" s="260"/>
      <c r="H42" s="2161"/>
      <c r="I42" s="104" t="str">
        <f>B41</f>
        <v xml:space="preserve">  CAF</v>
      </c>
      <c r="J42" s="936"/>
      <c r="K42" s="1033">
        <f>D41</f>
        <v>2.5758086673353865E-2</v>
      </c>
      <c r="L42" s="156"/>
      <c r="M42" s="132">
        <f ca="1">M40+(M40*K42)-(M22*K42)</f>
        <v>1088094.7813650321</v>
      </c>
      <c r="N42" s="167"/>
      <c r="P42" s="36"/>
      <c r="Q42" s="36"/>
      <c r="R42" s="36"/>
      <c r="S42" s="36"/>
      <c r="T42" s="36"/>
      <c r="U42" s="36"/>
      <c r="V42" s="36"/>
      <c r="W42" s="36"/>
      <c r="X42" s="36"/>
      <c r="Y42" s="36"/>
      <c r="Z42" s="36"/>
      <c r="AA42" s="36"/>
      <c r="AB42" s="36"/>
      <c r="AC42" s="36"/>
      <c r="AD42" s="36"/>
      <c r="AE42" s="36"/>
      <c r="AF42" s="36"/>
      <c r="AG42" s="36"/>
      <c r="AH42" s="36"/>
      <c r="EK42" s="2"/>
    </row>
    <row r="43" spans="1:141">
      <c r="A43" s="36"/>
      <c r="B43" s="394" t="s">
        <v>35</v>
      </c>
      <c r="C43" s="390" t="s">
        <v>424</v>
      </c>
      <c r="D43" s="391" t="s">
        <v>425</v>
      </c>
      <c r="E43" s="391" t="s">
        <v>426</v>
      </c>
      <c r="F43" s="391"/>
      <c r="G43" s="401"/>
      <c r="H43" s="2161"/>
      <c r="I43" s="104"/>
      <c r="J43" s="72"/>
      <c r="K43" s="72"/>
      <c r="L43" s="72"/>
      <c r="M43" s="969"/>
      <c r="N43" s="167"/>
      <c r="P43" s="36"/>
      <c r="Q43" s="36"/>
      <c r="R43" s="36"/>
      <c r="S43" s="36"/>
      <c r="T43" s="36"/>
      <c r="U43" s="36"/>
      <c r="V43" s="36"/>
      <c r="W43" s="36"/>
      <c r="X43" s="36"/>
      <c r="Y43" s="36"/>
      <c r="Z43" s="36"/>
      <c r="AA43" s="36"/>
      <c r="AB43" s="36"/>
      <c r="AC43" s="36"/>
      <c r="AD43" s="36"/>
      <c r="AE43" s="36"/>
      <c r="AF43" s="36"/>
      <c r="AG43" s="36"/>
      <c r="AH43" s="36"/>
      <c r="EK43" s="2"/>
    </row>
    <row r="44" spans="1:141">
      <c r="A44" s="36"/>
      <c r="B44" s="44" t="str">
        <f t="shared" ref="B44:B53" si="1">B12</f>
        <v>Management</v>
      </c>
      <c r="C44" s="45"/>
      <c r="D44" s="36"/>
      <c r="E44" s="36"/>
      <c r="F44" s="36"/>
      <c r="G44" s="401"/>
      <c r="H44" s="2161"/>
      <c r="I44" s="104"/>
      <c r="J44" s="72"/>
      <c r="K44" s="72"/>
      <c r="L44" s="72"/>
      <c r="M44" s="136"/>
      <c r="N44" s="167"/>
      <c r="P44" s="36"/>
      <c r="Q44" s="36"/>
      <c r="R44" s="36"/>
      <c r="S44" s="36"/>
      <c r="T44" s="36"/>
      <c r="U44" s="36"/>
      <c r="V44" s="36"/>
      <c r="W44" s="36"/>
      <c r="X44" s="36"/>
      <c r="Y44" s="36"/>
      <c r="Z44" s="36"/>
      <c r="AA44" s="36"/>
      <c r="AB44" s="36"/>
      <c r="AC44" s="36"/>
      <c r="AD44" s="36"/>
      <c r="AE44" s="36"/>
      <c r="AF44" s="36"/>
      <c r="AG44" s="36"/>
      <c r="AH44" s="36"/>
      <c r="EK44" s="2"/>
    </row>
    <row r="45" spans="1:141" ht="15.75" thickBot="1">
      <c r="A45" s="36"/>
      <c r="B45" s="48" t="str">
        <f t="shared" si="1"/>
        <v xml:space="preserve">Program Functional Oversight </v>
      </c>
      <c r="C45" s="1022">
        <v>0.1</v>
      </c>
      <c r="D45" s="1022">
        <v>0.1</v>
      </c>
      <c r="E45" s="1022">
        <v>0.1</v>
      </c>
      <c r="F45" s="85"/>
      <c r="G45" s="401"/>
      <c r="H45" s="2161"/>
      <c r="I45" s="550" t="s">
        <v>28</v>
      </c>
      <c r="J45" s="548"/>
      <c r="K45" s="548"/>
      <c r="L45" s="549"/>
      <c r="M45" s="1973">
        <f ca="1">M42/M10</f>
        <v>596.21631855618193</v>
      </c>
      <c r="N45" s="167"/>
      <c r="P45" s="36"/>
      <c r="Q45" s="36"/>
      <c r="R45" s="36"/>
      <c r="S45" s="36"/>
      <c r="T45" s="36"/>
      <c r="U45" s="36"/>
      <c r="V45" s="36"/>
      <c r="W45" s="36"/>
      <c r="X45" s="36"/>
      <c r="Y45" s="36"/>
      <c r="Z45" s="36"/>
      <c r="AA45" s="36"/>
      <c r="AB45" s="36"/>
      <c r="AC45" s="36"/>
      <c r="AD45" s="36"/>
      <c r="AE45" s="36"/>
      <c r="AF45" s="36"/>
      <c r="AG45" s="36"/>
      <c r="AH45" s="36"/>
      <c r="EK45" s="2"/>
    </row>
    <row r="46" spans="1:141" ht="15.75" thickBot="1">
      <c r="A46" s="36"/>
      <c r="B46" s="48" t="str">
        <f t="shared" si="1"/>
        <v xml:space="preserve">  Specialty Site Manager</v>
      </c>
      <c r="C46" s="1022">
        <v>1</v>
      </c>
      <c r="D46" s="1022">
        <v>2</v>
      </c>
      <c r="E46" s="1022">
        <v>2</v>
      </c>
      <c r="F46" s="85"/>
      <c r="G46" s="401"/>
      <c r="H46" s="2161"/>
      <c r="I46" s="550"/>
      <c r="J46" s="873"/>
      <c r="K46" s="548"/>
      <c r="L46" s="549"/>
      <c r="M46" s="2081"/>
      <c r="N46" s="167"/>
      <c r="P46" s="36"/>
      <c r="Q46" s="36"/>
      <c r="R46" s="36"/>
      <c r="S46" s="36"/>
      <c r="T46" s="36"/>
      <c r="U46" s="36"/>
      <c r="V46" s="36"/>
      <c r="W46" s="36"/>
      <c r="X46" s="36"/>
      <c r="Y46" s="36"/>
      <c r="Z46" s="36"/>
      <c r="AA46" s="36"/>
      <c r="AB46" s="36"/>
      <c r="AC46" s="36"/>
      <c r="AD46" s="36"/>
      <c r="AE46" s="36"/>
      <c r="AF46" s="36"/>
      <c r="AG46" s="36"/>
      <c r="AH46" s="36"/>
      <c r="EK46" s="2"/>
    </row>
    <row r="47" spans="1:141">
      <c r="A47" s="36"/>
      <c r="B47" s="44" t="str">
        <f t="shared" si="1"/>
        <v>Medical and Clinical</v>
      </c>
      <c r="C47" s="1022"/>
      <c r="D47" s="1022"/>
      <c r="E47" s="1022"/>
      <c r="F47" s="85"/>
      <c r="G47" s="401"/>
      <c r="H47" s="2161"/>
      <c r="I47" s="50"/>
      <c r="J47" s="50"/>
      <c r="K47" s="50"/>
      <c r="L47" s="979" t="s">
        <v>783</v>
      </c>
      <c r="M47" s="979">
        <v>504.21</v>
      </c>
      <c r="N47" s="36"/>
      <c r="P47" s="36"/>
      <c r="Q47" s="36"/>
      <c r="R47" s="36"/>
      <c r="S47" s="36"/>
      <c r="T47" s="36"/>
      <c r="U47" s="36"/>
      <c r="V47" s="36"/>
      <c r="W47" s="36"/>
      <c r="X47" s="36"/>
      <c r="Y47" s="36"/>
      <c r="Z47" s="36"/>
      <c r="AA47" s="36"/>
      <c r="AB47" s="36"/>
      <c r="AC47" s="36"/>
      <c r="AD47" s="36"/>
      <c r="AE47" s="36"/>
      <c r="AF47" s="36"/>
      <c r="AG47" s="36"/>
      <c r="AH47" s="36"/>
      <c r="EK47" s="2"/>
    </row>
    <row r="48" spans="1:141">
      <c r="A48" s="36"/>
      <c r="B48" s="374" t="str">
        <f t="shared" si="1"/>
        <v xml:space="preserve">   LPHA</v>
      </c>
      <c r="C48" s="1130">
        <v>1</v>
      </c>
      <c r="D48" s="1130">
        <v>1</v>
      </c>
      <c r="E48" s="1130">
        <v>1.5</v>
      </c>
      <c r="F48" s="381"/>
      <c r="G48" s="302"/>
      <c r="H48" s="2161"/>
      <c r="I48" s="36"/>
      <c r="J48" s="36"/>
      <c r="K48" s="36"/>
      <c r="L48" s="36"/>
      <c r="M48" s="965">
        <f ca="1">M45-M47</f>
        <v>92.006318556181952</v>
      </c>
      <c r="P48" s="36"/>
      <c r="Q48" s="36"/>
      <c r="R48" s="36"/>
      <c r="S48" s="36"/>
      <c r="T48" s="36"/>
      <c r="U48" s="36"/>
      <c r="V48" s="36"/>
      <c r="W48" s="36"/>
      <c r="X48" s="36"/>
      <c r="Y48" s="36"/>
      <c r="Z48" s="36"/>
      <c r="AA48" s="36"/>
      <c r="AB48" s="36"/>
      <c r="AC48" s="36"/>
      <c r="AD48" s="36"/>
      <c r="AE48" s="36"/>
      <c r="AF48" s="36"/>
      <c r="AG48" s="36"/>
      <c r="AH48" s="36"/>
      <c r="EK48" s="2"/>
    </row>
    <row r="49" spans="1:141">
      <c r="A49" s="36"/>
      <c r="B49" s="78" t="str">
        <f t="shared" si="1"/>
        <v xml:space="preserve">  Certified Nursing Assistant (CNA)</v>
      </c>
      <c r="C49" s="1022">
        <v>1.4</v>
      </c>
      <c r="D49" s="1022">
        <v>1.4</v>
      </c>
      <c r="E49" s="1022">
        <v>2.4</v>
      </c>
      <c r="F49" s="85"/>
      <c r="G49" s="302"/>
      <c r="H49" s="2161"/>
      <c r="I49" s="36"/>
      <c r="J49" s="36"/>
      <c r="K49" s="36"/>
      <c r="L49" s="36"/>
      <c r="M49" s="966">
        <f ca="1">M48/M47</f>
        <v>0.18247618761266526</v>
      </c>
      <c r="N49" s="36"/>
      <c r="P49" s="36"/>
      <c r="Q49" s="36"/>
      <c r="R49" s="36"/>
      <c r="S49" s="36"/>
      <c r="T49" s="36"/>
      <c r="U49" s="36"/>
      <c r="V49" s="36"/>
      <c r="W49" s="36"/>
      <c r="X49" s="36"/>
      <c r="Y49" s="36"/>
      <c r="Z49" s="36"/>
      <c r="AA49" s="36"/>
      <c r="AB49" s="36"/>
      <c r="AC49" s="36"/>
      <c r="AD49" s="36"/>
      <c r="AE49" s="36"/>
      <c r="AF49" s="36"/>
      <c r="AG49" s="36"/>
      <c r="AH49" s="36"/>
      <c r="EK49" s="2"/>
    </row>
    <row r="50" spans="1:141">
      <c r="A50" s="36"/>
      <c r="B50" s="44" t="str">
        <f t="shared" si="1"/>
        <v>Direct Care</v>
      </c>
      <c r="C50" s="1022"/>
      <c r="D50" s="1022"/>
      <c r="E50" s="1022"/>
      <c r="F50" s="85"/>
      <c r="G50" s="401"/>
      <c r="H50" s="2161"/>
      <c r="I50" s="36"/>
      <c r="J50" s="36"/>
      <c r="K50" s="36"/>
      <c r="L50" s="36"/>
      <c r="M50" s="36"/>
      <c r="N50" s="36"/>
      <c r="P50" s="36"/>
      <c r="Q50" s="36"/>
      <c r="R50" s="36"/>
      <c r="S50" s="36"/>
      <c r="T50" s="36"/>
      <c r="U50" s="36"/>
      <c r="V50" s="36"/>
      <c r="W50" s="36"/>
      <c r="X50" s="36"/>
      <c r="Y50" s="36"/>
      <c r="Z50" s="36"/>
      <c r="AA50" s="36"/>
      <c r="AB50" s="36"/>
      <c r="AC50" s="36"/>
      <c r="AD50" s="36"/>
      <c r="AE50" s="36"/>
      <c r="AF50" s="36"/>
      <c r="AG50" s="36"/>
      <c r="AH50" s="36"/>
      <c r="EK50" s="2"/>
    </row>
    <row r="51" spans="1:141">
      <c r="A51" s="36"/>
      <c r="B51" s="48" t="str">
        <f t="shared" si="1"/>
        <v xml:space="preserve">    Direct Care III</v>
      </c>
      <c r="C51" s="1022">
        <v>6</v>
      </c>
      <c r="D51" s="1022">
        <v>8</v>
      </c>
      <c r="E51" s="1022">
        <v>11</v>
      </c>
      <c r="F51" s="85"/>
      <c r="G51" s="401"/>
      <c r="H51" s="2161"/>
      <c r="I51" s="36"/>
      <c r="J51" s="36"/>
      <c r="K51" s="36"/>
      <c r="L51" s="36"/>
      <c r="M51" s="36"/>
      <c r="N51" s="36"/>
      <c r="P51" s="36"/>
      <c r="Q51" s="36"/>
      <c r="R51" s="36"/>
      <c r="S51" s="36"/>
      <c r="T51" s="36"/>
      <c r="U51" s="36"/>
      <c r="V51" s="36"/>
      <c r="W51" s="36"/>
      <c r="X51" s="36"/>
      <c r="Y51" s="36"/>
      <c r="Z51" s="36"/>
      <c r="AA51" s="36"/>
      <c r="AB51" s="36"/>
      <c r="AC51" s="36"/>
      <c r="AD51" s="36"/>
      <c r="AE51" s="36"/>
      <c r="AF51" s="36"/>
      <c r="AG51" s="36"/>
      <c r="AH51" s="36"/>
      <c r="EK51" s="2"/>
    </row>
    <row r="52" spans="1:141">
      <c r="A52" s="36"/>
      <c r="B52" s="48" t="s">
        <v>1334</v>
      </c>
      <c r="C52" s="1022">
        <v>3.8</v>
      </c>
      <c r="D52" s="1022">
        <v>6.2</v>
      </c>
      <c r="E52" s="1022">
        <v>6.4</v>
      </c>
      <c r="F52" s="85"/>
      <c r="G52" s="401"/>
      <c r="H52" s="2161"/>
      <c r="I52" s="36"/>
      <c r="J52" s="36"/>
      <c r="K52" s="36"/>
      <c r="L52" s="36"/>
      <c r="M52" s="36"/>
      <c r="N52" s="36"/>
      <c r="P52" s="36"/>
      <c r="Q52" s="36"/>
      <c r="R52" s="36"/>
      <c r="S52" s="36"/>
      <c r="T52" s="36"/>
      <c r="U52" s="36"/>
      <c r="V52" s="36"/>
      <c r="W52" s="36"/>
      <c r="X52" s="36"/>
      <c r="Y52" s="36"/>
      <c r="Z52" s="36"/>
      <c r="AA52" s="36"/>
      <c r="AB52" s="36"/>
      <c r="AC52" s="36"/>
      <c r="AD52" s="36"/>
      <c r="AE52" s="36"/>
      <c r="AF52" s="36"/>
      <c r="AG52" s="36"/>
      <c r="AH52" s="36"/>
      <c r="EK52" s="2"/>
    </row>
    <row r="53" spans="1:141">
      <c r="A53" s="36"/>
      <c r="B53" s="80" t="str">
        <f t="shared" si="1"/>
        <v xml:space="preserve">    Relief</v>
      </c>
      <c r="C53" s="1022">
        <f>C51*D9</f>
        <v>0.89999999999999991</v>
      </c>
      <c r="D53" s="1022">
        <f>D51*D9</f>
        <v>1.2</v>
      </c>
      <c r="E53" s="1022">
        <f>E51*D9</f>
        <v>1.65</v>
      </c>
      <c r="F53" s="85"/>
      <c r="G53" s="401"/>
      <c r="H53" s="2161"/>
      <c r="I53" s="36"/>
      <c r="J53" s="36"/>
      <c r="K53" s="36"/>
      <c r="L53" s="36"/>
      <c r="M53" s="36"/>
      <c r="N53" s="36"/>
      <c r="P53" s="36"/>
      <c r="Q53" s="36"/>
      <c r="R53" s="36"/>
      <c r="S53" s="36"/>
      <c r="T53" s="36"/>
      <c r="U53" s="36"/>
      <c r="V53" s="36"/>
      <c r="W53" s="36"/>
      <c r="X53" s="36"/>
      <c r="Y53" s="36"/>
      <c r="Z53" s="36"/>
      <c r="AA53" s="36"/>
      <c r="AB53" s="36"/>
      <c r="AC53" s="36"/>
      <c r="AD53" s="36"/>
      <c r="AE53" s="36"/>
      <c r="AF53" s="36"/>
      <c r="AG53" s="36"/>
      <c r="AH53" s="36"/>
    </row>
    <row r="54" spans="1:141">
      <c r="A54" s="36"/>
      <c r="B54" s="400"/>
      <c r="C54" s="2079"/>
      <c r="D54" s="2079"/>
      <c r="E54" s="2079"/>
      <c r="F54" s="36"/>
      <c r="G54" s="401"/>
      <c r="H54" s="2161"/>
      <c r="I54" s="36"/>
      <c r="J54" s="36"/>
      <c r="K54" s="36"/>
      <c r="L54" s="36"/>
      <c r="M54" s="36"/>
      <c r="N54" s="36"/>
      <c r="P54" s="36"/>
      <c r="Q54" s="36"/>
      <c r="R54" s="36"/>
      <c r="S54" s="36"/>
      <c r="T54" s="36"/>
      <c r="U54" s="36"/>
      <c r="V54" s="36"/>
      <c r="W54" s="36"/>
      <c r="X54" s="36"/>
      <c r="Y54" s="36"/>
      <c r="Z54" s="36"/>
      <c r="AA54" s="36"/>
      <c r="AB54" s="36"/>
      <c r="AC54" s="36"/>
      <c r="AD54" s="36"/>
      <c r="AE54" s="36"/>
      <c r="AF54" s="36"/>
      <c r="AG54" s="36"/>
      <c r="AH54" s="36"/>
    </row>
    <row r="55" spans="1:141" ht="15.75" thickBot="1">
      <c r="A55" s="36"/>
      <c r="B55" s="342" t="str">
        <f>B28</f>
        <v xml:space="preserve">  Psychologist</v>
      </c>
      <c r="C55" s="1323">
        <v>0.625</v>
      </c>
      <c r="D55" s="1323">
        <v>1</v>
      </c>
      <c r="E55" s="2080">
        <v>1.625</v>
      </c>
      <c r="F55" s="402"/>
      <c r="G55" s="403"/>
      <c r="H55" s="2161"/>
      <c r="I55" s="36"/>
      <c r="J55" s="36"/>
      <c r="K55" s="36"/>
      <c r="L55" s="36"/>
      <c r="M55" s="36"/>
      <c r="N55" s="36"/>
      <c r="P55" s="36"/>
      <c r="Q55" s="36"/>
      <c r="R55" s="36"/>
      <c r="S55" s="36"/>
      <c r="T55" s="36"/>
      <c r="U55" s="36"/>
      <c r="V55" s="36"/>
      <c r="W55" s="36"/>
      <c r="X55" s="36"/>
      <c r="Y55" s="36"/>
      <c r="Z55" s="36"/>
      <c r="AA55" s="36"/>
      <c r="AB55" s="36"/>
      <c r="AC55" s="36"/>
      <c r="AD55" s="36"/>
      <c r="AE55" s="36"/>
      <c r="AF55" s="36"/>
      <c r="AG55" s="36"/>
      <c r="AH55" s="36"/>
    </row>
    <row r="56" spans="1:141">
      <c r="A56" s="36"/>
      <c r="B56" s="2616"/>
      <c r="C56" s="2617"/>
      <c r="D56" s="2617"/>
      <c r="E56" s="2617"/>
      <c r="F56" s="2617"/>
      <c r="G56" s="2618"/>
      <c r="H56" s="2161"/>
      <c r="I56" s="36"/>
      <c r="J56" s="36"/>
      <c r="K56" s="36"/>
      <c r="L56" s="36"/>
      <c r="M56" s="36"/>
      <c r="N56" s="36"/>
      <c r="P56" s="36"/>
      <c r="Q56" s="36"/>
      <c r="R56" s="36"/>
      <c r="S56" s="36"/>
      <c r="T56" s="36"/>
      <c r="U56" s="36"/>
      <c r="V56" s="36"/>
      <c r="W56" s="36"/>
      <c r="X56" s="36"/>
      <c r="Y56" s="36"/>
      <c r="Z56" s="36"/>
      <c r="AA56" s="36"/>
      <c r="AB56" s="36"/>
      <c r="AC56" s="36"/>
      <c r="AD56" s="36"/>
      <c r="AE56" s="36"/>
      <c r="AF56" s="36"/>
      <c r="AG56" s="36"/>
      <c r="EK56" s="2"/>
    </row>
    <row r="57" spans="1:141" ht="15.75" thickBot="1">
      <c r="A57" s="36"/>
      <c r="B57" s="2619"/>
      <c r="C57" s="2620"/>
      <c r="D57" s="2620"/>
      <c r="E57" s="2620"/>
      <c r="F57" s="2620"/>
      <c r="G57" s="2621"/>
      <c r="H57" s="2161"/>
      <c r="I57" s="36"/>
      <c r="J57" s="36"/>
      <c r="K57" s="36"/>
      <c r="L57" s="36"/>
      <c r="M57" s="36"/>
      <c r="N57" s="36"/>
      <c r="P57" s="36"/>
      <c r="Q57" s="36"/>
      <c r="R57" s="36"/>
      <c r="S57" s="36"/>
      <c r="T57" s="36"/>
      <c r="U57" s="36"/>
      <c r="V57" s="36"/>
      <c r="W57" s="36"/>
      <c r="X57" s="36"/>
      <c r="Y57" s="36"/>
      <c r="Z57" s="36"/>
      <c r="AA57" s="36"/>
      <c r="AB57" s="36"/>
      <c r="AC57" s="36"/>
      <c r="AD57" s="36"/>
      <c r="AE57" s="36"/>
      <c r="AF57" s="36"/>
      <c r="AG57" s="36"/>
      <c r="EK57" s="2"/>
    </row>
    <row r="58" spans="1:141" ht="15.75" thickBot="1">
      <c r="A58" s="36"/>
      <c r="B58" s="2613" t="s">
        <v>580</v>
      </c>
      <c r="C58" s="2614"/>
      <c r="D58" s="2614"/>
      <c r="E58" s="2614"/>
      <c r="F58" s="2614"/>
      <c r="G58" s="2615"/>
      <c r="H58" s="2161"/>
      <c r="I58" s="2613" t="s">
        <v>581</v>
      </c>
      <c r="J58" s="2614"/>
      <c r="K58" s="2614"/>
      <c r="L58" s="2614"/>
      <c r="M58" s="2615"/>
      <c r="N58" s="36"/>
      <c r="P58" s="36"/>
      <c r="Q58" s="36"/>
      <c r="R58" s="36"/>
      <c r="S58" s="36"/>
      <c r="T58" s="36"/>
      <c r="U58" s="36"/>
      <c r="V58" s="36"/>
      <c r="W58" s="36"/>
      <c r="X58" s="36"/>
      <c r="Y58" s="36"/>
      <c r="Z58" s="36"/>
      <c r="AA58" s="36"/>
      <c r="AB58" s="36"/>
      <c r="AC58" s="36"/>
      <c r="AD58" s="36"/>
      <c r="AE58" s="36"/>
      <c r="AF58" s="36"/>
      <c r="AG58" s="36"/>
      <c r="EK58" s="2"/>
    </row>
    <row r="59" spans="1:141">
      <c r="A59" s="36"/>
      <c r="B59" s="146" t="s">
        <v>277</v>
      </c>
      <c r="C59" s="147">
        <v>8</v>
      </c>
      <c r="D59" s="148"/>
      <c r="E59" s="149" t="s">
        <v>133</v>
      </c>
      <c r="F59" s="149"/>
      <c r="G59" s="150">
        <f>C59*365</f>
        <v>2920</v>
      </c>
      <c r="H59" s="2163"/>
      <c r="I59" s="146" t="s">
        <v>277</v>
      </c>
      <c r="J59" s="147">
        <v>11</v>
      </c>
      <c r="K59" s="148"/>
      <c r="L59" s="149" t="s">
        <v>133</v>
      </c>
      <c r="M59" s="150">
        <f>J59*365</f>
        <v>4015</v>
      </c>
      <c r="N59" s="36"/>
      <c r="P59" s="36"/>
      <c r="Q59" s="36"/>
      <c r="R59" s="36"/>
      <c r="S59" s="36"/>
      <c r="T59" s="36"/>
      <c r="U59" s="36"/>
      <c r="V59" s="36"/>
      <c r="W59" s="36"/>
      <c r="X59" s="36"/>
      <c r="Y59" s="36"/>
      <c r="Z59" s="36"/>
      <c r="AA59" s="36"/>
      <c r="AB59" s="36"/>
      <c r="AC59" s="36"/>
      <c r="AD59" s="36"/>
      <c r="AE59" s="36"/>
      <c r="AF59" s="36"/>
      <c r="AG59" s="36"/>
      <c r="EK59" s="2"/>
    </row>
    <row r="60" spans="1:141">
      <c r="A60" s="36"/>
      <c r="B60" s="104"/>
      <c r="C60" s="72"/>
      <c r="D60" s="72"/>
      <c r="E60" s="72"/>
      <c r="F60" s="72"/>
      <c r="G60" s="105"/>
      <c r="H60" s="2164"/>
      <c r="I60" s="104"/>
      <c r="J60" s="72"/>
      <c r="K60" s="72"/>
      <c r="L60" s="72"/>
      <c r="M60" s="105"/>
      <c r="N60" s="36"/>
      <c r="P60" s="36"/>
      <c r="Q60" s="36"/>
      <c r="R60" s="36"/>
      <c r="S60" s="36"/>
      <c r="T60" s="36"/>
      <c r="U60" s="36"/>
      <c r="V60" s="36"/>
      <c r="W60" s="36"/>
      <c r="X60" s="36"/>
      <c r="Y60" s="36"/>
      <c r="Z60" s="36"/>
      <c r="AA60" s="36"/>
      <c r="AB60" s="36"/>
      <c r="AC60" s="36"/>
      <c r="AD60" s="36"/>
      <c r="AE60" s="36"/>
      <c r="AF60" s="36"/>
      <c r="AG60" s="36"/>
      <c r="EK60" s="2"/>
    </row>
    <row r="61" spans="1:141">
      <c r="A61" s="36"/>
      <c r="B61" s="106"/>
      <c r="C61" s="53"/>
      <c r="D61" s="54" t="s">
        <v>5</v>
      </c>
      <c r="E61" s="54" t="s">
        <v>6</v>
      </c>
      <c r="F61" s="54"/>
      <c r="G61" s="107" t="s">
        <v>7</v>
      </c>
      <c r="H61" s="274"/>
      <c r="I61" s="106"/>
      <c r="J61" s="53"/>
      <c r="K61" s="54" t="s">
        <v>5</v>
      </c>
      <c r="L61" s="54" t="s">
        <v>6</v>
      </c>
      <c r="M61" s="107" t="s">
        <v>7</v>
      </c>
      <c r="N61" s="36"/>
      <c r="P61" s="36"/>
      <c r="Q61" s="36"/>
      <c r="R61" s="36"/>
      <c r="S61" s="36"/>
      <c r="T61" s="36"/>
      <c r="U61" s="36"/>
      <c r="V61" s="36"/>
      <c r="W61" s="36"/>
      <c r="X61" s="36"/>
      <c r="Y61" s="36"/>
      <c r="Z61" s="36"/>
      <c r="AA61" s="36"/>
      <c r="AB61" s="36"/>
      <c r="AC61" s="36"/>
      <c r="AD61" s="36"/>
      <c r="AE61" s="36"/>
      <c r="AF61" s="36"/>
      <c r="AG61" s="36"/>
      <c r="EK61" s="2"/>
    </row>
    <row r="62" spans="1:141">
      <c r="A62" s="36"/>
      <c r="B62" s="100" t="str">
        <f t="shared" ref="B62:B71" si="2">B12</f>
        <v>Management</v>
      </c>
      <c r="C62" s="55"/>
      <c r="D62" s="56"/>
      <c r="E62" s="101"/>
      <c r="F62" s="56"/>
      <c r="G62" s="108"/>
      <c r="H62" s="274"/>
      <c r="I62" s="100" t="str">
        <f t="shared" ref="I62:I69" si="3">B12</f>
        <v>Management</v>
      </c>
      <c r="J62" s="55"/>
      <c r="K62" s="56"/>
      <c r="L62" s="56"/>
      <c r="M62" s="108"/>
      <c r="N62" s="36"/>
      <c r="P62" s="36"/>
      <c r="Q62" s="36"/>
      <c r="R62" s="36"/>
      <c r="S62" s="36"/>
      <c r="T62" s="36"/>
      <c r="U62" s="36"/>
      <c r="V62" s="36"/>
      <c r="W62" s="36"/>
      <c r="X62" s="36"/>
      <c r="Y62" s="36"/>
      <c r="Z62" s="36"/>
      <c r="AA62" s="36"/>
      <c r="AB62" s="36"/>
      <c r="AC62" s="36"/>
      <c r="AD62" s="36"/>
      <c r="AE62" s="36"/>
      <c r="AF62" s="36"/>
      <c r="AG62" s="36"/>
      <c r="EK62" s="2"/>
    </row>
    <row r="63" spans="1:141">
      <c r="A63" s="36"/>
      <c r="B63" s="104" t="str">
        <f t="shared" si="2"/>
        <v xml:space="preserve">Program Functional Oversight </v>
      </c>
      <c r="C63" s="57"/>
      <c r="D63" s="1003">
        <f>D13</f>
        <v>79415.232000000018</v>
      </c>
      <c r="E63" s="1004">
        <f>D45</f>
        <v>0.1</v>
      </c>
      <c r="F63" s="59"/>
      <c r="G63" s="573">
        <f>D63*E63</f>
        <v>7941.5232000000024</v>
      </c>
      <c r="H63" s="274"/>
      <c r="I63" s="104" t="str">
        <f t="shared" si="3"/>
        <v xml:space="preserve">Program Functional Oversight </v>
      </c>
      <c r="J63" s="57"/>
      <c r="K63" s="1131">
        <f>D13</f>
        <v>79415.232000000018</v>
      </c>
      <c r="L63" s="1004">
        <f>E45</f>
        <v>0.1</v>
      </c>
      <c r="M63" s="1827">
        <f>K63*L63</f>
        <v>7941.5232000000024</v>
      </c>
      <c r="N63" s="36"/>
      <c r="P63" s="36"/>
      <c r="Q63" s="36"/>
      <c r="R63" s="36"/>
      <c r="S63" s="36"/>
      <c r="T63" s="36"/>
      <c r="U63" s="36"/>
      <c r="V63" s="36"/>
      <c r="W63" s="36"/>
      <c r="X63" s="36"/>
      <c r="Y63" s="36"/>
      <c r="Z63" s="36"/>
      <c r="AA63" s="36"/>
      <c r="AB63" s="36"/>
      <c r="AC63" s="36"/>
      <c r="AD63" s="36"/>
      <c r="AE63" s="36"/>
      <c r="AF63" s="36"/>
      <c r="AG63" s="36"/>
      <c r="EK63" s="2"/>
    </row>
    <row r="64" spans="1:141">
      <c r="A64" s="36"/>
      <c r="B64" s="104" t="str">
        <f t="shared" si="2"/>
        <v xml:space="preserve">  Specialty Site Manager</v>
      </c>
      <c r="C64" s="57"/>
      <c r="D64" s="1003">
        <f>D14</f>
        <v>80606.448000000004</v>
      </c>
      <c r="E64" s="1004">
        <f>D46</f>
        <v>2</v>
      </c>
      <c r="F64" s="59"/>
      <c r="G64" s="573">
        <f>D64*E64</f>
        <v>161212.89600000001</v>
      </c>
      <c r="H64" s="2165"/>
      <c r="I64" s="104" t="str">
        <f t="shared" si="3"/>
        <v xml:space="preserve">  Specialty Site Manager</v>
      </c>
      <c r="J64" s="57"/>
      <c r="K64" s="1131">
        <f>D14</f>
        <v>80606.448000000004</v>
      </c>
      <c r="L64" s="1004">
        <f>E46</f>
        <v>2</v>
      </c>
      <c r="M64" s="1827">
        <f>K64*L64</f>
        <v>161212.89600000001</v>
      </c>
      <c r="N64" s="36"/>
      <c r="P64" s="36"/>
      <c r="Q64" s="36"/>
      <c r="R64" s="36"/>
      <c r="S64" s="36"/>
      <c r="T64" s="36"/>
      <c r="U64" s="36"/>
      <c r="V64" s="36"/>
      <c r="W64" s="36"/>
      <c r="X64" s="36"/>
      <c r="Y64" s="36"/>
      <c r="Z64" s="36"/>
      <c r="AA64" s="36"/>
      <c r="AB64" s="36"/>
      <c r="AC64" s="36"/>
      <c r="AD64" s="36"/>
      <c r="AE64" s="36"/>
      <c r="AF64" s="36"/>
      <c r="AG64" s="36"/>
      <c r="EK64" s="2"/>
    </row>
    <row r="65" spans="1:141">
      <c r="A65" s="36"/>
      <c r="B65" s="100" t="str">
        <f t="shared" si="2"/>
        <v>Medical and Clinical</v>
      </c>
      <c r="C65" s="57"/>
      <c r="D65" s="1003"/>
      <c r="E65" s="1004"/>
      <c r="F65" s="59"/>
      <c r="G65" s="573"/>
      <c r="H65" s="274"/>
      <c r="I65" s="100" t="str">
        <f t="shared" si="3"/>
        <v>Medical and Clinical</v>
      </c>
      <c r="J65" s="57"/>
      <c r="K65" s="1131"/>
      <c r="L65" s="1004"/>
      <c r="M65" s="1827"/>
      <c r="N65" s="36"/>
      <c r="P65" s="36"/>
      <c r="Q65" s="36"/>
      <c r="R65" s="36"/>
      <c r="S65" s="36"/>
      <c r="T65" s="36"/>
      <c r="U65" s="36"/>
      <c r="V65" s="36"/>
      <c r="W65" s="36"/>
      <c r="X65" s="36"/>
      <c r="Y65" s="36"/>
      <c r="Z65" s="36"/>
      <c r="AA65" s="36"/>
      <c r="AB65" s="36"/>
      <c r="AC65" s="36"/>
      <c r="AD65" s="36"/>
      <c r="AE65" s="36"/>
      <c r="AF65" s="36"/>
      <c r="AG65" s="36"/>
      <c r="EK65" s="2"/>
    </row>
    <row r="66" spans="1:141">
      <c r="A66" s="36"/>
      <c r="B66" s="104" t="str">
        <f t="shared" si="2"/>
        <v xml:space="preserve">   LPHA</v>
      </c>
      <c r="C66" s="377"/>
      <c r="D66" s="1003">
        <f>D16</f>
        <v>80606.448000000004</v>
      </c>
      <c r="E66" s="1132">
        <f>D48</f>
        <v>1</v>
      </c>
      <c r="F66" s="382"/>
      <c r="G66" s="1829">
        <f>D66*E66</f>
        <v>80606.448000000004</v>
      </c>
      <c r="H66" s="274"/>
      <c r="I66" s="104" t="str">
        <f t="shared" si="3"/>
        <v xml:space="preserve">   LPHA</v>
      </c>
      <c r="J66" s="377"/>
      <c r="K66" s="1131">
        <f>D16</f>
        <v>80606.448000000004</v>
      </c>
      <c r="L66" s="1004">
        <f>E48</f>
        <v>1.5</v>
      </c>
      <c r="M66" s="1828">
        <f>K66*L66</f>
        <v>120909.67200000001</v>
      </c>
      <c r="N66" s="36"/>
      <c r="P66" s="36"/>
      <c r="Q66" s="36"/>
      <c r="R66" s="36"/>
      <c r="S66" s="36"/>
      <c r="T66" s="36"/>
      <c r="U66" s="36"/>
      <c r="V66" s="36"/>
      <c r="W66" s="36"/>
      <c r="X66" s="36"/>
      <c r="Y66" s="36"/>
      <c r="Z66" s="36"/>
      <c r="AA66" s="36"/>
      <c r="AB66" s="36"/>
      <c r="AC66" s="36"/>
      <c r="AD66" s="36"/>
      <c r="AE66" s="36"/>
      <c r="AF66" s="36"/>
      <c r="AG66" s="36"/>
      <c r="EK66" s="2"/>
    </row>
    <row r="67" spans="1:141">
      <c r="A67" s="36"/>
      <c r="B67" s="104" t="str">
        <f t="shared" si="2"/>
        <v xml:space="preserve">  Certified Nursing Assistant (CNA)</v>
      </c>
      <c r="C67" s="57"/>
      <c r="D67" s="1003">
        <f>D17</f>
        <v>41600</v>
      </c>
      <c r="E67" s="1004">
        <f>D49</f>
        <v>1.4</v>
      </c>
      <c r="F67" s="59"/>
      <c r="G67" s="573">
        <f>D67*E67</f>
        <v>58239.999999999993</v>
      </c>
      <c r="H67" s="274"/>
      <c r="I67" s="104" t="str">
        <f t="shared" si="3"/>
        <v xml:space="preserve">  Certified Nursing Assistant (CNA)</v>
      </c>
      <c r="J67" s="57"/>
      <c r="K67" s="1131">
        <f>D17</f>
        <v>41600</v>
      </c>
      <c r="L67" s="1004">
        <f>E49</f>
        <v>2.4</v>
      </c>
      <c r="M67" s="1827">
        <f>K67*L67</f>
        <v>99840</v>
      </c>
      <c r="N67" s="36"/>
      <c r="P67" s="36"/>
      <c r="Q67" s="36"/>
      <c r="R67" s="36"/>
      <c r="S67" s="36"/>
      <c r="T67" s="36"/>
      <c r="U67" s="36"/>
      <c r="V67" s="36"/>
      <c r="W67" s="36"/>
      <c r="X67" s="36"/>
      <c r="Y67" s="36"/>
      <c r="Z67" s="36"/>
      <c r="AA67" s="36"/>
      <c r="AB67" s="36"/>
      <c r="AC67" s="36"/>
      <c r="AD67" s="36"/>
      <c r="AE67" s="36"/>
      <c r="AF67" s="36"/>
      <c r="AG67" s="36"/>
      <c r="EK67" s="2"/>
    </row>
    <row r="68" spans="1:141">
      <c r="A68" s="36"/>
      <c r="B68" s="100" t="str">
        <f t="shared" si="2"/>
        <v>Direct Care</v>
      </c>
      <c r="C68" s="57"/>
      <c r="D68" s="1003"/>
      <c r="E68" s="1004"/>
      <c r="F68" s="59"/>
      <c r="G68" s="573"/>
      <c r="H68" s="274"/>
      <c r="I68" s="100" t="str">
        <f t="shared" si="3"/>
        <v>Direct Care</v>
      </c>
      <c r="J68" s="57"/>
      <c r="K68" s="1131"/>
      <c r="L68" s="1004"/>
      <c r="M68" s="1827"/>
      <c r="N68" s="36"/>
      <c r="P68" s="36"/>
      <c r="Q68" s="36"/>
      <c r="R68" s="36"/>
      <c r="S68" s="36"/>
      <c r="T68" s="36"/>
      <c r="U68" s="36"/>
      <c r="V68" s="36"/>
      <c r="W68" s="36"/>
      <c r="X68" s="36"/>
      <c r="Y68" s="36"/>
      <c r="Z68" s="36"/>
      <c r="AA68" s="36"/>
      <c r="AB68" s="36"/>
      <c r="AC68" s="36"/>
      <c r="AD68" s="36"/>
      <c r="AE68" s="36"/>
      <c r="AF68" s="36"/>
      <c r="AG68" s="36"/>
      <c r="EK68" s="2"/>
    </row>
    <row r="69" spans="1:141">
      <c r="A69" s="36"/>
      <c r="B69" s="104" t="str">
        <f t="shared" si="2"/>
        <v xml:space="preserve">    Direct Care III</v>
      </c>
      <c r="C69" s="57"/>
      <c r="D69" s="1003">
        <f>D19</f>
        <v>53206.566400000003</v>
      </c>
      <c r="E69" s="1004">
        <f>D51</f>
        <v>8</v>
      </c>
      <c r="F69" s="1826"/>
      <c r="G69" s="573">
        <f>D69*E69</f>
        <v>425652.53120000003</v>
      </c>
      <c r="H69" s="274">
        <v>7.4</v>
      </c>
      <c r="I69" s="104" t="str">
        <f t="shared" si="3"/>
        <v xml:space="preserve">    Direct Care III</v>
      </c>
      <c r="J69" s="57"/>
      <c r="K69" s="1131">
        <f>D19</f>
        <v>53206.566400000003</v>
      </c>
      <c r="L69" s="1004">
        <f>E51</f>
        <v>11</v>
      </c>
      <c r="M69" s="1827">
        <f>K69*L69</f>
        <v>585272.2304</v>
      </c>
      <c r="N69" s="36">
        <v>9.9</v>
      </c>
      <c r="P69" s="36"/>
      <c r="Q69" s="36"/>
      <c r="R69" s="36"/>
      <c r="S69" s="36"/>
      <c r="T69" s="36"/>
      <c r="U69" s="36"/>
      <c r="V69" s="36"/>
      <c r="W69" s="36"/>
      <c r="X69" s="36"/>
      <c r="Y69" s="36"/>
      <c r="Z69" s="36"/>
      <c r="AA69" s="36"/>
      <c r="AB69" s="36"/>
      <c r="AC69" s="36"/>
      <c r="AD69" s="36"/>
      <c r="AE69" s="36"/>
      <c r="AF69" s="36"/>
      <c r="AG69" s="36"/>
      <c r="EK69" s="2"/>
    </row>
    <row r="70" spans="1:141">
      <c r="A70" s="36"/>
      <c r="B70" s="104" t="str">
        <f>B52</f>
        <v xml:space="preserve">    Direct Care / Cert Nurse Asst</v>
      </c>
      <c r="C70" s="57"/>
      <c r="D70" s="1003">
        <f>'M2020 BLS  SALARY CHART'!C10</f>
        <v>35900.800000000003</v>
      </c>
      <c r="E70" s="1004">
        <f>D52</f>
        <v>6.2</v>
      </c>
      <c r="F70" s="1826"/>
      <c r="G70" s="573">
        <v>225386</v>
      </c>
      <c r="H70" s="274">
        <v>6.8</v>
      </c>
      <c r="I70" s="104" t="str">
        <f>B52</f>
        <v xml:space="preserve">    Direct Care / Cert Nurse Asst</v>
      </c>
      <c r="J70" s="57"/>
      <c r="K70" s="1131">
        <f>'M2020 BLS  SALARY CHART'!C10</f>
        <v>35900.800000000003</v>
      </c>
      <c r="L70" s="1004">
        <f>E52</f>
        <v>6.4</v>
      </c>
      <c r="M70" s="1827">
        <f>K70*L70</f>
        <v>229765.12000000002</v>
      </c>
      <c r="N70" s="36">
        <v>7.5</v>
      </c>
      <c r="P70" s="36"/>
      <c r="Q70" s="36"/>
      <c r="R70" s="36"/>
      <c r="S70" s="36"/>
      <c r="T70" s="36"/>
      <c r="U70" s="36"/>
      <c r="V70" s="36"/>
      <c r="W70" s="36"/>
      <c r="X70" s="36"/>
      <c r="Y70" s="36"/>
      <c r="Z70" s="36"/>
      <c r="AA70" s="36"/>
      <c r="AB70" s="36"/>
      <c r="AC70" s="36"/>
      <c r="AD70" s="36"/>
      <c r="AE70" s="36"/>
      <c r="AF70" s="36"/>
      <c r="AG70" s="36"/>
      <c r="EK70" s="2"/>
    </row>
    <row r="71" spans="1:141">
      <c r="A71" s="36"/>
      <c r="B71" s="104" t="str">
        <f t="shared" si="2"/>
        <v xml:space="preserve">    Relief</v>
      </c>
      <c r="C71" s="57"/>
      <c r="D71" s="1003">
        <f>D21</f>
        <v>47403.283200000005</v>
      </c>
      <c r="E71" s="1004">
        <f>D53</f>
        <v>1.2</v>
      </c>
      <c r="F71" s="59"/>
      <c r="G71" s="573">
        <f>D71*E71</f>
        <v>56883.939840000006</v>
      </c>
      <c r="H71" s="274"/>
      <c r="I71" s="104" t="str">
        <f>B21</f>
        <v xml:space="preserve">    Relief</v>
      </c>
      <c r="J71" s="57"/>
      <c r="K71" s="1131">
        <f>D21</f>
        <v>47403.283200000005</v>
      </c>
      <c r="L71" s="1004">
        <f>E53</f>
        <v>1.65</v>
      </c>
      <c r="M71" s="1827">
        <f>K71*L71</f>
        <v>78215.417280000009</v>
      </c>
      <c r="N71" s="36"/>
      <c r="P71" s="36"/>
      <c r="Q71" s="36"/>
      <c r="R71" s="36"/>
      <c r="S71" s="36"/>
      <c r="T71" s="36"/>
      <c r="U71" s="36"/>
      <c r="V71" s="36"/>
      <c r="W71" s="36"/>
      <c r="X71" s="36"/>
      <c r="Y71" s="36"/>
      <c r="Z71" s="36"/>
      <c r="AA71" s="36"/>
      <c r="AB71" s="36"/>
      <c r="AC71" s="36"/>
      <c r="AD71" s="36"/>
      <c r="AE71" s="36"/>
      <c r="AF71" s="36"/>
      <c r="AG71" s="36"/>
      <c r="EK71" s="2"/>
    </row>
    <row r="72" spans="1:141">
      <c r="A72" s="36"/>
      <c r="B72" s="114" t="s">
        <v>13</v>
      </c>
      <c r="C72" s="3"/>
      <c r="D72" s="3"/>
      <c r="E72" s="1307">
        <f>SUM(E63:E71)</f>
        <v>19.899999999999999</v>
      </c>
      <c r="F72" s="64"/>
      <c r="G72" s="1830">
        <f>SUM(G63:G71)</f>
        <v>1015923.3382400001</v>
      </c>
      <c r="H72" s="285"/>
      <c r="I72" s="114" t="s">
        <v>13</v>
      </c>
      <c r="J72" s="3"/>
      <c r="K72" s="1019"/>
      <c r="L72" s="1307">
        <f>SUM(L63:L71)</f>
        <v>25.049999999999997</v>
      </c>
      <c r="M72" s="115">
        <f>SUM(M63:M71)</f>
        <v>1283156.85888</v>
      </c>
      <c r="N72" s="36"/>
      <c r="P72" s="36"/>
      <c r="Q72" s="36"/>
      <c r="R72" s="36"/>
      <c r="S72" s="36"/>
      <c r="T72" s="36"/>
      <c r="U72" s="36"/>
      <c r="V72" s="36"/>
      <c r="W72" s="36"/>
      <c r="X72" s="36"/>
      <c r="Y72" s="36"/>
      <c r="Z72" s="36"/>
      <c r="AA72" s="36"/>
      <c r="AB72" s="36"/>
      <c r="AC72" s="36"/>
      <c r="AD72" s="36"/>
      <c r="AE72" s="36"/>
      <c r="AF72" s="36"/>
      <c r="AG72" s="36"/>
      <c r="EK72" s="2"/>
    </row>
    <row r="73" spans="1:141">
      <c r="A73" s="36"/>
      <c r="B73" s="104"/>
      <c r="C73" s="72"/>
      <c r="D73" s="72"/>
      <c r="E73" s="156"/>
      <c r="F73" s="72"/>
      <c r="G73" s="1831"/>
      <c r="H73" s="285"/>
      <c r="I73" s="104"/>
      <c r="J73" s="72"/>
      <c r="K73" s="156"/>
      <c r="L73" s="156"/>
      <c r="M73" s="116"/>
      <c r="N73" s="36"/>
      <c r="P73" s="36"/>
      <c r="Q73" s="36"/>
      <c r="R73" s="36"/>
      <c r="S73" s="36"/>
      <c r="T73" s="36"/>
      <c r="U73" s="36"/>
      <c r="V73" s="36"/>
      <c r="W73" s="36"/>
      <c r="X73" s="36"/>
      <c r="Y73" s="36"/>
      <c r="Z73" s="36"/>
      <c r="AA73" s="36"/>
      <c r="AB73" s="36"/>
      <c r="AC73" s="36"/>
      <c r="AD73" s="36"/>
      <c r="AE73" s="36"/>
      <c r="AF73" s="36"/>
      <c r="AG73" s="36"/>
      <c r="EK73" s="2"/>
    </row>
    <row r="74" spans="1:141">
      <c r="A74" s="36"/>
      <c r="B74" s="100" t="s">
        <v>15</v>
      </c>
      <c r="C74" s="72"/>
      <c r="D74" s="72"/>
      <c r="E74" s="4" t="s">
        <v>16</v>
      </c>
      <c r="F74" s="4"/>
      <c r="G74" s="573"/>
      <c r="H74" s="274"/>
      <c r="I74" s="100" t="s">
        <v>15</v>
      </c>
      <c r="J74" s="72"/>
      <c r="K74" s="72"/>
      <c r="L74" s="4" t="s">
        <v>16</v>
      </c>
      <c r="M74" s="105"/>
      <c r="N74" s="36"/>
      <c r="P74" s="36"/>
      <c r="Q74" s="36"/>
      <c r="R74" s="36"/>
      <c r="S74" s="36"/>
      <c r="T74" s="36"/>
      <c r="U74" s="36"/>
      <c r="V74" s="36"/>
      <c r="W74" s="36"/>
      <c r="X74" s="36"/>
      <c r="Y74" s="36"/>
      <c r="Z74" s="36"/>
      <c r="AA74" s="36"/>
      <c r="AB74" s="36"/>
      <c r="AC74" s="36"/>
      <c r="AD74" s="36"/>
      <c r="AE74" s="36"/>
      <c r="AF74" s="36"/>
      <c r="AG74" s="36"/>
      <c r="EK74" s="2"/>
    </row>
    <row r="75" spans="1:141">
      <c r="A75" s="36"/>
      <c r="B75" s="104" t="str">
        <f>B24</f>
        <v xml:space="preserve">  Tax and Fringe</v>
      </c>
      <c r="C75" s="72"/>
      <c r="D75" s="1811">
        <f>D24</f>
        <v>0.27379999999999999</v>
      </c>
      <c r="E75" s="156"/>
      <c r="F75" s="72"/>
      <c r="G75" s="290">
        <f>D75*G72</f>
        <v>278159.81001011201</v>
      </c>
      <c r="H75" s="274"/>
      <c r="I75" s="104" t="str">
        <f>B24</f>
        <v xml:space="preserve">  Tax and Fringe</v>
      </c>
      <c r="J75" s="72"/>
      <c r="K75" s="1811">
        <f>D24</f>
        <v>0.27379999999999999</v>
      </c>
      <c r="L75" s="156"/>
      <c r="M75" s="117">
        <f>K75*M72</f>
        <v>351328.347961344</v>
      </c>
      <c r="N75" s="36"/>
      <c r="P75" s="36"/>
      <c r="Q75" s="36"/>
      <c r="R75" s="36"/>
      <c r="S75" s="36"/>
      <c r="T75" s="36"/>
      <c r="U75" s="36"/>
      <c r="V75" s="36"/>
      <c r="W75" s="36"/>
      <c r="X75" s="36"/>
      <c r="Y75" s="36"/>
      <c r="Z75" s="36"/>
      <c r="AA75" s="36"/>
      <c r="AB75" s="36"/>
      <c r="AC75" s="36"/>
      <c r="AD75" s="36"/>
      <c r="AE75" s="36"/>
      <c r="AF75" s="36"/>
      <c r="AG75" s="36"/>
      <c r="EK75" s="2"/>
    </row>
    <row r="76" spans="1:141">
      <c r="A76" s="36"/>
      <c r="B76" s="114" t="s">
        <v>18</v>
      </c>
      <c r="C76" s="3"/>
      <c r="D76" s="1019"/>
      <c r="E76" s="1020"/>
      <c r="F76" s="63"/>
      <c r="G76" s="1832">
        <f>G72+G75</f>
        <v>1294083.1482501121</v>
      </c>
      <c r="H76" s="274"/>
      <c r="I76" s="114" t="s">
        <v>18</v>
      </c>
      <c r="J76" s="3"/>
      <c r="K76" s="1019"/>
      <c r="L76" s="1020"/>
      <c r="M76" s="118">
        <f>M72+M75</f>
        <v>1634485.206841344</v>
      </c>
      <c r="N76" s="36"/>
      <c r="P76" s="36"/>
      <c r="Q76" s="36"/>
      <c r="R76" s="36"/>
      <c r="S76" s="36"/>
      <c r="T76" s="36"/>
      <c r="U76" s="36"/>
      <c r="V76" s="36"/>
      <c r="W76" s="36"/>
      <c r="X76" s="36"/>
      <c r="Y76" s="36"/>
      <c r="Z76" s="36"/>
      <c r="AA76" s="36"/>
      <c r="AB76" s="36"/>
      <c r="AC76" s="36"/>
      <c r="AD76" s="36"/>
      <c r="AE76" s="36"/>
      <c r="AF76" s="36"/>
      <c r="AG76" s="36"/>
      <c r="EK76" s="2"/>
    </row>
    <row r="77" spans="1:141">
      <c r="A77" s="36"/>
      <c r="B77" s="100"/>
      <c r="C77" s="4"/>
      <c r="D77" s="269"/>
      <c r="E77" s="1023"/>
      <c r="F77" s="66"/>
      <c r="G77" s="1833"/>
      <c r="H77" s="274"/>
      <c r="I77" s="100"/>
      <c r="J77" s="4"/>
      <c r="K77" s="269"/>
      <c r="L77" s="1023"/>
      <c r="M77" s="151"/>
      <c r="N77" s="36"/>
      <c r="P77" s="36"/>
      <c r="Q77" s="36"/>
      <c r="R77" s="36"/>
      <c r="S77" s="36"/>
      <c r="T77" s="36"/>
      <c r="U77" s="36"/>
      <c r="V77" s="36"/>
      <c r="W77" s="36"/>
      <c r="X77" s="36"/>
      <c r="Y77" s="36"/>
      <c r="Z77" s="36"/>
      <c r="AA77" s="36"/>
      <c r="AB77" s="36"/>
      <c r="AC77" s="36"/>
      <c r="AD77" s="36"/>
      <c r="AE77" s="36"/>
      <c r="AF77" s="36"/>
      <c r="AG77" s="36"/>
      <c r="EK77" s="2"/>
    </row>
    <row r="78" spans="1:141">
      <c r="A78" s="36"/>
      <c r="B78" s="106" t="s">
        <v>328</v>
      </c>
      <c r="C78" s="5"/>
      <c r="D78" s="997" t="s">
        <v>19</v>
      </c>
      <c r="E78" s="1139" t="s">
        <v>20</v>
      </c>
      <c r="F78" s="67"/>
      <c r="G78" s="1834" t="s">
        <v>7</v>
      </c>
      <c r="H78" s="274"/>
      <c r="I78" s="106" t="s">
        <v>328</v>
      </c>
      <c r="J78" s="5"/>
      <c r="K78" s="997" t="s">
        <v>19</v>
      </c>
      <c r="L78" s="1139" t="s">
        <v>2</v>
      </c>
      <c r="M78" s="120" t="s">
        <v>7</v>
      </c>
      <c r="N78" s="36"/>
      <c r="P78" s="36"/>
      <c r="Q78" s="36"/>
      <c r="R78" s="36"/>
      <c r="S78" s="36"/>
      <c r="T78" s="36"/>
      <c r="U78" s="36"/>
      <c r="V78" s="36"/>
      <c r="W78" s="36"/>
      <c r="X78" s="36"/>
      <c r="Y78" s="36"/>
      <c r="Z78" s="36"/>
      <c r="AA78" s="36"/>
      <c r="AB78" s="36"/>
      <c r="AC78" s="36"/>
      <c r="AD78" s="36"/>
      <c r="AE78" s="36"/>
      <c r="AF78" s="36"/>
      <c r="AG78" s="36"/>
      <c r="EK78" s="2"/>
    </row>
    <row r="79" spans="1:141">
      <c r="A79" s="36"/>
      <c r="B79" s="109" t="str">
        <f>B55</f>
        <v xml:space="preserve">  Psychologist</v>
      </c>
      <c r="C79" s="4"/>
      <c r="D79" s="1151">
        <f>D28</f>
        <v>136.75</v>
      </c>
      <c r="E79" s="1144">
        <f>D55*52</f>
        <v>52</v>
      </c>
      <c r="F79" s="69"/>
      <c r="G79" s="290">
        <f>D79*E79</f>
        <v>7111</v>
      </c>
      <c r="H79" s="274"/>
      <c r="I79" s="109" t="str">
        <f>B55</f>
        <v xml:space="preserve">  Psychologist</v>
      </c>
      <c r="J79" s="4"/>
      <c r="K79" s="1151">
        <f>D28</f>
        <v>136.75</v>
      </c>
      <c r="L79" s="1144">
        <f>E55*52</f>
        <v>84.5</v>
      </c>
      <c r="M79" s="117">
        <f>K79*L79</f>
        <v>11555.375</v>
      </c>
      <c r="N79" s="36"/>
      <c r="P79" s="36"/>
      <c r="Q79" s="36"/>
      <c r="R79" s="36"/>
      <c r="S79" s="36"/>
      <c r="T79" s="36"/>
      <c r="U79" s="36"/>
      <c r="V79" s="36"/>
      <c r="W79" s="36"/>
      <c r="X79" s="36"/>
      <c r="Y79" s="36"/>
      <c r="Z79" s="36"/>
      <c r="AA79" s="36"/>
      <c r="AB79" s="36"/>
      <c r="AC79" s="36"/>
      <c r="AD79" s="36"/>
      <c r="AE79" s="36"/>
      <c r="AF79" s="36"/>
      <c r="AG79" s="36"/>
      <c r="EK79" s="2"/>
    </row>
    <row r="80" spans="1:141">
      <c r="A80" s="36"/>
      <c r="B80" s="114" t="s">
        <v>21</v>
      </c>
      <c r="C80" s="70"/>
      <c r="D80" s="70"/>
      <c r="E80" s="70"/>
      <c r="F80" s="70"/>
      <c r="G80" s="1832">
        <f>SUM(G79:G79)</f>
        <v>7111</v>
      </c>
      <c r="H80" s="274"/>
      <c r="I80" s="114" t="s">
        <v>21</v>
      </c>
      <c r="J80" s="70"/>
      <c r="K80" s="70"/>
      <c r="L80" s="70"/>
      <c r="M80" s="118">
        <f>SUM(M79:M79)</f>
        <v>11555.375</v>
      </c>
      <c r="N80" s="36"/>
      <c r="P80" s="36"/>
      <c r="Q80" s="36"/>
      <c r="R80" s="36"/>
      <c r="S80" s="36"/>
      <c r="T80" s="36"/>
      <c r="U80" s="36"/>
      <c r="V80" s="36"/>
      <c r="W80" s="36"/>
      <c r="X80" s="36"/>
      <c r="Y80" s="36"/>
      <c r="Z80" s="36"/>
      <c r="AA80" s="36"/>
      <c r="AB80" s="36"/>
      <c r="AC80" s="36"/>
      <c r="AD80" s="36"/>
      <c r="AE80" s="36"/>
      <c r="AF80" s="36"/>
      <c r="AG80" s="36"/>
      <c r="EK80" s="2"/>
    </row>
    <row r="81" spans="1:141">
      <c r="A81" s="36"/>
      <c r="B81" s="81"/>
      <c r="C81" s="72"/>
      <c r="D81" s="72"/>
      <c r="E81" s="1836"/>
      <c r="F81" s="1836"/>
      <c r="G81" s="290"/>
      <c r="H81" s="370"/>
      <c r="I81" s="81"/>
      <c r="J81" s="72"/>
      <c r="K81" s="72"/>
      <c r="L81" s="1836"/>
      <c r="M81" s="123"/>
      <c r="N81" s="36"/>
      <c r="P81" s="36"/>
      <c r="Q81" s="36"/>
      <c r="R81" s="36"/>
      <c r="S81" s="36"/>
      <c r="T81" s="36"/>
      <c r="U81" s="36"/>
      <c r="V81" s="36"/>
      <c r="W81" s="36"/>
      <c r="X81" s="36"/>
      <c r="Y81" s="36"/>
      <c r="Z81" s="36"/>
      <c r="AA81" s="36"/>
      <c r="AB81" s="36"/>
      <c r="AC81" s="36"/>
      <c r="AD81" s="36"/>
      <c r="AE81" s="36"/>
      <c r="AF81" s="36"/>
      <c r="AG81" s="36"/>
      <c r="EK81" s="2"/>
    </row>
    <row r="82" spans="1:141">
      <c r="A82" s="36"/>
      <c r="B82" s="81" t="str">
        <f>B32</f>
        <v xml:space="preserve">  Staff Training</v>
      </c>
      <c r="C82" s="72"/>
      <c r="D82" s="72"/>
      <c r="E82" s="122">
        <f ca="1">D32</f>
        <v>192.10807561388694</v>
      </c>
      <c r="F82" s="122"/>
      <c r="G82" s="290">
        <f ca="1">E82*E72</f>
        <v>3822.9507047163497</v>
      </c>
      <c r="H82" s="370"/>
      <c r="I82" s="81" t="str">
        <f>B82</f>
        <v xml:space="preserve">  Staff Training</v>
      </c>
      <c r="J82" s="72"/>
      <c r="K82" s="72"/>
      <c r="L82" s="122">
        <f ca="1">E82</f>
        <v>192.10807561388694</v>
      </c>
      <c r="M82" s="123">
        <f ca="1">L82*L72</f>
        <v>4812.307294127867</v>
      </c>
      <c r="N82" s="36"/>
      <c r="P82" s="36"/>
      <c r="Q82" s="36"/>
      <c r="R82" s="36"/>
      <c r="S82" s="36"/>
      <c r="T82" s="36"/>
      <c r="U82" s="36"/>
      <c r="V82" s="36"/>
      <c r="W82" s="36"/>
      <c r="X82" s="36"/>
      <c r="Y82" s="36"/>
      <c r="Z82" s="36"/>
      <c r="AA82" s="36"/>
      <c r="AB82" s="36"/>
      <c r="AC82" s="36"/>
      <c r="AD82" s="36"/>
      <c r="AE82" s="36"/>
      <c r="AF82" s="36"/>
      <c r="AG82" s="36"/>
      <c r="EK82" s="2"/>
    </row>
    <row r="83" spans="1:141">
      <c r="A83" s="36"/>
      <c r="B83" s="81" t="str">
        <f>B33</f>
        <v xml:space="preserve">  Transportation</v>
      </c>
      <c r="C83" s="72"/>
      <c r="D83" s="72"/>
      <c r="E83" s="122">
        <f>D33</f>
        <v>2.0190812303224459</v>
      </c>
      <c r="F83" s="122"/>
      <c r="G83" s="290">
        <f>E83*G59</f>
        <v>5895.7171925415423</v>
      </c>
      <c r="H83" s="1650"/>
      <c r="I83" s="81" t="str">
        <f>B33</f>
        <v xml:space="preserve">  Transportation</v>
      </c>
      <c r="J83" s="72"/>
      <c r="K83" s="72"/>
      <c r="L83" s="122">
        <f>D33</f>
        <v>2.0190812303224459</v>
      </c>
      <c r="M83" s="123">
        <f>L83*M59</f>
        <v>8106.6111397446202</v>
      </c>
      <c r="N83" s="36"/>
      <c r="P83" s="36"/>
      <c r="Q83" s="36"/>
      <c r="R83" s="36"/>
      <c r="S83" s="36"/>
      <c r="T83" s="36"/>
      <c r="U83" s="36"/>
      <c r="V83" s="36"/>
      <c r="W83" s="36"/>
      <c r="X83" s="36"/>
      <c r="Y83" s="36"/>
      <c r="Z83" s="36"/>
      <c r="AA83" s="36"/>
      <c r="AB83" s="36"/>
      <c r="AC83" s="36"/>
      <c r="AD83" s="36"/>
      <c r="AE83" s="36"/>
      <c r="AF83" s="36"/>
      <c r="AG83" s="36"/>
      <c r="EK83" s="2"/>
    </row>
    <row r="84" spans="1:141">
      <c r="A84" s="36"/>
      <c r="B84" s="81" t="str">
        <f>B35</f>
        <v xml:space="preserve">  Meals / Food</v>
      </c>
      <c r="C84" s="72"/>
      <c r="D84" s="72"/>
      <c r="E84" s="122">
        <f>D35</f>
        <v>10.004761904761907</v>
      </c>
      <c r="F84" s="122"/>
      <c r="G84" s="290">
        <f>E84*G59</f>
        <v>29213.904761904767</v>
      </c>
      <c r="H84" s="285"/>
      <c r="I84" s="109" t="str">
        <f>B35</f>
        <v xml:space="preserve">  Meals / Food</v>
      </c>
      <c r="J84" s="156"/>
      <c r="K84" s="156"/>
      <c r="L84" s="1825">
        <f>D35</f>
        <v>10.004761904761907</v>
      </c>
      <c r="M84" s="123">
        <f>L84*M59</f>
        <v>40169.119047619053</v>
      </c>
      <c r="N84" s="36"/>
      <c r="P84" s="36"/>
      <c r="Q84" s="36"/>
      <c r="R84" s="36"/>
      <c r="S84" s="36"/>
      <c r="T84" s="36"/>
      <c r="U84" s="36"/>
      <c r="V84" s="36"/>
      <c r="W84" s="36"/>
      <c r="X84" s="36"/>
      <c r="Y84" s="36"/>
      <c r="Z84" s="36"/>
      <c r="AA84" s="36"/>
      <c r="AB84" s="36"/>
      <c r="AC84" s="36"/>
      <c r="AD84" s="36"/>
      <c r="AE84" s="36"/>
      <c r="AF84" s="36"/>
      <c r="AG84" s="36"/>
      <c r="EK84" s="2"/>
    </row>
    <row r="85" spans="1:141" ht="15.75" thickBot="1">
      <c r="A85" s="36"/>
      <c r="B85" s="81" t="str">
        <f>B34</f>
        <v xml:space="preserve">  Program Supplies &amp; Materials</v>
      </c>
      <c r="C85" s="72"/>
      <c r="D85" s="72"/>
      <c r="E85" s="122">
        <f ca="1">D34</f>
        <v>693.71474143152727</v>
      </c>
      <c r="F85" s="122"/>
      <c r="G85" s="1835">
        <f ca="1">E85*$E$72</f>
        <v>13804.923354487391</v>
      </c>
      <c r="H85" s="285"/>
      <c r="I85" s="81" t="str">
        <f>B34</f>
        <v xml:space="preserve">  Program Supplies &amp; Materials</v>
      </c>
      <c r="J85" s="72"/>
      <c r="K85" s="72"/>
      <c r="L85" s="122">
        <f ca="1">D34</f>
        <v>693.71474143152727</v>
      </c>
      <c r="M85" s="123">
        <f ca="1">L85*$L72</f>
        <v>17377.554272859757</v>
      </c>
      <c r="N85" s="36"/>
      <c r="P85" s="36"/>
      <c r="Q85" s="36"/>
      <c r="R85" s="36"/>
      <c r="S85" s="36"/>
      <c r="T85" s="36"/>
      <c r="U85" s="36"/>
      <c r="V85" s="36"/>
      <c r="W85" s="36"/>
      <c r="X85" s="36"/>
      <c r="Y85" s="36"/>
      <c r="Z85" s="36"/>
      <c r="AA85" s="36"/>
      <c r="AB85" s="36"/>
      <c r="AC85" s="36"/>
      <c r="AD85" s="36"/>
      <c r="AE85" s="36"/>
      <c r="AF85" s="36"/>
      <c r="AG85" s="36"/>
      <c r="EK85" s="2"/>
    </row>
    <row r="86" spans="1:141" ht="15.75" thickTop="1">
      <c r="A86" s="36"/>
      <c r="B86" s="100"/>
      <c r="C86" s="72"/>
      <c r="D86" s="72"/>
      <c r="E86" s="185"/>
      <c r="F86" s="185"/>
      <c r="G86" s="980">
        <f ca="1">SUM(G81:G85)</f>
        <v>52737.496013650052</v>
      </c>
      <c r="H86" s="285"/>
      <c r="I86" s="100"/>
      <c r="J86" s="72"/>
      <c r="K86" s="72"/>
      <c r="L86" s="71">
        <f ca="1">SUM(L83:L85)</f>
        <v>705.73858456661162</v>
      </c>
      <c r="M86" s="124">
        <f ca="1">SUM(M81:M85)</f>
        <v>70465.591754351306</v>
      </c>
      <c r="N86" s="36"/>
      <c r="P86" s="36"/>
      <c r="Q86" s="36"/>
      <c r="R86" s="36"/>
      <c r="S86" s="36"/>
      <c r="T86" s="36"/>
      <c r="U86" s="36"/>
      <c r="V86" s="36"/>
      <c r="W86" s="36"/>
      <c r="X86" s="36"/>
      <c r="Y86" s="36"/>
      <c r="Z86" s="36"/>
      <c r="AA86" s="36"/>
      <c r="AB86" s="36"/>
      <c r="AC86" s="36"/>
      <c r="AD86" s="36"/>
      <c r="AE86" s="36"/>
      <c r="AF86" s="36"/>
      <c r="AG86" s="36"/>
      <c r="EK86" s="2"/>
    </row>
    <row r="87" spans="1:141">
      <c r="A87" s="36"/>
      <c r="B87" s="104"/>
      <c r="C87" s="72"/>
      <c r="D87" s="72"/>
      <c r="E87" s="66"/>
      <c r="F87" s="66"/>
      <c r="G87" s="628"/>
      <c r="H87" s="857"/>
      <c r="I87" s="104"/>
      <c r="J87" s="72"/>
      <c r="K87" s="72"/>
      <c r="L87" s="66"/>
      <c r="M87" s="125"/>
      <c r="N87" s="36"/>
      <c r="P87" s="36"/>
      <c r="Q87" s="36"/>
      <c r="R87" s="36"/>
      <c r="S87" s="36"/>
      <c r="T87" s="36"/>
      <c r="U87" s="36"/>
      <c r="V87" s="36"/>
      <c r="W87" s="36"/>
      <c r="X87" s="36"/>
      <c r="Y87" s="36"/>
      <c r="Z87" s="36"/>
      <c r="AA87" s="36"/>
      <c r="AB87" s="36"/>
      <c r="AC87" s="36"/>
      <c r="AD87" s="36"/>
      <c r="AE87" s="36"/>
      <c r="AF87" s="36"/>
      <c r="AG87" s="36"/>
      <c r="EK87" s="2"/>
    </row>
    <row r="88" spans="1:141">
      <c r="A88" s="36"/>
      <c r="B88" s="114" t="s">
        <v>23</v>
      </c>
      <c r="C88" s="3"/>
      <c r="D88" s="3"/>
      <c r="E88" s="3"/>
      <c r="F88" s="3"/>
      <c r="G88" s="629">
        <f ca="1">SUM(G76,G80, G86)</f>
        <v>1353931.644263762</v>
      </c>
      <c r="H88" s="928"/>
      <c r="I88" s="114" t="s">
        <v>23</v>
      </c>
      <c r="J88" s="3"/>
      <c r="K88" s="3"/>
      <c r="L88" s="3"/>
      <c r="M88" s="126">
        <f ca="1">SUM(M76,M80, M86)</f>
        <v>1716506.1735956953</v>
      </c>
      <c r="N88" s="36"/>
      <c r="P88" s="36"/>
      <c r="Q88" s="36"/>
      <c r="R88" s="36"/>
      <c r="S88" s="36"/>
      <c r="T88" s="36"/>
      <c r="U88" s="36"/>
      <c r="V88" s="36"/>
      <c r="W88" s="36"/>
      <c r="X88" s="36"/>
      <c r="Y88" s="36"/>
      <c r="Z88" s="36"/>
      <c r="AA88" s="36"/>
      <c r="AB88" s="36"/>
      <c r="AC88" s="36"/>
      <c r="AD88" s="36"/>
      <c r="AE88" s="36"/>
      <c r="AF88" s="36"/>
      <c r="AG88" s="36"/>
      <c r="EK88" s="2"/>
    </row>
    <row r="89" spans="1:141">
      <c r="A89" s="36"/>
      <c r="B89" s="104"/>
      <c r="C89" s="72"/>
      <c r="D89" s="72"/>
      <c r="E89" s="73"/>
      <c r="F89" s="73"/>
      <c r="G89" s="630"/>
      <c r="H89" s="2166"/>
      <c r="I89" s="104"/>
      <c r="J89" s="72"/>
      <c r="K89" s="72"/>
      <c r="L89" s="73"/>
      <c r="M89" s="127"/>
      <c r="N89" s="36"/>
      <c r="P89" s="36"/>
      <c r="Q89" s="36"/>
      <c r="R89" s="36"/>
      <c r="S89" s="36"/>
      <c r="T89" s="36"/>
      <c r="U89" s="36"/>
      <c r="V89" s="36"/>
      <c r="W89" s="36"/>
      <c r="X89" s="36"/>
      <c r="Y89" s="36"/>
      <c r="Z89" s="36"/>
      <c r="AA89" s="36"/>
      <c r="AB89" s="36"/>
      <c r="AC89" s="36"/>
      <c r="AD89" s="36"/>
      <c r="AE89" s="36"/>
      <c r="AF89" s="36"/>
      <c r="AG89" s="36"/>
      <c r="EK89" s="2"/>
    </row>
    <row r="90" spans="1:141">
      <c r="A90" s="36"/>
      <c r="B90" s="104" t="str">
        <f>B37</f>
        <v xml:space="preserve">  Admin. Allocation</v>
      </c>
      <c r="C90" s="72"/>
      <c r="D90" s="1033">
        <f>D37</f>
        <v>0.12</v>
      </c>
      <c r="E90" s="156"/>
      <c r="F90" s="156"/>
      <c r="G90" s="2082">
        <f ca="1">D90*G88</f>
        <v>162471.79731165143</v>
      </c>
      <c r="H90" s="2167"/>
      <c r="I90" s="109" t="str">
        <f>B37</f>
        <v xml:space="preserve">  Admin. Allocation</v>
      </c>
      <c r="J90" s="156"/>
      <c r="K90" s="1033">
        <f>D37</f>
        <v>0.12</v>
      </c>
      <c r="L90" s="72"/>
      <c r="M90" s="117">
        <f ca="1">K90*M88</f>
        <v>205980.74083148342</v>
      </c>
      <c r="N90" s="36"/>
      <c r="P90" s="36"/>
      <c r="Q90" s="36"/>
      <c r="R90" s="36"/>
      <c r="S90" s="36"/>
      <c r="T90" s="36"/>
      <c r="U90" s="36"/>
      <c r="V90" s="36"/>
      <c r="W90" s="36"/>
      <c r="X90" s="36"/>
      <c r="Y90" s="36"/>
      <c r="Z90" s="36"/>
      <c r="AA90" s="36"/>
      <c r="AB90" s="36"/>
      <c r="AC90" s="36"/>
      <c r="AD90" s="36"/>
      <c r="AE90" s="36"/>
      <c r="AF90" s="36"/>
      <c r="AG90" s="36"/>
      <c r="EK90" s="2"/>
    </row>
    <row r="91" spans="1:141">
      <c r="A91" s="36"/>
      <c r="B91" s="968"/>
      <c r="C91" s="72"/>
      <c r="D91" s="156"/>
      <c r="E91" s="156"/>
      <c r="F91" s="156"/>
      <c r="G91" s="2083"/>
      <c r="H91" s="2167"/>
      <c r="I91" s="2084"/>
      <c r="J91" s="156"/>
      <c r="K91" s="156"/>
      <c r="L91" s="72"/>
      <c r="M91" s="969"/>
      <c r="N91" s="36"/>
      <c r="P91" s="36"/>
      <c r="Q91" s="36"/>
      <c r="R91" s="36"/>
      <c r="S91" s="36"/>
      <c r="T91" s="36"/>
      <c r="U91" s="36"/>
      <c r="V91" s="36"/>
      <c r="W91" s="36"/>
      <c r="X91" s="36"/>
      <c r="Y91" s="36"/>
      <c r="Z91" s="36"/>
      <c r="AA91" s="36"/>
      <c r="AB91" s="36"/>
      <c r="AC91" s="36"/>
      <c r="AD91" s="36"/>
      <c r="AE91" s="36"/>
      <c r="AF91" s="36"/>
      <c r="AG91" s="36"/>
      <c r="EK91" s="2"/>
    </row>
    <row r="92" spans="1:141">
      <c r="A92" s="36"/>
      <c r="B92" s="104"/>
      <c r="C92" s="72"/>
      <c r="D92" s="156"/>
      <c r="E92" s="156"/>
      <c r="F92" s="156"/>
      <c r="G92" s="2082"/>
      <c r="H92" s="2167"/>
      <c r="I92" s="109"/>
      <c r="J92" s="156"/>
      <c r="K92" s="156"/>
      <c r="L92" s="72"/>
      <c r="M92" s="128"/>
      <c r="N92" s="36"/>
      <c r="P92" s="36"/>
      <c r="Q92" s="36"/>
      <c r="R92" s="36"/>
      <c r="S92" s="36"/>
      <c r="T92" s="36"/>
      <c r="U92" s="36"/>
      <c r="V92" s="36"/>
      <c r="W92" s="36"/>
      <c r="X92" s="36"/>
      <c r="Y92" s="36"/>
      <c r="Z92" s="36"/>
      <c r="AA92" s="36"/>
      <c r="AB92" s="36"/>
      <c r="AC92" s="36"/>
      <c r="AD92" s="36"/>
      <c r="AE92" s="36"/>
      <c r="AF92" s="36"/>
      <c r="AG92" s="36"/>
      <c r="EK92" s="2"/>
    </row>
    <row r="93" spans="1:141" s="41" customFormat="1" ht="15.75" thickBot="1">
      <c r="A93" s="36"/>
      <c r="B93" s="129" t="s">
        <v>25</v>
      </c>
      <c r="C93" s="74"/>
      <c r="D93" s="1043"/>
      <c r="E93" s="1043"/>
      <c r="F93" s="1043"/>
      <c r="G93" s="2085">
        <f ca="1">SUM(G88:G92)</f>
        <v>1516403.4415754136</v>
      </c>
      <c r="H93" s="2167"/>
      <c r="I93" s="1042" t="s">
        <v>25</v>
      </c>
      <c r="J93" s="1043"/>
      <c r="K93" s="1043"/>
      <c r="L93" s="74"/>
      <c r="M93" s="130">
        <f ca="1">SUM(M88:M90)</f>
        <v>1922486.9144271787</v>
      </c>
      <c r="N93" s="36"/>
      <c r="O93" s="36"/>
      <c r="P93" s="36"/>
      <c r="Q93" s="36"/>
      <c r="R93" s="36"/>
      <c r="S93" s="36"/>
      <c r="T93" s="36"/>
      <c r="U93" s="36"/>
      <c r="V93" s="36"/>
      <c r="W93" s="36"/>
      <c r="X93" s="36"/>
      <c r="Y93" s="36"/>
      <c r="Z93" s="36"/>
      <c r="AA93" s="36"/>
      <c r="AB93" s="36"/>
      <c r="AC93" s="36"/>
      <c r="AD93" s="36"/>
      <c r="AE93" s="36"/>
      <c r="AF93" s="36"/>
      <c r="AG93" s="36"/>
    </row>
    <row r="94" spans="1:141" s="41" customFormat="1" ht="15.75" thickTop="1">
      <c r="A94" s="36"/>
      <c r="B94" s="104"/>
      <c r="C94" s="72"/>
      <c r="D94" s="156"/>
      <c r="E94" s="156"/>
      <c r="F94" s="156"/>
      <c r="G94" s="2086"/>
      <c r="H94" s="2167"/>
      <c r="I94" s="109"/>
      <c r="J94" s="156"/>
      <c r="K94" s="156"/>
      <c r="L94" s="72"/>
      <c r="M94" s="105"/>
      <c r="N94" s="36"/>
      <c r="O94" s="36"/>
      <c r="P94" s="36"/>
      <c r="Q94" s="36"/>
      <c r="R94" s="36"/>
      <c r="S94" s="36"/>
      <c r="T94" s="36"/>
      <c r="U94" s="36"/>
      <c r="V94" s="36"/>
      <c r="W94" s="36"/>
      <c r="X94" s="36"/>
      <c r="Y94" s="36"/>
      <c r="Z94" s="36"/>
      <c r="AA94" s="36"/>
      <c r="AB94" s="36"/>
      <c r="AC94" s="36"/>
      <c r="AD94" s="36"/>
      <c r="AE94" s="36"/>
      <c r="AF94" s="36"/>
      <c r="AG94" s="36"/>
    </row>
    <row r="95" spans="1:141" s="41" customFormat="1" ht="15.75" thickBot="1">
      <c r="A95" s="36"/>
      <c r="B95" s="104" t="str">
        <f>B41</f>
        <v xml:space="preserve">  CAF</v>
      </c>
      <c r="C95" s="72"/>
      <c r="D95" s="1447">
        <f>D41</f>
        <v>2.5758086673353865E-2</v>
      </c>
      <c r="E95" s="156"/>
      <c r="F95" s="156"/>
      <c r="G95" s="2085">
        <f ca="1">G93+(G93*D95)-(G72*D95)</f>
        <v>1529294.8514554163</v>
      </c>
      <c r="H95" s="285"/>
      <c r="I95" s="109" t="str">
        <f>B41</f>
        <v xml:space="preserve">  CAF</v>
      </c>
      <c r="J95" s="156"/>
      <c r="K95" s="1447">
        <f>D41</f>
        <v>2.5758086673353865E-2</v>
      </c>
      <c r="L95" s="72"/>
      <c r="M95" s="130">
        <f ca="1">M93+(M93*K95)-(M72*K95)</f>
        <v>1938954.833410843</v>
      </c>
      <c r="N95" s="36"/>
      <c r="O95" s="36"/>
      <c r="P95" s="36"/>
      <c r="Q95" s="36"/>
      <c r="R95" s="36"/>
      <c r="S95" s="36"/>
      <c r="T95" s="36"/>
      <c r="U95" s="36"/>
      <c r="V95" s="36"/>
      <c r="W95" s="36"/>
      <c r="X95" s="36"/>
      <c r="Y95" s="36"/>
      <c r="Z95" s="36"/>
      <c r="AA95" s="36"/>
      <c r="AB95" s="36"/>
      <c r="AC95" s="36"/>
      <c r="AD95" s="36"/>
      <c r="AE95" s="36"/>
      <c r="AF95" s="36"/>
      <c r="AG95" s="36"/>
      <c r="AH95" s="36"/>
    </row>
    <row r="96" spans="1:141" s="41" customFormat="1" ht="15.75" thickTop="1">
      <c r="A96" s="36"/>
      <c r="B96" s="104"/>
      <c r="C96" s="72"/>
      <c r="D96" s="131"/>
      <c r="E96" s="72"/>
      <c r="F96" s="72"/>
      <c r="G96" s="632"/>
      <c r="H96" s="2161"/>
      <c r="I96" s="104"/>
      <c r="J96" s="72"/>
      <c r="K96" s="131"/>
      <c r="L96" s="72"/>
      <c r="M96" s="132"/>
      <c r="O96" s="36"/>
      <c r="P96" s="36"/>
      <c r="Q96" s="36"/>
      <c r="R96" s="36"/>
      <c r="S96" s="36"/>
      <c r="T96" s="36"/>
      <c r="U96" s="36"/>
      <c r="V96" s="36"/>
      <c r="W96" s="36"/>
      <c r="X96" s="36"/>
      <c r="Y96" s="36"/>
      <c r="Z96" s="36"/>
      <c r="AA96" s="36"/>
      <c r="AB96" s="36"/>
      <c r="AC96" s="36"/>
      <c r="AD96" s="36"/>
      <c r="AE96" s="36"/>
      <c r="AF96" s="36"/>
      <c r="AG96" s="36"/>
      <c r="AH96" s="36"/>
    </row>
    <row r="97" spans="1:51" s="41" customFormat="1">
      <c r="A97" s="36"/>
      <c r="B97" s="104"/>
      <c r="C97" s="72"/>
      <c r="D97" s="72"/>
      <c r="E97" s="72"/>
      <c r="F97" s="72"/>
      <c r="G97" s="633"/>
      <c r="H97" s="2161"/>
      <c r="I97" s="104"/>
      <c r="J97" s="72"/>
      <c r="K97" s="72"/>
      <c r="L97" s="72"/>
      <c r="M97" s="136"/>
      <c r="N97" s="36"/>
      <c r="O97" s="36"/>
      <c r="P97" s="36"/>
      <c r="Q97" s="36"/>
      <c r="R97" s="36"/>
      <c r="S97" s="36"/>
      <c r="T97" s="36"/>
      <c r="U97" s="36"/>
      <c r="V97" s="36"/>
      <c r="W97" s="36"/>
      <c r="X97" s="36"/>
      <c r="Y97" s="36"/>
      <c r="Z97" s="36"/>
      <c r="AA97" s="36"/>
      <c r="AB97" s="36"/>
      <c r="AC97" s="36"/>
      <c r="AD97" s="36"/>
      <c r="AE97" s="36"/>
      <c r="AF97" s="36"/>
      <c r="AG97" s="36"/>
      <c r="AH97" s="36"/>
    </row>
    <row r="98" spans="1:51" s="2" customFormat="1" ht="15.75" thickBot="1">
      <c r="A98" s="36"/>
      <c r="B98" s="550" t="s">
        <v>28</v>
      </c>
      <c r="C98" s="548"/>
      <c r="D98" s="548"/>
      <c r="E98" s="549"/>
      <c r="F98" s="549"/>
      <c r="G98" s="2078"/>
      <c r="H98" s="2161"/>
      <c r="I98" s="104" t="s">
        <v>28</v>
      </c>
      <c r="J98" s="72"/>
      <c r="K98" s="72"/>
      <c r="L98" s="73"/>
      <c r="M98" s="125"/>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row>
    <row r="99" spans="1:51" s="2" customFormat="1" ht="15.75" thickBot="1">
      <c r="A99" s="36"/>
      <c r="B99" s="550" t="s">
        <v>600</v>
      </c>
      <c r="C99" s="873"/>
      <c r="D99" s="548"/>
      <c r="E99" s="549"/>
      <c r="F99" s="549"/>
      <c r="G99" s="2077">
        <f ca="1">G95/G59</f>
        <v>523.7311135121289</v>
      </c>
      <c r="H99" s="2168"/>
      <c r="I99" s="584" t="s">
        <v>600</v>
      </c>
      <c r="J99" s="358"/>
      <c r="K99" s="359"/>
      <c r="L99" s="360"/>
      <c r="M99" s="1569">
        <f ca="1">M95/M59</f>
        <v>482.92772936758234</v>
      </c>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row>
    <row r="100" spans="1:51" s="2" customFormat="1">
      <c r="A100" s="36"/>
      <c r="B100" s="36"/>
      <c r="C100" s="45"/>
      <c r="D100" s="45"/>
      <c r="E100" s="979" t="s">
        <v>783</v>
      </c>
      <c r="F100" s="979"/>
      <c r="G100" s="979">
        <v>444.76</v>
      </c>
      <c r="H100" s="2161"/>
      <c r="I100" s="36"/>
      <c r="J100" s="36"/>
      <c r="K100" s="36"/>
      <c r="L100" s="979" t="s">
        <v>783</v>
      </c>
      <c r="M100" s="979">
        <v>407.84</v>
      </c>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row>
    <row r="101" spans="1:51" s="2" customFormat="1">
      <c r="A101" s="36"/>
      <c r="B101" s="36"/>
      <c r="C101" s="36"/>
      <c r="D101" s="36"/>
      <c r="E101" s="36"/>
      <c r="F101" s="36"/>
      <c r="G101" s="976">
        <f ca="1">G99-G100</f>
        <v>78.971113512128909</v>
      </c>
      <c r="H101" s="2161"/>
      <c r="I101" s="36"/>
      <c r="J101" s="36"/>
      <c r="K101" s="36"/>
      <c r="L101" s="36"/>
      <c r="M101" s="976">
        <f ca="1">M99-M100</f>
        <v>75.087729367582369</v>
      </c>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row>
    <row r="102" spans="1:51" s="2" customFormat="1">
      <c r="A102" s="36"/>
      <c r="B102" s="36"/>
      <c r="C102" s="36"/>
      <c r="D102" s="36"/>
      <c r="E102" s="36"/>
      <c r="F102" s="36"/>
      <c r="G102" s="966">
        <f ca="1">G101/G100</f>
        <v>0.17755893855591534</v>
      </c>
      <c r="H102" s="2161"/>
      <c r="I102" s="36"/>
      <c r="J102" s="36"/>
      <c r="K102" s="36"/>
      <c r="L102" s="36"/>
      <c r="M102" s="966">
        <f ca="1">M101/M100</f>
        <v>0.18411075266668883</v>
      </c>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row>
    <row r="103" spans="1:51" s="2" customFormat="1">
      <c r="A103" s="36"/>
      <c r="B103" s="36"/>
      <c r="C103" s="36"/>
      <c r="D103" s="36"/>
      <c r="E103" s="1578"/>
      <c r="F103" s="1578"/>
      <c r="G103" s="36"/>
      <c r="H103" s="2161"/>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row>
    <row r="104" spans="1:51" s="2" customFormat="1">
      <c r="A104" s="36"/>
      <c r="B104" s="36"/>
      <c r="C104" s="36"/>
      <c r="D104" s="36"/>
      <c r="E104" s="36"/>
      <c r="F104" s="36"/>
      <c r="G104" s="36"/>
      <c r="H104" s="2161"/>
      <c r="I104" s="36"/>
      <c r="J104" s="36"/>
      <c r="K104" s="36"/>
      <c r="L104" s="1578"/>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row>
    <row r="105" spans="1:51" s="2" customFormat="1">
      <c r="A105" s="36"/>
      <c r="B105" s="36"/>
      <c r="C105" s="36"/>
      <c r="D105" s="36"/>
      <c r="E105" s="36"/>
      <c r="F105" s="36"/>
      <c r="G105" s="36"/>
      <c r="H105" s="2161"/>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row>
    <row r="106" spans="1:51" s="2" customFormat="1">
      <c r="A106" s="36"/>
      <c r="B106" s="36"/>
      <c r="C106" s="36"/>
      <c r="D106" s="36"/>
      <c r="E106" s="36"/>
      <c r="F106" s="36"/>
      <c r="G106" s="36"/>
      <c r="H106" s="2161"/>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row>
    <row r="107" spans="1:51" s="2" customFormat="1">
      <c r="A107" s="36"/>
      <c r="B107" s="36"/>
      <c r="C107" s="36"/>
      <c r="D107" s="36"/>
      <c r="E107" s="36"/>
      <c r="F107" s="36"/>
      <c r="G107" s="36"/>
      <c r="H107" s="2161"/>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row>
    <row r="108" spans="1:51" s="2" customFormat="1" ht="19.5" thickBot="1">
      <c r="A108" s="36"/>
      <c r="B108" s="2240"/>
      <c r="C108" s="2248"/>
      <c r="D108" s="2248"/>
      <c r="E108" s="2248"/>
      <c r="F108" s="2248"/>
      <c r="G108" s="1879"/>
      <c r="H108" s="2161"/>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row>
    <row r="109" spans="1:51" s="2" customFormat="1">
      <c r="A109" s="36"/>
      <c r="B109" s="2401"/>
      <c r="C109" s="985"/>
      <c r="D109" s="1400"/>
      <c r="E109" s="1400"/>
      <c r="F109" s="2232"/>
      <c r="G109" s="1879"/>
      <c r="H109" s="2161"/>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row>
    <row r="110" spans="1:51" s="2" customFormat="1">
      <c r="A110" s="36"/>
      <c r="B110" s="2402"/>
      <c r="C110" s="985"/>
      <c r="D110" s="1400"/>
      <c r="E110" s="1400"/>
      <c r="F110" s="2233"/>
      <c r="G110" s="1879"/>
      <c r="H110" s="2161"/>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row>
    <row r="111" spans="1:51" s="2" customFormat="1">
      <c r="A111" s="36"/>
      <c r="B111" s="2402"/>
      <c r="C111" s="985"/>
      <c r="D111" s="1400"/>
      <c r="E111" s="1400"/>
      <c r="F111" s="2233"/>
      <c r="G111" s="1879"/>
      <c r="H111" s="2161"/>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row>
    <row r="112" spans="1:51" s="2" customFormat="1" ht="15.75" thickBot="1">
      <c r="A112" s="36"/>
      <c r="B112" s="2402"/>
      <c r="C112" s="985"/>
      <c r="D112" s="1400"/>
      <c r="E112" s="1400"/>
      <c r="F112" s="2234"/>
      <c r="G112" s="1879"/>
      <c r="H112" s="2161"/>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row>
    <row r="113" spans="1:51" s="2" customFormat="1" ht="18.75">
      <c r="A113" s="36"/>
      <c r="B113" s="2242"/>
      <c r="C113" s="1879"/>
      <c r="D113" s="1879"/>
      <c r="E113" s="1879"/>
      <c r="F113" s="1879"/>
      <c r="G113" s="1879"/>
      <c r="H113" s="2161"/>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row>
    <row r="114" spans="1:51" s="2" customFormat="1" ht="18.75">
      <c r="A114" s="36"/>
      <c r="B114" s="2242"/>
      <c r="C114" s="1879"/>
      <c r="D114" s="1879"/>
      <c r="E114" s="1879"/>
      <c r="F114" s="1879"/>
      <c r="G114" s="1879"/>
      <c r="H114" s="2161"/>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row>
    <row r="115" spans="1:51" s="2" customFormat="1" ht="21">
      <c r="A115" s="36"/>
      <c r="B115" s="2171"/>
      <c r="C115" s="2249"/>
      <c r="D115" s="2250"/>
      <c r="E115" s="1879"/>
      <c r="F115" s="1879"/>
      <c r="G115" s="1879"/>
      <c r="H115" s="2161"/>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row>
    <row r="116" spans="1:51" s="2" customFormat="1">
      <c r="A116" s="36"/>
      <c r="B116" s="1879"/>
      <c r="C116" s="1879"/>
      <c r="D116" s="1879"/>
      <c r="E116" s="1879"/>
      <c r="F116" s="1879"/>
      <c r="G116" s="1879"/>
      <c r="H116" s="2161"/>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row>
    <row r="117" spans="1:51" s="2" customFormat="1">
      <c r="A117" s="36"/>
      <c r="B117" s="1879"/>
      <c r="C117" s="1879"/>
      <c r="D117" s="1879"/>
      <c r="E117" s="1879"/>
      <c r="F117" s="1879"/>
      <c r="G117" s="1879"/>
      <c r="H117" s="2161"/>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row>
    <row r="118" spans="1:51" s="2" customFormat="1">
      <c r="A118" s="36"/>
      <c r="B118" s="36"/>
      <c r="C118" s="36"/>
      <c r="D118" s="36"/>
      <c r="E118" s="36"/>
      <c r="F118" s="36"/>
      <c r="G118" s="36"/>
      <c r="H118" s="2161"/>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row>
    <row r="119" spans="1:51" s="2" customFormat="1" ht="18.75">
      <c r="A119" s="36"/>
      <c r="B119" s="2240"/>
      <c r="C119" s="2241"/>
      <c r="D119" s="2241"/>
      <c r="E119" s="2241"/>
      <c r="F119" s="2241"/>
      <c r="G119" s="36"/>
      <c r="H119" s="2161"/>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row>
    <row r="120" spans="1:51" s="2" customFormat="1" ht="21">
      <c r="A120" s="36"/>
      <c r="B120" s="2171"/>
      <c r="C120" s="2243"/>
      <c r="D120" s="2244"/>
      <c r="E120" s="2242"/>
      <c r="F120" s="2242"/>
      <c r="G120" s="1879"/>
      <c r="H120" s="2161"/>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row>
    <row r="121" spans="1:51" s="2" customFormat="1" ht="21">
      <c r="A121" s="36"/>
      <c r="B121" s="2171"/>
      <c r="C121" s="2243"/>
      <c r="D121" s="2244"/>
      <c r="E121" s="2242"/>
      <c r="F121" s="2242"/>
      <c r="G121" s="1879"/>
      <c r="H121" s="2161"/>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row>
    <row r="122" spans="1:51" s="2" customFormat="1" ht="21">
      <c r="A122" s="36"/>
      <c r="B122" s="2171"/>
      <c r="C122" s="2242"/>
      <c r="D122" s="2242"/>
      <c r="E122" s="2242"/>
      <c r="F122" s="2242"/>
      <c r="G122" s="1879"/>
      <c r="H122" s="2161"/>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row>
    <row r="123" spans="1:51" s="2" customFormat="1" ht="21">
      <c r="A123" s="36"/>
      <c r="B123" s="2171"/>
      <c r="C123" s="2243"/>
      <c r="D123" s="2244"/>
      <c r="E123" s="2242"/>
      <c r="F123" s="2242"/>
      <c r="G123" s="1879"/>
      <c r="H123" s="2161"/>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row>
    <row r="124" spans="1:51" s="2" customFormat="1" ht="18.75">
      <c r="A124" s="36"/>
      <c r="C124" s="2242"/>
      <c r="D124" s="2242"/>
      <c r="E124" s="2242"/>
      <c r="F124" s="2242"/>
      <c r="G124" s="1879"/>
      <c r="H124" s="2161"/>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row>
    <row r="125" spans="1:51" s="2" customFormat="1" ht="18.75">
      <c r="A125" s="36"/>
      <c r="B125" s="2242"/>
      <c r="C125" s="2242"/>
      <c r="D125" s="2242"/>
      <c r="E125" s="2242"/>
      <c r="F125" s="2242"/>
      <c r="G125" s="1879"/>
      <c r="H125" s="2161"/>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row>
    <row r="126" spans="1:51" s="2" customFormat="1">
      <c r="A126" s="36"/>
      <c r="B126" s="36"/>
      <c r="C126" s="36"/>
      <c r="D126" s="36"/>
      <c r="E126" s="36"/>
      <c r="F126" s="36"/>
      <c r="G126" s="36"/>
      <c r="H126" s="2161"/>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row>
    <row r="127" spans="1:51" s="2" customFormat="1">
      <c r="A127" s="36"/>
      <c r="B127" s="36"/>
      <c r="C127" s="36"/>
      <c r="D127" s="36"/>
      <c r="E127" s="36"/>
      <c r="F127" s="36"/>
      <c r="G127" s="36"/>
      <c r="H127" s="2161"/>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row>
    <row r="128" spans="1:51" s="2" customFormat="1">
      <c r="A128" s="36"/>
      <c r="B128" s="36"/>
      <c r="C128" s="36"/>
      <c r="D128" s="36"/>
      <c r="E128" s="36"/>
      <c r="F128" s="36"/>
      <c r="G128" s="36"/>
      <c r="H128" s="2161"/>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row>
    <row r="129" spans="1:51" s="2" customFormat="1">
      <c r="A129" s="36"/>
      <c r="B129" s="36"/>
      <c r="C129" s="36"/>
      <c r="D129" s="36"/>
      <c r="E129" s="36"/>
      <c r="F129" s="36"/>
      <c r="G129" s="36"/>
      <c r="H129" s="2161"/>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row>
    <row r="130" spans="1:51" s="2" customFormat="1">
      <c r="A130" s="36"/>
      <c r="B130" s="36"/>
      <c r="C130" s="36"/>
      <c r="D130" s="36"/>
      <c r="E130" s="36"/>
      <c r="F130" s="36"/>
      <c r="G130" s="36"/>
      <c r="H130" s="2161"/>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row>
    <row r="131" spans="1:51" s="2" customFormat="1">
      <c r="A131" s="36"/>
      <c r="B131" s="36"/>
      <c r="C131" s="36"/>
      <c r="D131" s="36"/>
      <c r="E131" s="36"/>
      <c r="F131" s="36"/>
      <c r="G131" s="36"/>
      <c r="H131" s="2161"/>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row>
    <row r="132" spans="1:51" s="2" customFormat="1">
      <c r="A132" s="36"/>
      <c r="B132" s="36"/>
      <c r="C132" s="36"/>
      <c r="D132" s="36"/>
      <c r="E132" s="36"/>
      <c r="F132" s="36"/>
      <c r="G132" s="36"/>
      <c r="H132" s="2161"/>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row>
    <row r="133" spans="1:51" s="2" customFormat="1">
      <c r="A133" s="36"/>
      <c r="B133" s="36"/>
      <c r="C133" s="36"/>
      <c r="D133" s="36"/>
      <c r="E133" s="36"/>
      <c r="F133" s="36"/>
      <c r="G133" s="36"/>
      <c r="H133" s="2161"/>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row>
    <row r="134" spans="1:51" s="2" customFormat="1">
      <c r="A134" s="36"/>
      <c r="B134" s="36"/>
      <c r="C134" s="36"/>
      <c r="D134" s="36"/>
      <c r="E134" s="36"/>
      <c r="F134" s="36"/>
      <c r="G134" s="36"/>
      <c r="H134" s="2161"/>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row>
    <row r="135" spans="1:51" s="2" customFormat="1">
      <c r="A135" s="36"/>
      <c r="B135" s="36"/>
      <c r="C135" s="36"/>
      <c r="D135" s="36"/>
      <c r="E135" s="36"/>
      <c r="F135" s="36"/>
      <c r="G135" s="36"/>
      <c r="H135" s="2161"/>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row>
    <row r="136" spans="1:51" s="2" customFormat="1">
      <c r="A136" s="36"/>
      <c r="B136" s="36"/>
      <c r="C136" s="36"/>
      <c r="D136" s="36"/>
      <c r="E136" s="36"/>
      <c r="F136" s="36"/>
      <c r="G136" s="36"/>
      <c r="H136" s="2161"/>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row>
    <row r="137" spans="1:51" s="2" customFormat="1">
      <c r="A137" s="36"/>
      <c r="B137" s="36"/>
      <c r="C137" s="36"/>
      <c r="D137" s="36"/>
      <c r="E137" s="36"/>
      <c r="F137" s="36"/>
      <c r="G137" s="36"/>
      <c r="H137" s="2161"/>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row>
    <row r="138" spans="1:51" s="2" customFormat="1">
      <c r="A138" s="36"/>
      <c r="B138" s="36"/>
      <c r="C138" s="36"/>
      <c r="D138" s="36"/>
      <c r="E138" s="36"/>
      <c r="F138" s="36"/>
      <c r="G138" s="36"/>
      <c r="H138" s="2161"/>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row>
    <row r="139" spans="1:51" s="2" customFormat="1">
      <c r="A139" s="36"/>
      <c r="B139" s="36"/>
      <c r="C139" s="36"/>
      <c r="D139" s="36"/>
      <c r="E139" s="36"/>
      <c r="F139" s="36"/>
      <c r="G139" s="36"/>
      <c r="H139" s="2161"/>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row>
    <row r="140" spans="1:51" s="2" customFormat="1">
      <c r="A140" s="36"/>
      <c r="B140" s="36"/>
      <c r="C140" s="36"/>
      <c r="D140" s="36"/>
      <c r="E140" s="36"/>
      <c r="F140" s="36"/>
      <c r="G140" s="36"/>
      <c r="H140" s="2161"/>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row>
    <row r="141" spans="1:51" s="2" customFormat="1">
      <c r="A141" s="36"/>
      <c r="B141" s="36"/>
      <c r="C141" s="36"/>
      <c r="D141" s="36"/>
      <c r="E141" s="36"/>
      <c r="F141" s="36"/>
      <c r="G141" s="36"/>
      <c r="H141" s="2161"/>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row>
    <row r="142" spans="1:51" s="2" customFormat="1">
      <c r="A142" s="36"/>
      <c r="B142" s="36"/>
      <c r="C142" s="36"/>
      <c r="D142" s="36"/>
      <c r="E142" s="36"/>
      <c r="F142" s="36"/>
      <c r="G142" s="36"/>
      <c r="H142" s="2161"/>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row>
    <row r="143" spans="1:51" s="2" customFormat="1">
      <c r="A143" s="36"/>
      <c r="B143" s="36"/>
      <c r="C143" s="36"/>
      <c r="D143" s="36"/>
      <c r="E143" s="36"/>
      <c r="F143" s="36"/>
      <c r="G143" s="36"/>
      <c r="H143" s="2161"/>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row>
    <row r="144" spans="1:51" s="2" customFormat="1">
      <c r="A144" s="36"/>
      <c r="B144" s="36"/>
      <c r="C144" s="36"/>
      <c r="D144" s="36"/>
      <c r="E144" s="36"/>
      <c r="F144" s="36"/>
      <c r="G144" s="36"/>
      <c r="H144" s="2161"/>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row>
    <row r="145" spans="1:51" s="2" customFormat="1">
      <c r="A145" s="36"/>
      <c r="B145" s="36"/>
      <c r="C145" s="36"/>
      <c r="D145" s="36"/>
      <c r="E145" s="36"/>
      <c r="F145" s="36"/>
      <c r="G145" s="36"/>
      <c r="H145" s="2161"/>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row>
    <row r="146" spans="1:51" s="2" customFormat="1">
      <c r="A146" s="36"/>
      <c r="B146" s="36"/>
      <c r="C146" s="36"/>
      <c r="D146" s="36"/>
      <c r="E146" s="36"/>
      <c r="F146" s="36"/>
      <c r="G146" s="36"/>
      <c r="H146" s="2161"/>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row>
    <row r="147" spans="1:51" s="2" customFormat="1">
      <c r="A147" s="36"/>
      <c r="B147" s="36"/>
      <c r="C147" s="36"/>
      <c r="D147" s="36"/>
      <c r="E147" s="36"/>
      <c r="F147" s="36"/>
      <c r="G147" s="36"/>
      <c r="H147" s="2161"/>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row>
    <row r="148" spans="1:51" s="2" customFormat="1">
      <c r="A148" s="36"/>
      <c r="B148" s="36"/>
      <c r="C148" s="36"/>
      <c r="D148" s="36"/>
      <c r="E148" s="36"/>
      <c r="F148" s="36"/>
      <c r="G148" s="36"/>
      <c r="H148" s="2161"/>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row>
    <row r="149" spans="1:51" s="2" customFormat="1">
      <c r="A149" s="36"/>
      <c r="B149" s="36"/>
      <c r="C149" s="36"/>
      <c r="D149" s="36"/>
      <c r="E149" s="36"/>
      <c r="F149" s="36"/>
      <c r="G149" s="36"/>
      <c r="H149" s="2161"/>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row>
    <row r="150" spans="1:51" s="2" customFormat="1">
      <c r="A150" s="36"/>
      <c r="B150" s="36"/>
      <c r="C150" s="36"/>
      <c r="D150" s="36"/>
      <c r="E150" s="36"/>
      <c r="F150" s="36"/>
      <c r="G150" s="36"/>
      <c r="H150" s="2161"/>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row>
    <row r="151" spans="1:51" s="2" customFormat="1">
      <c r="A151" s="36"/>
      <c r="B151" s="36"/>
      <c r="C151" s="36"/>
      <c r="D151" s="36"/>
      <c r="E151" s="36"/>
      <c r="F151" s="36"/>
      <c r="G151" s="36"/>
      <c r="H151" s="2161"/>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row>
    <row r="152" spans="1:51" s="2" customFormat="1">
      <c r="A152" s="36"/>
      <c r="B152" s="36"/>
      <c r="C152" s="36"/>
      <c r="D152" s="36"/>
      <c r="E152" s="36"/>
      <c r="F152" s="36"/>
      <c r="G152" s="36"/>
      <c r="H152" s="2161"/>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row>
    <row r="153" spans="1:51" s="2" customFormat="1">
      <c r="A153" s="36"/>
      <c r="B153" s="36"/>
      <c r="C153" s="36"/>
      <c r="D153" s="36"/>
      <c r="E153" s="36"/>
      <c r="F153" s="36"/>
      <c r="G153" s="36"/>
      <c r="H153" s="2161"/>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row>
    <row r="154" spans="1:51" s="2" customFormat="1">
      <c r="A154" s="36"/>
      <c r="B154" s="36"/>
      <c r="C154" s="36"/>
      <c r="D154" s="36"/>
      <c r="E154" s="36"/>
      <c r="F154" s="36"/>
      <c r="G154" s="36"/>
      <c r="H154" s="2161"/>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row>
    <row r="155" spans="1:51" s="2" customFormat="1">
      <c r="A155" s="36"/>
      <c r="B155" s="36"/>
      <c r="C155" s="36"/>
      <c r="D155" s="36"/>
      <c r="E155" s="36"/>
      <c r="F155" s="36"/>
      <c r="G155" s="36"/>
      <c r="H155" s="2161"/>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row>
    <row r="156" spans="1:51" s="2" customFormat="1">
      <c r="A156" s="36"/>
      <c r="B156" s="36"/>
      <c r="C156" s="36"/>
      <c r="D156" s="36"/>
      <c r="E156" s="36"/>
      <c r="F156" s="36"/>
      <c r="G156" s="36"/>
      <c r="H156" s="2161"/>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row>
    <row r="157" spans="1:51" s="2" customFormat="1">
      <c r="A157" s="36"/>
      <c r="B157" s="36"/>
      <c r="C157" s="36"/>
      <c r="D157" s="36"/>
      <c r="E157" s="36"/>
      <c r="F157" s="36"/>
      <c r="G157" s="36"/>
      <c r="H157" s="2161"/>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row>
    <row r="158" spans="1:51" s="2" customFormat="1">
      <c r="A158" s="36"/>
      <c r="B158" s="36"/>
      <c r="C158" s="36"/>
      <c r="D158" s="36"/>
      <c r="E158" s="36"/>
      <c r="F158" s="36"/>
      <c r="G158" s="36"/>
      <c r="H158" s="2161"/>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row>
    <row r="159" spans="1:51" s="2" customFormat="1">
      <c r="A159" s="36"/>
      <c r="B159" s="36"/>
      <c r="C159" s="36"/>
      <c r="D159" s="36"/>
      <c r="E159" s="36"/>
      <c r="F159" s="36"/>
      <c r="G159" s="36"/>
      <c r="H159" s="2161"/>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row>
    <row r="160" spans="1:51" s="2" customFormat="1">
      <c r="A160" s="36"/>
      <c r="B160" s="36"/>
      <c r="C160" s="36"/>
      <c r="D160" s="36"/>
      <c r="E160" s="36"/>
      <c r="F160" s="36"/>
      <c r="G160" s="36"/>
      <c r="H160" s="2161"/>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row>
    <row r="161" spans="1:51" s="2" customFormat="1">
      <c r="A161" s="36"/>
      <c r="B161" s="36"/>
      <c r="C161" s="36"/>
      <c r="D161" s="36"/>
      <c r="E161" s="36"/>
      <c r="F161" s="36"/>
      <c r="G161" s="36"/>
      <c r="H161" s="2161"/>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row>
    <row r="162" spans="1:51" s="2" customFormat="1">
      <c r="A162" s="36"/>
      <c r="B162" s="36"/>
      <c r="C162" s="36"/>
      <c r="D162" s="36"/>
      <c r="E162" s="36"/>
      <c r="F162" s="36"/>
      <c r="G162" s="36"/>
      <c r="H162" s="2161"/>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row>
    <row r="163" spans="1:51" s="2" customFormat="1">
      <c r="A163" s="36"/>
      <c r="B163" s="36"/>
      <c r="C163" s="36"/>
      <c r="D163" s="36"/>
      <c r="E163" s="36"/>
      <c r="F163" s="36"/>
      <c r="G163" s="36"/>
      <c r="H163" s="2161"/>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row>
    <row r="164" spans="1:51" s="2" customFormat="1">
      <c r="A164" s="36"/>
      <c r="B164" s="36"/>
      <c r="C164" s="36"/>
      <c r="D164" s="36"/>
      <c r="E164" s="36"/>
      <c r="F164" s="36"/>
      <c r="G164" s="36"/>
      <c r="H164" s="2161"/>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row>
    <row r="165" spans="1:51" s="2" customFormat="1">
      <c r="A165" s="36"/>
      <c r="B165" s="36"/>
      <c r="C165" s="36"/>
      <c r="D165" s="36"/>
      <c r="E165" s="36"/>
      <c r="F165" s="36"/>
      <c r="G165" s="36"/>
      <c r="H165" s="2161"/>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row>
    <row r="166" spans="1:51" s="2" customFormat="1">
      <c r="A166" s="36"/>
      <c r="B166" s="36"/>
      <c r="C166" s="36"/>
      <c r="D166" s="36"/>
      <c r="E166" s="36"/>
      <c r="F166" s="36"/>
      <c r="G166" s="36"/>
      <c r="H166" s="2161"/>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row>
    <row r="167" spans="1:51" s="2" customFormat="1">
      <c r="A167" s="36"/>
      <c r="B167" s="36"/>
      <c r="C167" s="36"/>
      <c r="D167" s="36"/>
      <c r="E167" s="36"/>
      <c r="F167" s="36"/>
      <c r="G167" s="36"/>
      <c r="H167" s="2161"/>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row>
    <row r="168" spans="1:51" s="2" customFormat="1">
      <c r="A168" s="36"/>
      <c r="B168" s="36"/>
      <c r="C168" s="36"/>
      <c r="D168" s="36"/>
      <c r="E168" s="36"/>
      <c r="F168" s="36"/>
      <c r="G168" s="36"/>
      <c r="H168" s="2161"/>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row>
    <row r="169" spans="1:51" s="2" customFormat="1">
      <c r="A169" s="36"/>
      <c r="B169" s="36"/>
      <c r="C169" s="36"/>
      <c r="D169" s="36"/>
      <c r="E169" s="36"/>
      <c r="F169" s="36"/>
      <c r="G169" s="36"/>
      <c r="H169" s="2161"/>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row>
    <row r="170" spans="1:51" s="2" customFormat="1">
      <c r="A170" s="36"/>
      <c r="B170" s="36"/>
      <c r="C170" s="36"/>
      <c r="D170" s="36"/>
      <c r="E170" s="36"/>
      <c r="F170" s="36"/>
      <c r="G170" s="36"/>
      <c r="H170" s="2161"/>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row>
    <row r="171" spans="1:51" s="2" customFormat="1">
      <c r="A171" s="36"/>
      <c r="B171" s="36"/>
      <c r="C171" s="36"/>
      <c r="D171" s="36"/>
      <c r="E171" s="36"/>
      <c r="F171" s="36"/>
      <c r="G171" s="36"/>
      <c r="H171" s="2161"/>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row>
    <row r="172" spans="1:51" s="2" customFormat="1">
      <c r="A172" s="36"/>
      <c r="B172" s="36"/>
      <c r="C172" s="36"/>
      <c r="D172" s="36"/>
      <c r="E172" s="36"/>
      <c r="F172" s="36"/>
      <c r="G172" s="36"/>
      <c r="H172" s="2161"/>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row>
    <row r="173" spans="1:51" s="2" customFormat="1">
      <c r="A173" s="36"/>
      <c r="B173" s="36"/>
      <c r="C173" s="36"/>
      <c r="D173" s="36"/>
      <c r="E173" s="36"/>
      <c r="F173" s="36"/>
      <c r="G173" s="36"/>
      <c r="H173" s="2161"/>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row>
    <row r="174" spans="1:51" s="2" customFormat="1">
      <c r="A174" s="36"/>
      <c r="B174" s="36"/>
      <c r="C174" s="36"/>
      <c r="D174" s="36"/>
      <c r="E174" s="36"/>
      <c r="F174" s="36"/>
      <c r="G174" s="36"/>
      <c r="H174" s="2161"/>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row>
    <row r="175" spans="1:51" s="2" customFormat="1">
      <c r="A175" s="36"/>
      <c r="B175" s="36"/>
      <c r="C175" s="36"/>
      <c r="D175" s="36"/>
      <c r="E175" s="36"/>
      <c r="F175" s="36"/>
      <c r="G175" s="36"/>
      <c r="H175" s="2161"/>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row>
    <row r="176" spans="1:51" s="2" customFormat="1">
      <c r="A176" s="36"/>
      <c r="B176" s="36"/>
      <c r="C176" s="36"/>
      <c r="D176" s="36"/>
      <c r="E176" s="36"/>
      <c r="F176" s="36"/>
      <c r="G176" s="36"/>
      <c r="H176" s="2161"/>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row>
    <row r="177" spans="1:51" s="2" customFormat="1">
      <c r="A177" s="36"/>
      <c r="B177" s="36"/>
      <c r="C177" s="36"/>
      <c r="D177" s="36"/>
      <c r="E177" s="36"/>
      <c r="F177" s="36"/>
      <c r="G177" s="36"/>
      <c r="H177" s="2161"/>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row>
    <row r="178" spans="1:51" s="2" customFormat="1">
      <c r="A178" s="36"/>
      <c r="B178" s="36"/>
      <c r="C178" s="36"/>
      <c r="D178" s="36"/>
      <c r="E178" s="36"/>
      <c r="F178" s="36"/>
      <c r="G178" s="36"/>
      <c r="H178" s="2161"/>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row>
    <row r="179" spans="1:51" s="2" customFormat="1">
      <c r="A179" s="36"/>
      <c r="B179" s="36"/>
      <c r="C179" s="36"/>
      <c r="D179" s="36"/>
      <c r="E179" s="36"/>
      <c r="F179" s="36"/>
      <c r="G179" s="36"/>
      <c r="H179" s="2161"/>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row>
    <row r="180" spans="1:51" s="2" customFormat="1">
      <c r="A180" s="36"/>
      <c r="B180" s="36"/>
      <c r="C180" s="36"/>
      <c r="D180" s="36"/>
      <c r="E180" s="36"/>
      <c r="F180" s="36"/>
      <c r="G180" s="36"/>
      <c r="H180" s="2161"/>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row>
    <row r="181" spans="1:51" s="2" customFormat="1">
      <c r="A181" s="36"/>
      <c r="B181" s="36"/>
      <c r="C181" s="36"/>
      <c r="D181" s="36"/>
      <c r="E181" s="36"/>
      <c r="F181" s="36"/>
      <c r="G181" s="36"/>
      <c r="H181" s="2161"/>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row>
    <row r="182" spans="1:51" s="2" customFormat="1">
      <c r="A182" s="36"/>
      <c r="B182" s="36"/>
      <c r="C182" s="36"/>
      <c r="D182" s="36"/>
      <c r="E182" s="36"/>
      <c r="F182" s="36"/>
      <c r="G182" s="36"/>
      <c r="H182" s="2161"/>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row>
    <row r="183" spans="1:51" s="2" customFormat="1">
      <c r="A183" s="36"/>
      <c r="B183" s="36"/>
      <c r="C183" s="36"/>
      <c r="D183" s="36"/>
      <c r="E183" s="36"/>
      <c r="F183" s="36"/>
      <c r="G183" s="36"/>
      <c r="H183" s="2161"/>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row>
    <row r="184" spans="1:51" s="2" customFormat="1">
      <c r="A184" s="36"/>
      <c r="B184" s="36"/>
      <c r="C184" s="36"/>
      <c r="D184" s="36"/>
      <c r="E184" s="36"/>
      <c r="F184" s="36"/>
      <c r="G184" s="36"/>
      <c r="H184" s="2161"/>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row>
    <row r="185" spans="1:51" s="2" customFormat="1">
      <c r="A185" s="36"/>
      <c r="B185" s="36"/>
      <c r="C185" s="36"/>
      <c r="D185" s="36"/>
      <c r="E185" s="36"/>
      <c r="F185" s="36"/>
      <c r="G185" s="36"/>
      <c r="H185" s="2161"/>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row>
    <row r="186" spans="1:51" s="2" customFormat="1">
      <c r="A186" s="36"/>
      <c r="B186" s="36"/>
      <c r="C186" s="36"/>
      <c r="D186" s="36"/>
      <c r="E186" s="36"/>
      <c r="F186" s="36"/>
      <c r="G186" s="36"/>
      <c r="H186" s="2161"/>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row>
    <row r="187" spans="1:51" s="2" customFormat="1">
      <c r="A187" s="36"/>
      <c r="B187" s="36"/>
      <c r="C187" s="36"/>
      <c r="D187" s="36"/>
      <c r="E187" s="36"/>
      <c r="F187" s="36"/>
      <c r="G187" s="36"/>
      <c r="H187" s="2161"/>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row>
    <row r="188" spans="1:51" s="2" customFormat="1">
      <c r="A188" s="36"/>
      <c r="B188" s="36"/>
      <c r="C188" s="36"/>
      <c r="D188" s="36"/>
      <c r="E188" s="36"/>
      <c r="F188" s="36"/>
      <c r="G188" s="36"/>
      <c r="H188" s="2161"/>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row>
    <row r="189" spans="1:51" s="2" customFormat="1">
      <c r="A189" s="36"/>
      <c r="B189" s="36"/>
      <c r="C189" s="36"/>
      <c r="D189" s="36"/>
      <c r="E189" s="36"/>
      <c r="F189" s="36"/>
      <c r="G189" s="36"/>
      <c r="H189" s="2161"/>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row>
    <row r="190" spans="1:51" s="2" customFormat="1">
      <c r="A190" s="36"/>
      <c r="B190" s="36"/>
      <c r="C190" s="36"/>
      <c r="D190" s="36"/>
      <c r="E190" s="36"/>
      <c r="F190" s="36"/>
      <c r="G190" s="36"/>
      <c r="H190" s="2161"/>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row>
    <row r="191" spans="1:51" s="2" customFormat="1">
      <c r="A191" s="36"/>
      <c r="B191" s="36"/>
      <c r="C191" s="36"/>
      <c r="D191" s="36"/>
      <c r="E191" s="36"/>
      <c r="F191" s="36"/>
      <c r="G191" s="36"/>
      <c r="H191" s="2161"/>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row>
    <row r="192" spans="1:51" s="2" customFormat="1">
      <c r="A192" s="36"/>
      <c r="B192" s="36"/>
      <c r="C192" s="36"/>
      <c r="D192" s="36"/>
      <c r="E192" s="36"/>
      <c r="F192" s="36"/>
      <c r="G192" s="36"/>
      <c r="H192" s="2161"/>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row>
    <row r="193" spans="1:51" s="2" customFormat="1">
      <c r="A193" s="36"/>
      <c r="B193" s="36"/>
      <c r="C193" s="36"/>
      <c r="D193" s="36"/>
      <c r="E193" s="36"/>
      <c r="F193" s="36"/>
      <c r="G193" s="36"/>
      <c r="H193" s="2161"/>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row>
    <row r="194" spans="1:51" s="2" customFormat="1">
      <c r="A194" s="36"/>
      <c r="B194" s="36"/>
      <c r="C194" s="36"/>
      <c r="D194" s="36"/>
      <c r="E194" s="36"/>
      <c r="F194" s="36"/>
      <c r="G194" s="36"/>
      <c r="H194" s="2161"/>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row>
    <row r="195" spans="1:51" s="2" customFormat="1">
      <c r="A195" s="36"/>
      <c r="B195" s="36"/>
      <c r="C195" s="36"/>
      <c r="D195" s="36"/>
      <c r="E195" s="36"/>
      <c r="F195" s="36"/>
      <c r="G195" s="36"/>
      <c r="H195" s="2161"/>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row>
    <row r="196" spans="1:51" s="2" customFormat="1">
      <c r="A196" s="36"/>
      <c r="B196" s="36"/>
      <c r="C196" s="36"/>
      <c r="D196" s="36"/>
      <c r="E196" s="36"/>
      <c r="F196" s="36"/>
      <c r="G196" s="36"/>
      <c r="H196" s="2161"/>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row>
    <row r="197" spans="1:51" s="2" customFormat="1">
      <c r="A197" s="36"/>
      <c r="B197" s="36"/>
      <c r="C197" s="36"/>
      <c r="D197" s="36"/>
      <c r="E197" s="36"/>
      <c r="F197" s="36"/>
      <c r="G197" s="36"/>
      <c r="H197" s="2161"/>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row>
    <row r="198" spans="1:51" s="2" customFormat="1">
      <c r="A198" s="36"/>
      <c r="B198" s="36"/>
      <c r="C198" s="36"/>
      <c r="D198" s="36"/>
      <c r="E198" s="36"/>
      <c r="F198" s="36"/>
      <c r="G198" s="36"/>
      <c r="H198" s="2161"/>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row>
    <row r="199" spans="1:51" s="2" customFormat="1">
      <c r="A199" s="36"/>
      <c r="B199" s="36"/>
      <c r="C199" s="36"/>
      <c r="D199" s="36"/>
      <c r="E199" s="36"/>
      <c r="F199" s="36"/>
      <c r="G199" s="36"/>
      <c r="H199" s="2161"/>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row>
    <row r="200" spans="1:51" s="2" customFormat="1">
      <c r="A200" s="36"/>
      <c r="B200" s="36"/>
      <c r="C200" s="36"/>
      <c r="D200" s="36"/>
      <c r="E200" s="36"/>
      <c r="F200" s="36"/>
      <c r="G200" s="36"/>
      <c r="H200" s="2161"/>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row>
    <row r="201" spans="1:51" s="2" customFormat="1">
      <c r="A201" s="36"/>
      <c r="B201" s="36"/>
      <c r="C201" s="36"/>
      <c r="D201" s="36"/>
      <c r="E201" s="36"/>
      <c r="F201" s="36"/>
      <c r="G201" s="36"/>
      <c r="H201" s="2161"/>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row>
    <row r="202" spans="1:51" s="2" customFormat="1">
      <c r="A202" s="36"/>
      <c r="B202" s="36"/>
      <c r="C202" s="36"/>
      <c r="D202" s="36"/>
      <c r="E202" s="36"/>
      <c r="F202" s="36"/>
      <c r="G202" s="36"/>
      <c r="H202" s="2161"/>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row>
    <row r="203" spans="1:51" s="2" customFormat="1">
      <c r="A203" s="36"/>
      <c r="B203" s="36"/>
      <c r="C203" s="36"/>
      <c r="D203" s="36"/>
      <c r="E203" s="36"/>
      <c r="F203" s="36"/>
      <c r="G203" s="36"/>
      <c r="H203" s="2161"/>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row>
    <row r="204" spans="1:51" s="2" customFormat="1">
      <c r="A204" s="36"/>
      <c r="B204" s="36"/>
      <c r="C204" s="36"/>
      <c r="D204" s="36"/>
      <c r="E204" s="36"/>
      <c r="F204" s="36"/>
      <c r="G204" s="36"/>
      <c r="H204" s="2161"/>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row>
    <row r="205" spans="1:51" s="2" customFormat="1">
      <c r="A205" s="36"/>
      <c r="B205" s="36"/>
      <c r="C205" s="36"/>
      <c r="D205" s="36"/>
      <c r="E205" s="36"/>
      <c r="F205" s="36"/>
      <c r="G205" s="36"/>
      <c r="H205" s="2161"/>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row>
    <row r="206" spans="1:51" s="2" customFormat="1">
      <c r="A206" s="36"/>
      <c r="B206" s="36"/>
      <c r="C206" s="36"/>
      <c r="D206" s="36"/>
      <c r="E206" s="36"/>
      <c r="F206" s="36"/>
      <c r="G206" s="36"/>
      <c r="H206" s="2161"/>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row>
    <row r="207" spans="1:51" s="2" customFormat="1">
      <c r="A207" s="36"/>
      <c r="B207" s="36"/>
      <c r="C207" s="36"/>
      <c r="D207" s="36"/>
      <c r="E207" s="36"/>
      <c r="F207" s="36"/>
      <c r="G207" s="36"/>
      <c r="H207" s="2161"/>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row>
    <row r="208" spans="1:51" s="2" customFormat="1">
      <c r="A208" s="36"/>
      <c r="B208" s="36"/>
      <c r="C208" s="36"/>
      <c r="D208" s="36"/>
      <c r="E208" s="36"/>
      <c r="F208" s="36"/>
      <c r="G208" s="36"/>
      <c r="H208" s="2161"/>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row>
    <row r="209" spans="1:51" s="2" customFormat="1">
      <c r="A209" s="36"/>
      <c r="B209" s="36"/>
      <c r="C209" s="36"/>
      <c r="D209" s="36"/>
      <c r="E209" s="36"/>
      <c r="F209" s="36"/>
      <c r="G209" s="36"/>
      <c r="H209" s="2161"/>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row>
    <row r="210" spans="1:51" s="2" customFormat="1">
      <c r="A210" s="36"/>
      <c r="B210" s="36"/>
      <c r="C210" s="36"/>
      <c r="D210" s="36"/>
      <c r="E210" s="36"/>
      <c r="F210" s="36"/>
      <c r="G210" s="36"/>
      <c r="H210" s="2161"/>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row>
    <row r="211" spans="1:51" s="2" customFormat="1">
      <c r="A211" s="36"/>
      <c r="B211" s="36"/>
      <c r="C211" s="36"/>
      <c r="D211" s="36"/>
      <c r="E211" s="36"/>
      <c r="F211" s="36"/>
      <c r="G211" s="36"/>
      <c r="H211" s="2161"/>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row>
    <row r="212" spans="1:51" s="41" customFormat="1">
      <c r="A212" s="36"/>
      <c r="B212" s="36"/>
      <c r="C212" s="36"/>
      <c r="D212" s="36"/>
      <c r="E212" s="36"/>
      <c r="F212" s="36"/>
      <c r="G212" s="36"/>
      <c r="H212" s="2161"/>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row>
    <row r="213" spans="1:51" s="41" customFormat="1">
      <c r="A213" s="36"/>
      <c r="B213" s="36"/>
      <c r="C213" s="36"/>
      <c r="D213" s="36"/>
      <c r="E213" s="36"/>
      <c r="F213" s="36"/>
      <c r="G213" s="36"/>
      <c r="H213" s="2161"/>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row>
    <row r="214" spans="1:51" s="41" customFormat="1">
      <c r="A214" s="36"/>
      <c r="B214" s="36"/>
      <c r="C214" s="36"/>
      <c r="D214" s="36"/>
      <c r="E214" s="36"/>
      <c r="F214" s="36"/>
      <c r="G214" s="36"/>
      <c r="H214" s="2161"/>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row>
    <row r="215" spans="1:51" s="41" customFormat="1">
      <c r="A215" s="36"/>
      <c r="B215" s="36"/>
      <c r="C215" s="36"/>
      <c r="D215" s="36"/>
      <c r="E215" s="36"/>
      <c r="F215" s="36"/>
      <c r="G215" s="36"/>
      <c r="H215" s="2161"/>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row>
    <row r="216" spans="1:51" s="41" customFormat="1">
      <c r="A216" s="36"/>
      <c r="B216" s="36"/>
      <c r="C216" s="36"/>
      <c r="D216" s="36"/>
      <c r="E216" s="36"/>
      <c r="F216" s="36"/>
      <c r="G216" s="36"/>
      <c r="H216" s="2161"/>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row>
    <row r="217" spans="1:51" s="41" customFormat="1">
      <c r="A217" s="36"/>
      <c r="B217" s="36"/>
      <c r="C217" s="36"/>
      <c r="D217" s="36"/>
      <c r="E217" s="36"/>
      <c r="F217" s="36"/>
      <c r="G217" s="36"/>
      <c r="H217" s="2161"/>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row>
    <row r="218" spans="1:51" s="41" customFormat="1">
      <c r="A218" s="36"/>
      <c r="B218" s="36"/>
      <c r="C218" s="36"/>
      <c r="D218" s="36"/>
      <c r="E218" s="36"/>
      <c r="F218" s="36"/>
      <c r="G218" s="36"/>
      <c r="H218" s="2161"/>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row>
    <row r="219" spans="1:51" s="41" customFormat="1">
      <c r="A219" s="36"/>
      <c r="B219" s="36"/>
      <c r="C219" s="36"/>
      <c r="D219" s="36"/>
      <c r="E219" s="36"/>
      <c r="F219" s="36"/>
      <c r="G219" s="36"/>
      <c r="H219" s="2161"/>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row>
    <row r="220" spans="1:51" s="41" customFormat="1">
      <c r="A220" s="36"/>
      <c r="B220" s="36"/>
      <c r="C220" s="36"/>
      <c r="D220" s="36"/>
      <c r="E220" s="36"/>
      <c r="F220" s="36"/>
      <c r="G220" s="36"/>
      <c r="H220" s="2161"/>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row>
    <row r="221" spans="1:51" s="41" customFormat="1">
      <c r="A221" s="36"/>
      <c r="B221" s="36"/>
      <c r="C221" s="36"/>
      <c r="D221" s="36"/>
      <c r="E221" s="36"/>
      <c r="F221" s="36"/>
      <c r="G221" s="36"/>
      <c r="H221" s="2161"/>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row>
    <row r="222" spans="1:51" s="41" customFormat="1">
      <c r="A222" s="36"/>
      <c r="B222" s="36"/>
      <c r="C222" s="36"/>
      <c r="D222" s="36"/>
      <c r="E222" s="36"/>
      <c r="F222" s="36"/>
      <c r="G222" s="36"/>
      <c r="H222" s="2161"/>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row>
    <row r="223" spans="1:51" s="41" customFormat="1">
      <c r="A223" s="36"/>
      <c r="B223" s="36"/>
      <c r="C223" s="36"/>
      <c r="D223" s="36"/>
      <c r="E223" s="36"/>
      <c r="F223" s="36"/>
      <c r="G223" s="36"/>
      <c r="H223" s="2161"/>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row>
    <row r="224" spans="1:51" s="41" customFormat="1">
      <c r="A224" s="36"/>
      <c r="B224" s="36"/>
      <c r="C224" s="36"/>
      <c r="D224" s="36"/>
      <c r="E224" s="36"/>
      <c r="F224" s="36"/>
      <c r="G224" s="36"/>
      <c r="H224" s="2161"/>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row>
    <row r="225" spans="1:51" s="41" customFormat="1">
      <c r="A225" s="36"/>
      <c r="B225" s="36"/>
      <c r="C225" s="36"/>
      <c r="D225" s="36"/>
      <c r="E225" s="36"/>
      <c r="F225" s="36"/>
      <c r="G225" s="36"/>
      <c r="H225" s="2161"/>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row>
    <row r="226" spans="1:51" s="41" customFormat="1">
      <c r="A226" s="36"/>
      <c r="B226" s="36"/>
      <c r="C226" s="36"/>
      <c r="D226" s="36"/>
      <c r="E226" s="36"/>
      <c r="F226" s="36"/>
      <c r="G226" s="36"/>
      <c r="H226" s="2161"/>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row>
    <row r="227" spans="1:51" s="41" customFormat="1">
      <c r="A227" s="36"/>
      <c r="B227" s="36"/>
      <c r="C227" s="36"/>
      <c r="D227" s="36"/>
      <c r="E227" s="36"/>
      <c r="F227" s="36"/>
      <c r="G227" s="36"/>
      <c r="H227" s="2161"/>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row>
    <row r="228" spans="1:51" s="41" customFormat="1">
      <c r="A228" s="36"/>
      <c r="B228" s="36"/>
      <c r="C228" s="36"/>
      <c r="D228" s="36"/>
      <c r="E228" s="36"/>
      <c r="F228" s="36"/>
      <c r="G228" s="36"/>
      <c r="H228" s="2161"/>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row>
    <row r="229" spans="1:51" s="41" customFormat="1">
      <c r="A229" s="36"/>
      <c r="B229" s="36"/>
      <c r="C229" s="36"/>
      <c r="D229" s="36"/>
      <c r="E229" s="36"/>
      <c r="F229" s="36"/>
      <c r="G229" s="36"/>
      <c r="H229" s="2161"/>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row>
    <row r="230" spans="1:51" s="41" customFormat="1">
      <c r="A230" s="36"/>
      <c r="B230" s="36"/>
      <c r="C230" s="36"/>
      <c r="D230" s="36"/>
      <c r="E230" s="36"/>
      <c r="F230" s="36"/>
      <c r="G230" s="36"/>
      <c r="H230" s="2161"/>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row>
    <row r="231" spans="1:51" s="41" customFormat="1">
      <c r="A231" s="36"/>
      <c r="B231" s="36"/>
      <c r="C231" s="36"/>
      <c r="D231" s="36"/>
      <c r="E231" s="36"/>
      <c r="F231" s="36"/>
      <c r="G231" s="36"/>
      <c r="H231" s="2161"/>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row>
    <row r="232" spans="1:51" s="41" customFormat="1">
      <c r="A232" s="36"/>
      <c r="B232" s="36"/>
      <c r="C232" s="36"/>
      <c r="D232" s="36"/>
      <c r="E232" s="36"/>
      <c r="F232" s="36"/>
      <c r="G232" s="36"/>
      <c r="H232" s="2161"/>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row>
    <row r="233" spans="1:51" s="41" customFormat="1">
      <c r="A233" s="36"/>
      <c r="B233" s="36"/>
      <c r="C233" s="36"/>
      <c r="D233" s="36"/>
      <c r="E233" s="36"/>
      <c r="F233" s="36"/>
      <c r="G233" s="36"/>
      <c r="H233" s="2161"/>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row>
    <row r="234" spans="1:51" s="41" customFormat="1">
      <c r="A234" s="36"/>
      <c r="B234" s="36"/>
      <c r="C234" s="36"/>
      <c r="D234" s="36"/>
      <c r="E234" s="36"/>
      <c r="F234" s="36"/>
      <c r="G234" s="36"/>
      <c r="H234" s="2161"/>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row>
    <row r="235" spans="1:51" s="41" customFormat="1">
      <c r="A235" s="36"/>
      <c r="B235" s="36"/>
      <c r="C235" s="36"/>
      <c r="D235" s="36"/>
      <c r="E235" s="36"/>
      <c r="F235" s="36"/>
      <c r="G235" s="36"/>
      <c r="H235" s="2161"/>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row>
    <row r="236" spans="1:51" s="41" customFormat="1">
      <c r="A236" s="36"/>
      <c r="B236" s="36"/>
      <c r="C236" s="36"/>
      <c r="D236" s="36"/>
      <c r="E236" s="36"/>
      <c r="F236" s="36"/>
      <c r="G236" s="36"/>
      <c r="H236" s="2161"/>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row>
    <row r="237" spans="1:51" s="41" customFormat="1">
      <c r="A237" s="36"/>
      <c r="B237" s="36"/>
      <c r="C237" s="36"/>
      <c r="D237" s="36"/>
      <c r="E237" s="36"/>
      <c r="F237" s="36"/>
      <c r="G237" s="36"/>
      <c r="H237" s="2161"/>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row>
    <row r="238" spans="1:51" s="41" customFormat="1">
      <c r="A238" s="36"/>
      <c r="B238" s="36"/>
      <c r="C238" s="36"/>
      <c r="D238" s="36"/>
      <c r="E238" s="36"/>
      <c r="F238" s="36"/>
      <c r="G238" s="36"/>
      <c r="H238" s="2161"/>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row>
    <row r="239" spans="1:51" s="41" customFormat="1">
      <c r="A239" s="36"/>
      <c r="B239" s="36"/>
      <c r="C239" s="36"/>
      <c r="D239" s="36"/>
      <c r="E239" s="36"/>
      <c r="F239" s="36"/>
      <c r="G239" s="36"/>
      <c r="H239" s="2161"/>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row>
    <row r="240" spans="1:51" s="41" customFormat="1">
      <c r="A240" s="36"/>
      <c r="B240" s="36"/>
      <c r="C240" s="36"/>
      <c r="D240" s="36"/>
      <c r="E240" s="36"/>
      <c r="F240" s="36"/>
      <c r="G240" s="36"/>
      <c r="H240" s="2161"/>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row>
    <row r="241" spans="1:51" s="41" customFormat="1">
      <c r="A241" s="36"/>
      <c r="B241" s="36"/>
      <c r="C241" s="36"/>
      <c r="D241" s="36"/>
      <c r="E241" s="36"/>
      <c r="F241" s="36"/>
      <c r="G241" s="36"/>
      <c r="H241" s="2161"/>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row>
    <row r="242" spans="1:51" s="41" customFormat="1">
      <c r="A242" s="36"/>
      <c r="B242" s="36"/>
      <c r="C242" s="36"/>
      <c r="D242" s="36"/>
      <c r="E242" s="36"/>
      <c r="F242" s="36"/>
      <c r="G242" s="36"/>
      <c r="H242" s="2161"/>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row>
    <row r="243" spans="1:51" s="41" customFormat="1">
      <c r="A243" s="36"/>
      <c r="B243" s="36"/>
      <c r="C243" s="36"/>
      <c r="D243" s="36"/>
      <c r="E243" s="36"/>
      <c r="F243" s="36"/>
      <c r="G243" s="36"/>
      <c r="H243" s="2161"/>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row>
    <row r="244" spans="1:51" s="41" customFormat="1">
      <c r="A244" s="36"/>
      <c r="B244" s="36"/>
      <c r="C244" s="36"/>
      <c r="D244" s="36"/>
      <c r="E244" s="36"/>
      <c r="F244" s="36"/>
      <c r="G244" s="36"/>
      <c r="H244" s="2161"/>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row>
    <row r="245" spans="1:51" s="41" customFormat="1">
      <c r="A245" s="36"/>
      <c r="B245" s="36"/>
      <c r="C245" s="36"/>
      <c r="D245" s="36"/>
      <c r="E245" s="36"/>
      <c r="F245" s="36"/>
      <c r="G245" s="36"/>
      <c r="H245" s="2161"/>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row>
    <row r="246" spans="1:51" s="41" customFormat="1">
      <c r="A246" s="36"/>
      <c r="B246" s="36"/>
      <c r="C246" s="36"/>
      <c r="D246" s="36"/>
      <c r="E246" s="36"/>
      <c r="F246" s="36"/>
      <c r="G246" s="36"/>
      <c r="H246" s="2161"/>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row>
    <row r="247" spans="1:51" s="41" customFormat="1">
      <c r="A247" s="36"/>
      <c r="B247" s="36"/>
      <c r="C247" s="36"/>
      <c r="D247" s="36"/>
      <c r="E247" s="36"/>
      <c r="F247" s="36"/>
      <c r="G247" s="36"/>
      <c r="H247" s="2161"/>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row>
    <row r="248" spans="1:51" s="41" customFormat="1">
      <c r="A248" s="36"/>
      <c r="B248" s="36"/>
      <c r="C248" s="36"/>
      <c r="D248" s="36"/>
      <c r="E248" s="36"/>
      <c r="F248" s="36"/>
      <c r="G248" s="36"/>
      <c r="H248" s="2161"/>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row>
    <row r="249" spans="1:51" s="41" customFormat="1">
      <c r="A249" s="36"/>
      <c r="B249" s="36"/>
      <c r="C249" s="36"/>
      <c r="D249" s="36"/>
      <c r="E249" s="36"/>
      <c r="F249" s="36"/>
      <c r="G249" s="36"/>
      <c r="H249" s="2161"/>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row>
    <row r="250" spans="1:51" s="41" customFormat="1">
      <c r="A250" s="36"/>
      <c r="B250" s="36"/>
      <c r="C250" s="36"/>
      <c r="D250" s="36"/>
      <c r="E250" s="36"/>
      <c r="F250" s="36"/>
      <c r="G250" s="36"/>
      <c r="H250" s="2161"/>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row>
    <row r="251" spans="1:51" s="41" customFormat="1">
      <c r="A251" s="36"/>
      <c r="B251" s="36"/>
      <c r="C251" s="36"/>
      <c r="D251" s="36"/>
      <c r="E251" s="36"/>
      <c r="F251" s="36"/>
      <c r="G251" s="36"/>
      <c r="H251" s="2161"/>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row>
    <row r="252" spans="1:51" s="41" customFormat="1">
      <c r="A252" s="36"/>
      <c r="B252" s="36"/>
      <c r="C252" s="36"/>
      <c r="D252" s="36"/>
      <c r="E252" s="36"/>
      <c r="F252" s="36"/>
      <c r="G252" s="36"/>
      <c r="H252" s="2161"/>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row>
    <row r="253" spans="1:51" s="41" customFormat="1">
      <c r="A253" s="36"/>
      <c r="B253" s="36"/>
      <c r="C253" s="36"/>
      <c r="D253" s="36"/>
      <c r="E253" s="36"/>
      <c r="F253" s="36"/>
      <c r="G253" s="36"/>
      <c r="H253" s="2161"/>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row>
    <row r="254" spans="1:51" s="41" customFormat="1">
      <c r="A254" s="36"/>
      <c r="B254" s="36"/>
      <c r="C254" s="36"/>
      <c r="D254" s="36"/>
      <c r="E254" s="36"/>
      <c r="F254" s="36"/>
      <c r="G254" s="36"/>
      <c r="H254" s="2161"/>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row>
    <row r="255" spans="1:51" s="41" customFormat="1">
      <c r="A255" s="36"/>
      <c r="B255" s="36"/>
      <c r="C255" s="36"/>
      <c r="D255" s="36"/>
      <c r="E255" s="36"/>
      <c r="F255" s="36"/>
      <c r="G255" s="36"/>
      <c r="H255" s="2161"/>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row>
    <row r="256" spans="1:51" s="41" customFormat="1">
      <c r="A256" s="36"/>
      <c r="B256" s="36"/>
      <c r="C256" s="36"/>
      <c r="D256" s="36"/>
      <c r="E256" s="36"/>
      <c r="F256" s="36"/>
      <c r="G256" s="36"/>
      <c r="H256" s="2161"/>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row>
    <row r="257" spans="1:51" s="41" customFormat="1">
      <c r="A257" s="36"/>
      <c r="B257" s="36"/>
      <c r="C257" s="36"/>
      <c r="D257" s="36"/>
      <c r="E257" s="36"/>
      <c r="F257" s="36"/>
      <c r="G257" s="36"/>
      <c r="H257" s="2161"/>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row>
    <row r="258" spans="1:51" s="41" customFormat="1">
      <c r="A258" s="36"/>
      <c r="B258" s="36"/>
      <c r="C258" s="36"/>
      <c r="D258" s="36"/>
      <c r="E258" s="36"/>
      <c r="F258" s="36"/>
      <c r="G258" s="36"/>
      <c r="H258" s="2161"/>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row>
    <row r="259" spans="1:51" s="41" customFormat="1">
      <c r="A259" s="36"/>
      <c r="B259" s="36"/>
      <c r="C259" s="36"/>
      <c r="D259" s="36"/>
      <c r="E259" s="36"/>
      <c r="F259" s="36"/>
      <c r="G259" s="36"/>
      <c r="H259" s="2161"/>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row>
    <row r="260" spans="1:51" s="41" customFormat="1">
      <c r="A260" s="36"/>
      <c r="B260" s="36"/>
      <c r="C260" s="36"/>
      <c r="D260" s="36"/>
      <c r="E260" s="36"/>
      <c r="F260" s="36"/>
      <c r="G260" s="36"/>
      <c r="H260" s="2161"/>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row>
    <row r="261" spans="1:51" s="41" customFormat="1">
      <c r="A261" s="36"/>
      <c r="B261" s="36"/>
      <c r="C261" s="36"/>
      <c r="D261" s="36"/>
      <c r="E261" s="36"/>
      <c r="F261" s="36"/>
      <c r="G261" s="36"/>
      <c r="H261" s="2161"/>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row>
    <row r="262" spans="1:51" s="41" customFormat="1">
      <c r="A262" s="36"/>
      <c r="B262" s="36"/>
      <c r="C262" s="36"/>
      <c r="D262" s="36"/>
      <c r="E262" s="36"/>
      <c r="F262" s="36"/>
      <c r="G262" s="36"/>
      <c r="H262" s="2161"/>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row>
    <row r="263" spans="1:51" s="41" customFormat="1">
      <c r="A263" s="36"/>
      <c r="B263" s="36"/>
      <c r="C263" s="36"/>
      <c r="D263" s="36"/>
      <c r="E263" s="36"/>
      <c r="F263" s="36"/>
      <c r="G263" s="36"/>
      <c r="H263" s="2161"/>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row>
    <row r="264" spans="1:51" s="41" customFormat="1">
      <c r="A264" s="36"/>
      <c r="B264" s="36"/>
      <c r="C264" s="36"/>
      <c r="D264" s="36"/>
      <c r="E264" s="36"/>
      <c r="F264" s="36"/>
      <c r="G264" s="36"/>
      <c r="H264" s="2161"/>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row>
    <row r="265" spans="1:51" s="41" customFormat="1">
      <c r="A265" s="36"/>
      <c r="B265" s="36"/>
      <c r="C265" s="36"/>
      <c r="D265" s="36"/>
      <c r="E265" s="36"/>
      <c r="F265" s="36"/>
      <c r="G265" s="36"/>
      <c r="H265" s="2161"/>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row>
    <row r="266" spans="1:51" s="41" customFormat="1">
      <c r="A266" s="36"/>
      <c r="B266" s="36"/>
      <c r="C266" s="36"/>
      <c r="D266" s="36"/>
      <c r="E266" s="36"/>
      <c r="F266" s="36"/>
      <c r="G266" s="36"/>
      <c r="H266" s="2161"/>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row>
    <row r="267" spans="1:51" s="41" customFormat="1">
      <c r="A267" s="36"/>
      <c r="B267" s="36"/>
      <c r="C267" s="36"/>
      <c r="D267" s="36"/>
      <c r="E267" s="36"/>
      <c r="F267" s="36"/>
      <c r="G267" s="36"/>
      <c r="H267" s="2161"/>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row>
    <row r="268" spans="1:51" s="41" customFormat="1">
      <c r="A268" s="36"/>
      <c r="B268" s="36"/>
      <c r="C268" s="36"/>
      <c r="D268" s="36"/>
      <c r="E268" s="36"/>
      <c r="F268" s="36"/>
      <c r="G268" s="36"/>
      <c r="H268" s="2161"/>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row>
    <row r="269" spans="1:51" s="41" customFormat="1">
      <c r="A269" s="36"/>
      <c r="B269" s="36"/>
      <c r="C269" s="36"/>
      <c r="D269" s="36"/>
      <c r="E269" s="36"/>
      <c r="F269" s="36"/>
      <c r="G269" s="36"/>
      <c r="H269" s="2161"/>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row>
    <row r="270" spans="1:51" s="41" customFormat="1">
      <c r="A270" s="36"/>
      <c r="B270" s="36"/>
      <c r="C270" s="36"/>
      <c r="D270" s="36"/>
      <c r="E270" s="36"/>
      <c r="F270" s="36"/>
      <c r="G270" s="36"/>
      <c r="H270" s="2161"/>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row>
    <row r="271" spans="1:51" s="41" customFormat="1">
      <c r="A271" s="36"/>
      <c r="B271" s="36"/>
      <c r="C271" s="36"/>
      <c r="D271" s="36"/>
      <c r="E271" s="36"/>
      <c r="F271" s="36"/>
      <c r="G271" s="36"/>
      <c r="H271" s="2161"/>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row>
    <row r="272" spans="1:51" s="41" customFormat="1">
      <c r="A272" s="36"/>
      <c r="B272" s="36"/>
      <c r="C272" s="36"/>
      <c r="D272" s="36"/>
      <c r="E272" s="36"/>
      <c r="F272" s="36"/>
      <c r="G272" s="36"/>
      <c r="H272" s="2161"/>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row>
    <row r="273" spans="1:51" s="41" customFormat="1">
      <c r="A273" s="36"/>
      <c r="B273" s="36"/>
      <c r="C273" s="36"/>
      <c r="D273" s="36"/>
      <c r="E273" s="36"/>
      <c r="F273" s="36"/>
      <c r="G273" s="36"/>
      <c r="H273" s="2161"/>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c r="AY273" s="36"/>
    </row>
    <row r="274" spans="1:51" s="41" customFormat="1">
      <c r="A274" s="36"/>
      <c r="B274" s="36"/>
      <c r="C274" s="36"/>
      <c r="D274" s="36"/>
      <c r="E274" s="36"/>
      <c r="F274" s="36"/>
      <c r="G274" s="36"/>
      <c r="H274" s="2161"/>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c r="AY274" s="36"/>
    </row>
    <row r="275" spans="1:51" s="41" customFormat="1">
      <c r="A275" s="36"/>
      <c r="B275" s="36"/>
      <c r="C275" s="36"/>
      <c r="D275" s="36"/>
      <c r="E275" s="36"/>
      <c r="F275" s="36"/>
      <c r="G275" s="36"/>
      <c r="H275" s="2161"/>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row>
    <row r="276" spans="1:51" s="41" customFormat="1">
      <c r="A276" s="36"/>
      <c r="B276" s="36"/>
      <c r="C276" s="36"/>
      <c r="D276" s="36"/>
      <c r="E276" s="36"/>
      <c r="F276" s="36"/>
      <c r="G276" s="36"/>
      <c r="H276" s="2161"/>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c r="AY276" s="36"/>
    </row>
    <row r="277" spans="1:51" s="41" customFormat="1">
      <c r="A277" s="36"/>
      <c r="B277" s="36"/>
      <c r="C277" s="36"/>
      <c r="D277" s="36"/>
      <c r="E277" s="36"/>
      <c r="F277" s="36"/>
      <c r="G277" s="36"/>
      <c r="H277" s="2161"/>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c r="AY277" s="36"/>
    </row>
    <row r="278" spans="1:51" s="41" customFormat="1">
      <c r="A278" s="36"/>
      <c r="B278" s="36"/>
      <c r="C278" s="36"/>
      <c r="D278" s="36"/>
      <c r="E278" s="36"/>
      <c r="F278" s="36"/>
      <c r="G278" s="36"/>
      <c r="H278" s="2161"/>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c r="AY278" s="36"/>
    </row>
    <row r="279" spans="1:51" s="41" customFormat="1">
      <c r="A279" s="36"/>
      <c r="B279" s="36"/>
      <c r="C279" s="36"/>
      <c r="D279" s="36"/>
      <c r="E279" s="36"/>
      <c r="F279" s="36"/>
      <c r="G279" s="36"/>
      <c r="H279" s="2161"/>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c r="AY279" s="36"/>
    </row>
    <row r="280" spans="1:51" s="41" customFormat="1">
      <c r="B280" s="36"/>
      <c r="C280" s="36"/>
      <c r="D280" s="36"/>
      <c r="E280" s="36"/>
      <c r="F280" s="36"/>
      <c r="G280" s="36"/>
      <c r="H280" s="2161"/>
      <c r="I280" s="36"/>
      <c r="J280" s="36"/>
      <c r="K280" s="36"/>
      <c r="L280" s="36"/>
      <c r="M280" s="36"/>
    </row>
    <row r="281" spans="1:51" s="41" customFormat="1">
      <c r="B281" s="36"/>
      <c r="C281" s="36"/>
      <c r="D281" s="36"/>
      <c r="E281" s="36"/>
      <c r="F281" s="36"/>
      <c r="G281" s="36"/>
      <c r="H281" s="2161"/>
      <c r="I281" s="36"/>
      <c r="J281" s="36"/>
      <c r="K281" s="36"/>
      <c r="L281" s="36"/>
      <c r="M281" s="36"/>
    </row>
    <row r="282" spans="1:51" s="41" customFormat="1">
      <c r="B282" s="36"/>
      <c r="C282" s="36"/>
      <c r="D282" s="36"/>
      <c r="E282" s="36"/>
      <c r="F282" s="36"/>
      <c r="G282" s="36"/>
      <c r="H282" s="2161"/>
      <c r="I282" s="36"/>
      <c r="J282" s="36"/>
      <c r="K282" s="36"/>
      <c r="L282" s="36"/>
      <c r="M282" s="36"/>
    </row>
    <row r="283" spans="1:51" s="41" customFormat="1">
      <c r="B283" s="36"/>
      <c r="C283" s="36"/>
      <c r="D283" s="36"/>
      <c r="E283" s="36"/>
      <c r="F283" s="36"/>
      <c r="G283" s="36"/>
      <c r="H283" s="2169"/>
      <c r="I283" s="36"/>
      <c r="J283" s="36"/>
      <c r="K283" s="36"/>
      <c r="L283" s="36"/>
      <c r="M283" s="36"/>
    </row>
    <row r="284" spans="1:51" s="41" customFormat="1">
      <c r="B284" s="36"/>
      <c r="C284" s="36"/>
      <c r="D284" s="36"/>
      <c r="E284" s="36"/>
      <c r="F284" s="36"/>
      <c r="G284" s="36"/>
      <c r="H284" s="2169"/>
      <c r="I284" s="36"/>
      <c r="J284" s="36"/>
      <c r="K284" s="36"/>
      <c r="L284" s="36"/>
      <c r="M284" s="36"/>
    </row>
    <row r="285" spans="1:51" s="41" customFormat="1">
      <c r="H285" s="2169"/>
    </row>
    <row r="286" spans="1:51" s="41" customFormat="1">
      <c r="H286" s="2169"/>
    </row>
    <row r="287" spans="1:51" s="41" customFormat="1">
      <c r="H287" s="2169"/>
    </row>
    <row r="288" spans="1:51" s="41" customFormat="1">
      <c r="H288" s="2169"/>
    </row>
    <row r="289" spans="8:8" s="41" customFormat="1">
      <c r="H289" s="2169"/>
    </row>
    <row r="290" spans="8:8" s="41" customFormat="1">
      <c r="H290" s="2169"/>
    </row>
    <row r="291" spans="8:8" s="41" customFormat="1">
      <c r="H291" s="2169"/>
    </row>
    <row r="292" spans="8:8" s="41" customFormat="1">
      <c r="H292" s="2169"/>
    </row>
    <row r="293" spans="8:8" s="41" customFormat="1">
      <c r="H293" s="2169"/>
    </row>
    <row r="294" spans="8:8" s="41" customFormat="1">
      <c r="H294" s="2169"/>
    </row>
    <row r="295" spans="8:8" s="41" customFormat="1">
      <c r="H295" s="2169"/>
    </row>
    <row r="296" spans="8:8" s="41" customFormat="1">
      <c r="H296" s="2169"/>
    </row>
    <row r="297" spans="8:8" s="41" customFormat="1">
      <c r="H297" s="2169"/>
    </row>
    <row r="298" spans="8:8" s="41" customFormat="1">
      <c r="H298" s="2169"/>
    </row>
    <row r="299" spans="8:8" s="41" customFormat="1">
      <c r="H299" s="2169"/>
    </row>
    <row r="300" spans="8:8" s="41" customFormat="1">
      <c r="H300" s="2169"/>
    </row>
    <row r="301" spans="8:8" s="41" customFormat="1">
      <c r="H301" s="2169"/>
    </row>
    <row r="302" spans="8:8" s="41" customFormat="1">
      <c r="H302" s="2169"/>
    </row>
    <row r="303" spans="8:8" s="41" customFormat="1">
      <c r="H303" s="2169"/>
    </row>
    <row r="304" spans="8:8" s="41" customFormat="1">
      <c r="H304" s="2169"/>
    </row>
    <row r="305" spans="8:8" s="41" customFormat="1">
      <c r="H305" s="2169"/>
    </row>
    <row r="306" spans="8:8" s="41" customFormat="1">
      <c r="H306" s="2169"/>
    </row>
    <row r="307" spans="8:8" s="41" customFormat="1">
      <c r="H307" s="2169"/>
    </row>
    <row r="308" spans="8:8" s="41" customFormat="1">
      <c r="H308" s="2169"/>
    </row>
    <row r="309" spans="8:8" s="41" customFormat="1">
      <c r="H309" s="2169"/>
    </row>
    <row r="310" spans="8:8" s="41" customFormat="1">
      <c r="H310" s="2169"/>
    </row>
    <row r="311" spans="8:8" s="41" customFormat="1">
      <c r="H311" s="2169"/>
    </row>
    <row r="312" spans="8:8" s="41" customFormat="1">
      <c r="H312" s="2169"/>
    </row>
    <row r="313" spans="8:8" s="41" customFormat="1">
      <c r="H313" s="2169"/>
    </row>
    <row r="314" spans="8:8" s="41" customFormat="1">
      <c r="H314" s="2169"/>
    </row>
    <row r="315" spans="8:8" s="41" customFormat="1">
      <c r="H315" s="2169"/>
    </row>
    <row r="316" spans="8:8" s="41" customFormat="1">
      <c r="H316" s="2169"/>
    </row>
    <row r="317" spans="8:8" s="41" customFormat="1">
      <c r="H317" s="2169"/>
    </row>
    <row r="318" spans="8:8" s="41" customFormat="1">
      <c r="H318" s="2169"/>
    </row>
    <row r="319" spans="8:8" s="41" customFormat="1">
      <c r="H319" s="2169"/>
    </row>
    <row r="320" spans="8:8" s="41" customFormat="1">
      <c r="H320" s="2169"/>
    </row>
    <row r="321" spans="8:8" s="41" customFormat="1">
      <c r="H321" s="2169"/>
    </row>
    <row r="322" spans="8:8" s="41" customFormat="1">
      <c r="H322" s="2169"/>
    </row>
    <row r="323" spans="8:8" s="41" customFormat="1">
      <c r="H323" s="2169"/>
    </row>
    <row r="324" spans="8:8" s="41" customFormat="1">
      <c r="H324" s="2169"/>
    </row>
    <row r="325" spans="8:8" s="41" customFormat="1">
      <c r="H325" s="2169"/>
    </row>
    <row r="326" spans="8:8" s="41" customFormat="1">
      <c r="H326" s="2169"/>
    </row>
    <row r="327" spans="8:8" s="41" customFormat="1">
      <c r="H327" s="2169"/>
    </row>
    <row r="328" spans="8:8" s="41" customFormat="1">
      <c r="H328" s="2169"/>
    </row>
    <row r="329" spans="8:8" s="41" customFormat="1">
      <c r="H329" s="2169"/>
    </row>
    <row r="330" spans="8:8" s="41" customFormat="1">
      <c r="H330" s="2169"/>
    </row>
    <row r="331" spans="8:8" s="41" customFormat="1">
      <c r="H331" s="2169"/>
    </row>
    <row r="332" spans="8:8" s="41" customFormat="1">
      <c r="H332" s="2169"/>
    </row>
    <row r="333" spans="8:8" s="41" customFormat="1">
      <c r="H333" s="2169"/>
    </row>
    <row r="334" spans="8:8" s="41" customFormat="1">
      <c r="H334" s="2169"/>
    </row>
    <row r="335" spans="8:8" s="41" customFormat="1">
      <c r="H335" s="2169"/>
    </row>
    <row r="336" spans="8:8" s="41" customFormat="1">
      <c r="H336" s="2169"/>
    </row>
    <row r="337" spans="8:8" s="41" customFormat="1">
      <c r="H337" s="2169"/>
    </row>
    <row r="338" spans="8:8" s="41" customFormat="1">
      <c r="H338" s="2169"/>
    </row>
    <row r="339" spans="8:8" s="41" customFormat="1">
      <c r="H339" s="2169"/>
    </row>
    <row r="340" spans="8:8" s="41" customFormat="1">
      <c r="H340" s="2169"/>
    </row>
    <row r="341" spans="8:8" s="41" customFormat="1">
      <c r="H341" s="2169"/>
    </row>
    <row r="342" spans="8:8" s="41" customFormat="1">
      <c r="H342" s="2169"/>
    </row>
    <row r="343" spans="8:8" s="41" customFormat="1">
      <c r="H343" s="2169"/>
    </row>
    <row r="344" spans="8:8" s="41" customFormat="1">
      <c r="H344" s="2169"/>
    </row>
    <row r="345" spans="8:8" s="41" customFormat="1">
      <c r="H345" s="2169"/>
    </row>
    <row r="346" spans="8:8" s="41" customFormat="1">
      <c r="H346" s="2169"/>
    </row>
    <row r="347" spans="8:8" s="41" customFormat="1">
      <c r="H347" s="2169"/>
    </row>
    <row r="348" spans="8:8" s="41" customFormat="1">
      <c r="H348" s="2169"/>
    </row>
    <row r="349" spans="8:8" s="41" customFormat="1">
      <c r="H349" s="2169"/>
    </row>
    <row r="350" spans="8:8" s="41" customFormat="1">
      <c r="H350" s="2169"/>
    </row>
    <row r="351" spans="8:8" s="41" customFormat="1">
      <c r="H351" s="2169"/>
    </row>
    <row r="352" spans="8:8" s="41" customFormat="1">
      <c r="H352" s="2169"/>
    </row>
    <row r="353" spans="8:8" s="41" customFormat="1">
      <c r="H353" s="2169"/>
    </row>
    <row r="354" spans="8:8" s="41" customFormat="1">
      <c r="H354" s="2169"/>
    </row>
    <row r="355" spans="8:8" s="41" customFormat="1">
      <c r="H355" s="2169"/>
    </row>
    <row r="356" spans="8:8" s="41" customFormat="1">
      <c r="H356" s="2169"/>
    </row>
    <row r="357" spans="8:8" s="41" customFormat="1">
      <c r="H357" s="2169"/>
    </row>
    <row r="358" spans="8:8" s="41" customFormat="1">
      <c r="H358" s="2169"/>
    </row>
    <row r="359" spans="8:8" s="41" customFormat="1">
      <c r="H359" s="2169"/>
    </row>
    <row r="360" spans="8:8" s="41" customFormat="1">
      <c r="H360" s="2169"/>
    </row>
    <row r="361" spans="8:8" s="41" customFormat="1">
      <c r="H361" s="2169"/>
    </row>
    <row r="362" spans="8:8" s="41" customFormat="1">
      <c r="H362" s="2169"/>
    </row>
    <row r="363" spans="8:8" s="41" customFormat="1">
      <c r="H363" s="2169"/>
    </row>
    <row r="364" spans="8:8" s="41" customFormat="1">
      <c r="H364" s="2169"/>
    </row>
    <row r="365" spans="8:8" s="41" customFormat="1">
      <c r="H365" s="2169"/>
    </row>
    <row r="366" spans="8:8" s="41" customFormat="1">
      <c r="H366" s="2169"/>
    </row>
    <row r="367" spans="8:8" s="41" customFormat="1">
      <c r="H367" s="2169"/>
    </row>
    <row r="368" spans="8:8" s="41" customFormat="1">
      <c r="H368" s="2169"/>
    </row>
    <row r="369" spans="8:8" s="41" customFormat="1">
      <c r="H369" s="2169"/>
    </row>
    <row r="370" spans="8:8" s="41" customFormat="1">
      <c r="H370" s="2169"/>
    </row>
    <row r="371" spans="8:8" s="41" customFormat="1">
      <c r="H371" s="2169"/>
    </row>
    <row r="372" spans="8:8" s="41" customFormat="1">
      <c r="H372" s="2169"/>
    </row>
    <row r="373" spans="8:8" s="41" customFormat="1">
      <c r="H373" s="2169"/>
    </row>
    <row r="374" spans="8:8" s="41" customFormat="1">
      <c r="H374" s="2169"/>
    </row>
    <row r="375" spans="8:8" s="41" customFormat="1">
      <c r="H375" s="2169"/>
    </row>
    <row r="376" spans="8:8" s="41" customFormat="1">
      <c r="H376" s="2169"/>
    </row>
    <row r="377" spans="8:8" s="41" customFormat="1">
      <c r="H377" s="2169"/>
    </row>
    <row r="378" spans="8:8" s="41" customFormat="1">
      <c r="H378" s="2169"/>
    </row>
    <row r="379" spans="8:8" s="41" customFormat="1">
      <c r="H379" s="2169"/>
    </row>
    <row r="380" spans="8:8" s="41" customFormat="1">
      <c r="H380" s="2169"/>
    </row>
    <row r="381" spans="8:8" s="41" customFormat="1">
      <c r="H381" s="2169"/>
    </row>
    <row r="382" spans="8:8" s="41" customFormat="1">
      <c r="H382" s="2169"/>
    </row>
    <row r="383" spans="8:8" s="41" customFormat="1">
      <c r="H383" s="2169"/>
    </row>
    <row r="384" spans="8:8" s="41" customFormat="1">
      <c r="H384" s="2169"/>
    </row>
    <row r="385" spans="8:8" s="41" customFormat="1">
      <c r="H385" s="2169"/>
    </row>
    <row r="386" spans="8:8" s="41" customFormat="1">
      <c r="H386" s="2169"/>
    </row>
    <row r="387" spans="8:8" s="41" customFormat="1">
      <c r="H387" s="2169"/>
    </row>
    <row r="388" spans="8:8" s="41" customFormat="1">
      <c r="H388" s="2169"/>
    </row>
    <row r="389" spans="8:8" s="41" customFormat="1">
      <c r="H389" s="2169"/>
    </row>
    <row r="390" spans="8:8" s="41" customFormat="1">
      <c r="H390" s="2169"/>
    </row>
    <row r="391" spans="8:8" s="41" customFormat="1">
      <c r="H391" s="2169"/>
    </row>
    <row r="392" spans="8:8" s="41" customFormat="1">
      <c r="H392" s="2169"/>
    </row>
    <row r="393" spans="8:8" s="41" customFormat="1">
      <c r="H393" s="2169"/>
    </row>
    <row r="394" spans="8:8" s="41" customFormat="1">
      <c r="H394" s="2169"/>
    </row>
    <row r="395" spans="8:8" s="41" customFormat="1">
      <c r="H395" s="2169"/>
    </row>
    <row r="396" spans="8:8" s="41" customFormat="1">
      <c r="H396" s="2169"/>
    </row>
    <row r="397" spans="8:8" s="41" customFormat="1">
      <c r="H397" s="2169"/>
    </row>
    <row r="398" spans="8:8" s="41" customFormat="1">
      <c r="H398" s="2169"/>
    </row>
    <row r="399" spans="8:8" s="41" customFormat="1">
      <c r="H399" s="2169"/>
    </row>
    <row r="400" spans="8:8" s="41" customFormat="1">
      <c r="H400" s="2169"/>
    </row>
    <row r="401" spans="8:8" s="41" customFormat="1">
      <c r="H401" s="2169"/>
    </row>
    <row r="402" spans="8:8" s="41" customFormat="1">
      <c r="H402" s="2169"/>
    </row>
    <row r="403" spans="8:8" s="41" customFormat="1">
      <c r="H403" s="2169"/>
    </row>
    <row r="404" spans="8:8" s="41" customFormat="1">
      <c r="H404" s="2169"/>
    </row>
    <row r="405" spans="8:8" s="41" customFormat="1">
      <c r="H405" s="2169"/>
    </row>
    <row r="406" spans="8:8" s="41" customFormat="1">
      <c r="H406" s="2169"/>
    </row>
    <row r="407" spans="8:8" s="41" customFormat="1">
      <c r="H407" s="2169"/>
    </row>
    <row r="408" spans="8:8" s="41" customFormat="1">
      <c r="H408" s="2169"/>
    </row>
    <row r="409" spans="8:8" s="41" customFormat="1">
      <c r="H409" s="2169"/>
    </row>
    <row r="410" spans="8:8" s="41" customFormat="1">
      <c r="H410" s="2169"/>
    </row>
    <row r="411" spans="8:8" s="41" customFormat="1">
      <c r="H411" s="2169"/>
    </row>
    <row r="412" spans="8:8" s="41" customFormat="1">
      <c r="H412" s="2169"/>
    </row>
    <row r="413" spans="8:8" s="41" customFormat="1">
      <c r="H413" s="2169"/>
    </row>
    <row r="414" spans="8:8" s="41" customFormat="1">
      <c r="H414" s="2169"/>
    </row>
    <row r="415" spans="8:8" s="41" customFormat="1">
      <c r="H415" s="2169"/>
    </row>
    <row r="416" spans="8:8" s="41" customFormat="1">
      <c r="H416" s="2169"/>
    </row>
    <row r="417" spans="8:8" s="41" customFormat="1">
      <c r="H417" s="2169"/>
    </row>
    <row r="418" spans="8:8" s="41" customFormat="1">
      <c r="H418" s="2169"/>
    </row>
    <row r="419" spans="8:8" s="41" customFormat="1">
      <c r="H419" s="2169"/>
    </row>
    <row r="420" spans="8:8" s="41" customFormat="1">
      <c r="H420" s="2169"/>
    </row>
    <row r="421" spans="8:8" s="41" customFormat="1">
      <c r="H421" s="2169"/>
    </row>
    <row r="422" spans="8:8" s="41" customFormat="1">
      <c r="H422" s="2169"/>
    </row>
    <row r="423" spans="8:8" s="41" customFormat="1">
      <c r="H423" s="2169"/>
    </row>
    <row r="424" spans="8:8" s="41" customFormat="1">
      <c r="H424" s="2169"/>
    </row>
    <row r="425" spans="8:8" s="41" customFormat="1">
      <c r="H425" s="2169"/>
    </row>
    <row r="426" spans="8:8" s="41" customFormat="1">
      <c r="H426" s="2169"/>
    </row>
    <row r="427" spans="8:8" s="41" customFormat="1">
      <c r="H427" s="2169"/>
    </row>
    <row r="428" spans="8:8" s="41" customFormat="1">
      <c r="H428" s="2169"/>
    </row>
    <row r="429" spans="8:8" s="41" customFormat="1">
      <c r="H429" s="2169"/>
    </row>
    <row r="430" spans="8:8" s="41" customFormat="1">
      <c r="H430" s="2169"/>
    </row>
    <row r="431" spans="8:8" s="41" customFormat="1">
      <c r="H431" s="2169"/>
    </row>
    <row r="432" spans="8:8" s="41" customFormat="1">
      <c r="H432" s="2169"/>
    </row>
    <row r="433" spans="8:8" s="41" customFormat="1">
      <c r="H433" s="2169"/>
    </row>
    <row r="434" spans="8:8" s="41" customFormat="1">
      <c r="H434" s="2169"/>
    </row>
    <row r="435" spans="8:8" s="41" customFormat="1">
      <c r="H435" s="2169"/>
    </row>
    <row r="436" spans="8:8" s="41" customFormat="1">
      <c r="H436" s="2169"/>
    </row>
    <row r="437" spans="8:8" s="41" customFormat="1">
      <c r="H437" s="2169"/>
    </row>
    <row r="438" spans="8:8" s="41" customFormat="1">
      <c r="H438" s="2169"/>
    </row>
    <row r="439" spans="8:8" s="41" customFormat="1">
      <c r="H439" s="2169"/>
    </row>
    <row r="440" spans="8:8" s="41" customFormat="1">
      <c r="H440" s="2169"/>
    </row>
    <row r="441" spans="8:8" s="41" customFormat="1">
      <c r="H441" s="2169"/>
    </row>
    <row r="442" spans="8:8" s="41" customFormat="1">
      <c r="H442" s="2169"/>
    </row>
    <row r="443" spans="8:8" s="41" customFormat="1">
      <c r="H443" s="2169"/>
    </row>
    <row r="444" spans="8:8" s="41" customFormat="1">
      <c r="H444" s="2169"/>
    </row>
    <row r="445" spans="8:8" s="41" customFormat="1">
      <c r="H445" s="2169"/>
    </row>
    <row r="446" spans="8:8" s="41" customFormat="1">
      <c r="H446" s="2169"/>
    </row>
    <row r="447" spans="8:8" s="41" customFormat="1">
      <c r="H447" s="2169"/>
    </row>
    <row r="448" spans="8:8" s="41" customFormat="1">
      <c r="H448" s="2169"/>
    </row>
    <row r="449" spans="8:8" s="41" customFormat="1">
      <c r="H449" s="2169"/>
    </row>
    <row r="450" spans="8:8" s="41" customFormat="1">
      <c r="H450" s="2169"/>
    </row>
    <row r="451" spans="8:8" s="41" customFormat="1">
      <c r="H451" s="2169"/>
    </row>
    <row r="452" spans="8:8" s="41" customFormat="1">
      <c r="H452" s="2169"/>
    </row>
    <row r="453" spans="8:8" s="41" customFormat="1">
      <c r="H453" s="2169"/>
    </row>
    <row r="454" spans="8:8" s="41" customFormat="1">
      <c r="H454" s="2169"/>
    </row>
    <row r="455" spans="8:8" s="41" customFormat="1">
      <c r="H455" s="2169"/>
    </row>
    <row r="456" spans="8:8" s="41" customFormat="1">
      <c r="H456" s="2169"/>
    </row>
    <row r="457" spans="8:8" s="41" customFormat="1">
      <c r="H457" s="2169"/>
    </row>
    <row r="458" spans="8:8" s="41" customFormat="1">
      <c r="H458" s="2169"/>
    </row>
    <row r="459" spans="8:8" s="41" customFormat="1">
      <c r="H459" s="2169"/>
    </row>
    <row r="460" spans="8:8" s="41" customFormat="1">
      <c r="H460" s="2169"/>
    </row>
    <row r="461" spans="8:8" s="41" customFormat="1">
      <c r="H461" s="2169"/>
    </row>
    <row r="462" spans="8:8" s="41" customFormat="1">
      <c r="H462" s="2169"/>
    </row>
    <row r="463" spans="8:8" s="41" customFormat="1">
      <c r="H463" s="2169"/>
    </row>
    <row r="464" spans="8:8" s="41" customFormat="1">
      <c r="H464" s="2169"/>
    </row>
    <row r="465" spans="2:14" s="41" customFormat="1">
      <c r="H465" s="2169"/>
    </row>
    <row r="466" spans="2:14" s="41" customFormat="1">
      <c r="H466" s="2169"/>
    </row>
    <row r="467" spans="2:14" s="41" customFormat="1">
      <c r="H467" s="2169"/>
    </row>
    <row r="468" spans="2:14" s="41" customFormat="1">
      <c r="H468" s="2169"/>
    </row>
    <row r="469" spans="2:14" s="41" customFormat="1">
      <c r="H469" s="2169"/>
    </row>
    <row r="470" spans="2:14" s="41" customFormat="1">
      <c r="H470" s="2169"/>
    </row>
    <row r="471" spans="2:14" s="41" customFormat="1">
      <c r="H471" s="2169"/>
    </row>
    <row r="472" spans="2:14" s="41" customFormat="1">
      <c r="H472" s="2169"/>
    </row>
    <row r="473" spans="2:14" s="41" customFormat="1">
      <c r="H473" s="2169"/>
    </row>
    <row r="474" spans="2:14" s="41" customFormat="1">
      <c r="H474" s="2169"/>
    </row>
    <row r="475" spans="2:14" s="41" customFormat="1">
      <c r="H475" s="2169"/>
    </row>
    <row r="476" spans="2:14" s="41" customFormat="1">
      <c r="H476" s="2169"/>
    </row>
    <row r="477" spans="2:14">
      <c r="B477" s="41"/>
      <c r="C477" s="41"/>
      <c r="D477" s="41"/>
      <c r="E477" s="41"/>
      <c r="F477" s="41"/>
      <c r="G477" s="41"/>
      <c r="H477" s="2169"/>
      <c r="I477" s="41"/>
      <c r="J477" s="41"/>
      <c r="K477" s="41"/>
      <c r="L477" s="41"/>
      <c r="M477" s="41"/>
      <c r="N477" s="41"/>
    </row>
    <row r="478" spans="2:14">
      <c r="B478" s="41"/>
      <c r="C478" s="41"/>
      <c r="D478" s="41"/>
      <c r="E478" s="41"/>
      <c r="F478" s="41"/>
      <c r="G478" s="41"/>
      <c r="H478" s="2169"/>
      <c r="I478" s="41"/>
      <c r="J478" s="41"/>
      <c r="K478" s="41"/>
      <c r="L478" s="41"/>
      <c r="M478" s="41"/>
      <c r="N478" s="41"/>
    </row>
    <row r="479" spans="2:14">
      <c r="B479" s="41"/>
      <c r="C479" s="41"/>
      <c r="D479" s="41"/>
      <c r="E479" s="41"/>
      <c r="F479" s="41"/>
      <c r="G479" s="41"/>
      <c r="H479" s="2169"/>
      <c r="I479" s="41"/>
      <c r="J479" s="41"/>
      <c r="K479" s="41"/>
      <c r="L479" s="41"/>
      <c r="M479" s="41"/>
      <c r="N479" s="41"/>
    </row>
    <row r="480" spans="2:14">
      <c r="B480" s="41"/>
      <c r="C480" s="41"/>
      <c r="D480" s="41"/>
      <c r="E480" s="41"/>
      <c r="F480" s="41"/>
      <c r="G480" s="41"/>
      <c r="I480" s="41"/>
      <c r="J480" s="41"/>
      <c r="K480" s="41"/>
      <c r="L480" s="41"/>
      <c r="M480" s="41"/>
    </row>
    <row r="481" spans="2:13">
      <c r="B481" s="41"/>
      <c r="C481" s="41"/>
      <c r="D481" s="41"/>
      <c r="E481" s="41"/>
      <c r="F481" s="41"/>
      <c r="G481" s="41"/>
      <c r="I481" s="41"/>
      <c r="J481" s="41"/>
      <c r="K481" s="41"/>
      <c r="L481" s="41"/>
      <c r="M481" s="41"/>
    </row>
    <row r="482" spans="2:13">
      <c r="B482" s="41"/>
      <c r="C482" s="41"/>
      <c r="D482" s="41"/>
      <c r="E482" s="41"/>
      <c r="F482" s="41"/>
      <c r="G482" s="41"/>
      <c r="I482" s="41"/>
      <c r="J482" s="41"/>
      <c r="K482" s="41"/>
      <c r="L482" s="41"/>
      <c r="M482" s="41"/>
    </row>
    <row r="483" spans="2:13">
      <c r="B483" s="41"/>
      <c r="C483" s="41"/>
      <c r="D483" s="41"/>
      <c r="E483" s="41"/>
      <c r="F483" s="41"/>
      <c r="G483" s="41"/>
      <c r="J483" s="41"/>
      <c r="K483" s="41"/>
      <c r="L483" s="41"/>
      <c r="M483" s="41"/>
    </row>
    <row r="484" spans="2:13">
      <c r="B484" s="41"/>
      <c r="C484" s="41"/>
      <c r="D484" s="41"/>
      <c r="E484" s="41"/>
      <c r="F484" s="41"/>
      <c r="G484" s="41"/>
      <c r="J484" s="41"/>
      <c r="K484" s="41"/>
      <c r="L484" s="41"/>
      <c r="M484" s="41"/>
    </row>
  </sheetData>
  <mergeCells count="7">
    <mergeCell ref="B1:G1"/>
    <mergeCell ref="I1:M1"/>
    <mergeCell ref="I9:M9"/>
    <mergeCell ref="B56:G57"/>
    <mergeCell ref="I58:M58"/>
    <mergeCell ref="B58:G58"/>
    <mergeCell ref="G14:G15"/>
  </mergeCells>
  <pageMargins left="0.25" right="0.25" top="0.25" bottom="0.25" header="0.3" footer="0.3"/>
  <pageSetup scale="73" fitToHeight="0" orientation="portrait" r:id="rId1"/>
  <headerFooter>
    <oddFooter>&amp;R&amp;P of &amp;N</oddFooter>
  </headerFooter>
  <rowBreaks count="2" manualBreakCount="2">
    <brk id="52" min="1" max="11" man="1"/>
    <brk id="57" min="1" max="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3" tint="0.79998168889431442"/>
    <pageSetUpPr fitToPage="1"/>
  </sheetPr>
  <dimension ref="A1:EJ483"/>
  <sheetViews>
    <sheetView topLeftCell="A13" zoomScale="80" zoomScaleNormal="80" workbookViewId="0">
      <selection activeCell="E14" sqref="E14"/>
    </sheetView>
  </sheetViews>
  <sheetFormatPr defaultColWidth="9.42578125" defaultRowHeight="15"/>
  <cols>
    <col min="1" max="1" width="2.42578125" style="2" customWidth="1"/>
    <col min="2" max="2" width="30.5703125" style="2" customWidth="1"/>
    <col min="3" max="3" width="24" style="2" customWidth="1"/>
    <col min="4" max="4" width="14.42578125" style="2" customWidth="1"/>
    <col min="5" max="5" width="13.42578125" style="2" customWidth="1"/>
    <col min="6" max="6" width="50.5703125" style="2" customWidth="1"/>
    <col min="7" max="7" width="9" style="2" customWidth="1"/>
    <col min="8" max="8" width="25.5703125" style="2" customWidth="1"/>
    <col min="9" max="9" width="19.42578125" style="2" customWidth="1"/>
    <col min="10" max="10" width="14.5703125" style="2" customWidth="1"/>
    <col min="11" max="11" width="13.5703125" style="2" customWidth="1"/>
    <col min="12" max="12" width="31.5703125" style="2" customWidth="1"/>
    <col min="13" max="13" width="8.5703125" style="2" customWidth="1"/>
    <col min="14" max="14" width="9.5703125" style="36" customWidth="1"/>
    <col min="15" max="140" width="9.42578125" style="41"/>
    <col min="141" max="16384" width="9.42578125" style="2"/>
  </cols>
  <sheetData>
    <row r="1" spans="1:140" ht="15.75" thickBot="1">
      <c r="A1" s="36"/>
      <c r="B1" s="2554" t="s">
        <v>546</v>
      </c>
      <c r="C1" s="2554"/>
      <c r="D1" s="2554"/>
      <c r="E1" s="2554"/>
      <c r="F1" s="2554"/>
      <c r="G1" s="253"/>
      <c r="H1" s="2587" t="s">
        <v>578</v>
      </c>
      <c r="I1" s="2587"/>
      <c r="J1" s="2587"/>
      <c r="K1" s="2587"/>
      <c r="L1" s="2587"/>
      <c r="M1" s="36"/>
      <c r="O1" s="36"/>
      <c r="P1" s="36"/>
      <c r="Q1" s="36"/>
      <c r="R1" s="36"/>
      <c r="S1" s="36"/>
      <c r="T1" s="36"/>
      <c r="U1" s="36"/>
      <c r="V1" s="36"/>
      <c r="W1" s="36"/>
      <c r="X1" s="36"/>
      <c r="Y1" s="36"/>
      <c r="Z1" s="36"/>
      <c r="AA1" s="36"/>
      <c r="AB1" s="36"/>
      <c r="AC1" s="36"/>
      <c r="AD1" s="36"/>
      <c r="AE1" s="36"/>
      <c r="AF1" s="36"/>
      <c r="AG1" s="36"/>
      <c r="EJ1" s="2"/>
    </row>
    <row r="2" spans="1:140" ht="16.5" thickBot="1">
      <c r="A2" s="36"/>
      <c r="B2" s="36"/>
      <c r="C2" s="36"/>
      <c r="D2" s="36"/>
      <c r="E2" s="36"/>
      <c r="F2" s="36"/>
      <c r="G2" s="36"/>
      <c r="H2" s="37"/>
      <c r="I2" s="36"/>
      <c r="J2" s="36"/>
      <c r="K2" s="36"/>
      <c r="L2" s="36"/>
      <c r="M2" s="36"/>
      <c r="O2" s="36"/>
      <c r="P2" s="36"/>
      <c r="Q2" s="36"/>
      <c r="R2" s="36"/>
      <c r="S2" s="36"/>
      <c r="T2" s="36"/>
      <c r="U2" s="36"/>
      <c r="V2" s="36"/>
      <c r="W2" s="36"/>
      <c r="X2" s="36"/>
      <c r="Y2" s="36"/>
      <c r="Z2" s="36"/>
      <c r="AA2" s="36"/>
      <c r="AB2" s="36"/>
      <c r="AC2" s="36"/>
      <c r="AD2" s="36"/>
      <c r="AE2" s="36"/>
      <c r="AF2" s="36"/>
      <c r="AG2" s="36"/>
      <c r="EJ2" s="2"/>
    </row>
    <row r="3" spans="1:140">
      <c r="A3" s="36"/>
      <c r="B3" s="138" t="s">
        <v>0</v>
      </c>
      <c r="C3" s="139" t="s">
        <v>1</v>
      </c>
      <c r="D3" s="163" t="s">
        <v>2</v>
      </c>
      <c r="E3" s="39"/>
      <c r="F3" s="39"/>
      <c r="G3" s="36"/>
      <c r="H3" s="36"/>
      <c r="I3" s="36"/>
      <c r="J3" s="36"/>
      <c r="K3" s="36"/>
      <c r="L3" s="36"/>
      <c r="M3" s="36"/>
      <c r="O3" s="36"/>
      <c r="P3" s="36"/>
      <c r="Q3" s="36"/>
      <c r="R3" s="36"/>
      <c r="S3" s="36"/>
      <c r="T3" s="36"/>
      <c r="U3" s="36"/>
      <c r="V3" s="36"/>
      <c r="W3" s="36"/>
      <c r="X3" s="36"/>
      <c r="Y3" s="36"/>
      <c r="Z3" s="36"/>
      <c r="AA3" s="36"/>
      <c r="AB3" s="36"/>
      <c r="AC3" s="36"/>
      <c r="AD3" s="36"/>
      <c r="AE3" s="36"/>
      <c r="AF3" s="36"/>
      <c r="AG3" s="36"/>
      <c r="EJ3" s="2"/>
    </row>
    <row r="4" spans="1:140">
      <c r="A4" s="36"/>
      <c r="B4" s="140" t="s">
        <v>370</v>
      </c>
      <c r="C4" s="141">
        <v>15</v>
      </c>
      <c r="D4" s="164">
        <f>C4*8</f>
        <v>120</v>
      </c>
      <c r="E4" s="39"/>
      <c r="F4" s="39"/>
      <c r="G4" s="36"/>
      <c r="H4" s="36"/>
      <c r="I4" s="36"/>
      <c r="J4" s="36"/>
      <c r="K4" s="36"/>
      <c r="L4" s="36"/>
      <c r="M4" s="36"/>
      <c r="O4" s="36"/>
      <c r="P4" s="36"/>
      <c r="Q4" s="36"/>
      <c r="R4" s="36"/>
      <c r="S4" s="36"/>
      <c r="T4" s="36"/>
      <c r="U4" s="36"/>
      <c r="V4" s="36"/>
      <c r="W4" s="36"/>
      <c r="X4" s="36"/>
      <c r="Y4" s="36"/>
      <c r="Z4" s="36"/>
      <c r="AA4" s="36"/>
      <c r="AB4" s="36"/>
      <c r="AC4" s="36"/>
      <c r="AD4" s="36"/>
      <c r="AE4" s="36"/>
      <c r="AF4" s="36"/>
      <c r="AG4" s="36"/>
      <c r="EJ4" s="2"/>
    </row>
    <row r="5" spans="1:140">
      <c r="A5" s="36"/>
      <c r="B5" s="140" t="s">
        <v>378</v>
      </c>
      <c r="C5" s="141">
        <v>8</v>
      </c>
      <c r="D5" s="164">
        <f>C5*8</f>
        <v>64</v>
      </c>
      <c r="E5" s="39"/>
      <c r="F5" s="39"/>
      <c r="G5" s="36"/>
      <c r="H5" s="36"/>
      <c r="I5" s="36"/>
      <c r="J5" s="36"/>
      <c r="K5" s="36"/>
      <c r="L5" s="36"/>
      <c r="M5" s="36"/>
      <c r="O5" s="36"/>
      <c r="P5" s="36"/>
      <c r="Q5" s="36"/>
      <c r="R5" s="36"/>
      <c r="S5" s="36"/>
      <c r="T5" s="36"/>
      <c r="U5" s="36"/>
      <c r="V5" s="36"/>
      <c r="W5" s="36"/>
      <c r="X5" s="36"/>
      <c r="Y5" s="36"/>
      <c r="Z5" s="36"/>
      <c r="AA5" s="36"/>
      <c r="AB5" s="36"/>
      <c r="AC5" s="36"/>
      <c r="AD5" s="36"/>
      <c r="AE5" s="36"/>
      <c r="AF5" s="36"/>
      <c r="AG5" s="36"/>
      <c r="EJ5" s="2"/>
    </row>
    <row r="6" spans="1:140">
      <c r="A6" s="36"/>
      <c r="B6" s="140" t="s">
        <v>372</v>
      </c>
      <c r="C6" s="141">
        <v>10</v>
      </c>
      <c r="D6" s="164">
        <f>C6*8</f>
        <v>80</v>
      </c>
      <c r="E6" s="39"/>
      <c r="F6" s="39"/>
      <c r="G6" s="36"/>
      <c r="H6" s="36"/>
      <c r="I6" s="36"/>
      <c r="J6" s="36"/>
      <c r="K6" s="36"/>
      <c r="L6" s="36"/>
      <c r="M6" s="36"/>
      <c r="O6" s="36"/>
      <c r="P6" s="36"/>
      <c r="Q6" s="36"/>
      <c r="R6" s="36"/>
      <c r="S6" s="36"/>
      <c r="T6" s="36"/>
      <c r="U6" s="36"/>
      <c r="V6" s="36"/>
      <c r="W6" s="36"/>
      <c r="X6" s="36"/>
      <c r="Y6" s="36"/>
      <c r="Z6" s="36"/>
      <c r="AA6" s="36"/>
      <c r="AB6" s="36"/>
      <c r="AC6" s="36"/>
      <c r="AD6" s="36"/>
      <c r="AE6" s="36"/>
      <c r="AF6" s="36"/>
      <c r="AG6" s="36"/>
      <c r="EJ6" s="2"/>
    </row>
    <row r="7" spans="1:140">
      <c r="A7" s="36"/>
      <c r="B7" s="142" t="s">
        <v>902</v>
      </c>
      <c r="C7" s="141">
        <v>5</v>
      </c>
      <c r="D7" s="165">
        <f>C7*8</f>
        <v>40</v>
      </c>
      <c r="E7" s="39"/>
      <c r="F7" s="39"/>
      <c r="G7" s="36"/>
      <c r="H7" s="36"/>
      <c r="I7" s="36"/>
      <c r="J7" s="36"/>
      <c r="K7" s="36"/>
      <c r="L7" s="36"/>
      <c r="M7" s="36"/>
      <c r="O7" s="36"/>
      <c r="P7" s="36"/>
      <c r="Q7" s="36"/>
      <c r="R7" s="36"/>
      <c r="S7" s="36"/>
      <c r="T7" s="36"/>
      <c r="U7" s="36"/>
      <c r="V7" s="36"/>
      <c r="W7" s="36"/>
      <c r="X7" s="36"/>
      <c r="Y7" s="36"/>
      <c r="Z7" s="36"/>
      <c r="AA7" s="36"/>
      <c r="AB7" s="36"/>
      <c r="AC7" s="36"/>
      <c r="AD7" s="36"/>
      <c r="AE7" s="36"/>
      <c r="AF7" s="36"/>
      <c r="AG7" s="36"/>
      <c r="EJ7" s="2"/>
    </row>
    <row r="8" spans="1:140" ht="15.75" thickBot="1">
      <c r="A8" s="36"/>
      <c r="B8" s="140"/>
      <c r="C8" s="143" t="s">
        <v>3</v>
      </c>
      <c r="D8" s="164">
        <f>SUM(D4:D7)</f>
        <v>304</v>
      </c>
      <c r="E8" s="39"/>
      <c r="F8" s="39"/>
      <c r="G8" s="36"/>
      <c r="H8" s="36"/>
      <c r="I8" s="36"/>
      <c r="J8" s="36"/>
      <c r="K8" s="36"/>
      <c r="L8" s="36"/>
      <c r="M8" s="36"/>
      <c r="O8" s="36"/>
      <c r="P8" s="36"/>
      <c r="Q8" s="36"/>
      <c r="R8" s="36"/>
      <c r="S8" s="36"/>
      <c r="T8" s="36"/>
      <c r="U8" s="36"/>
      <c r="V8" s="36"/>
      <c r="W8" s="36"/>
      <c r="X8" s="36"/>
      <c r="Y8" s="36"/>
      <c r="Z8" s="36"/>
      <c r="AA8" s="36"/>
      <c r="AB8" s="36"/>
      <c r="AC8" s="36"/>
      <c r="AD8" s="36"/>
      <c r="AE8" s="36"/>
      <c r="AF8" s="36"/>
      <c r="AG8" s="36"/>
      <c r="EJ8" s="2"/>
    </row>
    <row r="9" spans="1:140" ht="15.75" thickBot="1">
      <c r="A9" s="36"/>
      <c r="B9" s="144"/>
      <c r="C9" s="145" t="s">
        <v>4</v>
      </c>
      <c r="D9" s="166">
        <f>D8/(52*40)</f>
        <v>0.14615384615384616</v>
      </c>
      <c r="E9" s="39"/>
      <c r="F9" s="40"/>
      <c r="G9" s="36"/>
      <c r="H9" s="2613" t="s">
        <v>579</v>
      </c>
      <c r="I9" s="2614"/>
      <c r="J9" s="2614"/>
      <c r="K9" s="2614"/>
      <c r="L9" s="2615"/>
      <c r="M9" s="36"/>
      <c r="O9" s="36"/>
      <c r="P9" s="36"/>
      <c r="Q9" s="36"/>
      <c r="R9" s="36"/>
      <c r="S9" s="36"/>
      <c r="T9" s="36"/>
      <c r="U9" s="36"/>
      <c r="V9" s="36"/>
      <c r="W9" s="36"/>
      <c r="X9" s="36"/>
      <c r="Y9" s="36"/>
      <c r="Z9" s="36"/>
      <c r="AA9" s="36"/>
      <c r="AB9" s="36"/>
      <c r="AC9" s="36"/>
      <c r="AD9" s="36"/>
      <c r="AE9" s="36"/>
      <c r="AF9" s="36"/>
      <c r="AG9" s="36"/>
      <c r="EJ9" s="2"/>
    </row>
    <row r="10" spans="1:140" ht="15.75" thickBot="1">
      <c r="A10" s="36"/>
      <c r="B10" s="36"/>
      <c r="C10" s="36"/>
      <c r="D10" s="36"/>
      <c r="E10" s="36"/>
      <c r="F10" s="36"/>
      <c r="G10" s="36"/>
      <c r="H10" s="146" t="s">
        <v>277</v>
      </c>
      <c r="I10" s="147">
        <v>5</v>
      </c>
      <c r="J10" s="148"/>
      <c r="K10" s="149" t="s">
        <v>133</v>
      </c>
      <c r="L10" s="150">
        <f>I10*365</f>
        <v>1825</v>
      </c>
      <c r="M10" s="36"/>
      <c r="O10" s="36"/>
      <c r="P10" s="36"/>
      <c r="Q10" s="36"/>
      <c r="R10" s="36"/>
      <c r="S10" s="36"/>
      <c r="T10" s="36"/>
      <c r="U10" s="36"/>
      <c r="V10" s="36"/>
      <c r="W10" s="36"/>
      <c r="X10" s="36"/>
      <c r="Y10" s="36"/>
      <c r="Z10" s="36"/>
      <c r="AA10" s="36"/>
      <c r="AB10" s="36"/>
      <c r="AC10" s="36"/>
      <c r="AD10" s="36"/>
      <c r="AE10" s="36"/>
      <c r="AF10" s="36"/>
      <c r="AG10" s="36"/>
      <c r="EJ10" s="2"/>
    </row>
    <row r="11" spans="1:140" ht="26.25">
      <c r="A11" s="36"/>
      <c r="B11" s="42"/>
      <c r="C11" s="153"/>
      <c r="D11" s="153" t="s">
        <v>41</v>
      </c>
      <c r="E11" s="1545"/>
      <c r="F11" s="176" t="s">
        <v>278</v>
      </c>
      <c r="G11" s="36"/>
      <c r="H11" s="106"/>
      <c r="I11" s="53"/>
      <c r="J11" s="54" t="s">
        <v>5</v>
      </c>
      <c r="K11" s="54" t="s">
        <v>6</v>
      </c>
      <c r="L11" s="107" t="s">
        <v>7</v>
      </c>
      <c r="M11" s="36"/>
      <c r="O11" s="36"/>
      <c r="P11" s="36"/>
      <c r="Q11" s="36"/>
      <c r="R11" s="36"/>
      <c r="S11" s="36"/>
      <c r="T11" s="36"/>
      <c r="U11" s="36"/>
      <c r="V11" s="36"/>
      <c r="W11" s="36"/>
      <c r="X11" s="36"/>
      <c r="Y11" s="36"/>
      <c r="Z11" s="36"/>
      <c r="AA11" s="36"/>
      <c r="AB11" s="36"/>
      <c r="AC11" s="36"/>
      <c r="AD11" s="36"/>
      <c r="AE11" s="36"/>
      <c r="AF11" s="36"/>
      <c r="AG11" s="36"/>
      <c r="EJ11" s="2"/>
    </row>
    <row r="12" spans="1:140">
      <c r="A12" s="36"/>
      <c r="B12" s="44" t="s">
        <v>29</v>
      </c>
      <c r="C12" s="45"/>
      <c r="D12" s="46"/>
      <c r="E12" s="383"/>
      <c r="F12" s="301"/>
      <c r="G12" s="36"/>
      <c r="H12" s="100" t="str">
        <f t="shared" ref="H12:H20" si="0">B12</f>
        <v>Management</v>
      </c>
      <c r="I12" s="55"/>
      <c r="J12" s="56"/>
      <c r="K12" s="56"/>
      <c r="L12" s="108"/>
      <c r="M12" s="36"/>
      <c r="O12" s="36"/>
      <c r="P12" s="36"/>
      <c r="Q12" s="36"/>
      <c r="R12" s="36"/>
      <c r="S12" s="36"/>
      <c r="T12" s="36"/>
      <c r="U12" s="36"/>
      <c r="V12" s="36"/>
      <c r="W12" s="36"/>
      <c r="X12" s="36"/>
      <c r="Y12" s="36"/>
      <c r="Z12" s="36"/>
      <c r="AA12" s="36"/>
      <c r="AB12" s="36"/>
      <c r="AC12" s="36"/>
      <c r="AD12" s="36"/>
      <c r="AE12" s="36"/>
      <c r="AF12" s="36"/>
      <c r="AG12" s="36"/>
      <c r="EJ12" s="2"/>
    </row>
    <row r="13" spans="1:140">
      <c r="A13" s="36"/>
      <c r="B13" s="48" t="s">
        <v>421</v>
      </c>
      <c r="C13" s="85"/>
      <c r="D13" s="46">
        <f>'Integrated Team (FY21)'!E15</f>
        <v>92496.84919424048</v>
      </c>
      <c r="E13" s="383"/>
      <c r="F13" s="304" t="str">
        <f>'Int_DBT(FY21)'!G13</f>
        <v>FY16 UFR, Weighted Average, Program Function Manager</v>
      </c>
      <c r="G13" s="36"/>
      <c r="H13" s="104" t="str">
        <f t="shared" si="0"/>
        <v xml:space="preserve">  Management Supervision</v>
      </c>
      <c r="I13" s="57"/>
      <c r="J13" s="378">
        <f>'Integrated Team (FY21)'!E15</f>
        <v>92496.84919424048</v>
      </c>
      <c r="K13" s="59">
        <f>C44</f>
        <v>0.1</v>
      </c>
      <c r="L13" s="110">
        <f>J13*K13</f>
        <v>9249.6849194240476</v>
      </c>
      <c r="M13" s="36"/>
      <c r="O13" s="36"/>
      <c r="P13" s="36"/>
      <c r="Q13" s="36"/>
      <c r="R13" s="36"/>
      <c r="S13" s="36"/>
      <c r="T13" s="36"/>
      <c r="U13" s="36"/>
      <c r="V13" s="36"/>
      <c r="W13" s="36"/>
      <c r="X13" s="36"/>
      <c r="Y13" s="36"/>
      <c r="Z13" s="36"/>
      <c r="AA13" s="36"/>
      <c r="AB13" s="36"/>
      <c r="AC13" s="36"/>
      <c r="AD13" s="36"/>
      <c r="AE13" s="36"/>
      <c r="AF13" s="36"/>
      <c r="AG13" s="36"/>
      <c r="EJ13" s="2"/>
    </row>
    <row r="14" spans="1:140" ht="26.25">
      <c r="A14" s="36"/>
      <c r="B14" s="48" t="s">
        <v>402</v>
      </c>
      <c r="C14" s="85"/>
      <c r="D14" s="1651">
        <f>'Integrated Team (FY21)'!E14</f>
        <v>53840</v>
      </c>
      <c r="E14" s="956">
        <v>60923</v>
      </c>
      <c r="F14" s="49" t="str">
        <f>'Int_DBT(FY21)'!G14</f>
        <v>FY15 UFR, Weighted Average, Assistant Director (LICSW Level) / Previous Proposed Benchmark</v>
      </c>
      <c r="G14" s="36"/>
      <c r="H14" s="104" t="str">
        <f t="shared" si="0"/>
        <v xml:space="preserve">  Specialty Site Manager</v>
      </c>
      <c r="I14" s="57"/>
      <c r="J14" s="1653">
        <f>E14</f>
        <v>60923</v>
      </c>
      <c r="K14" s="59">
        <f>C45</f>
        <v>1</v>
      </c>
      <c r="L14" s="110">
        <f>J14*K14</f>
        <v>60923</v>
      </c>
      <c r="M14" s="36"/>
      <c r="O14" s="36"/>
      <c r="P14" s="36"/>
      <c r="Q14" s="36"/>
      <c r="R14" s="36"/>
      <c r="S14" s="36"/>
      <c r="T14" s="36"/>
      <c r="U14" s="36"/>
      <c r="V14" s="36"/>
      <c r="W14" s="36"/>
      <c r="X14" s="36"/>
      <c r="Y14" s="36"/>
      <c r="Z14" s="36"/>
      <c r="AA14" s="36"/>
      <c r="AB14" s="36"/>
      <c r="AC14" s="36"/>
      <c r="AD14" s="36"/>
      <c r="AE14" s="36"/>
      <c r="AF14" s="36"/>
      <c r="AG14" s="36"/>
      <c r="EJ14" s="2"/>
    </row>
    <row r="15" spans="1:140">
      <c r="A15" s="36"/>
      <c r="B15" s="44" t="s">
        <v>30</v>
      </c>
      <c r="C15" s="85"/>
      <c r="D15" s="46"/>
      <c r="E15" s="50"/>
      <c r="F15" s="304"/>
      <c r="G15" s="36"/>
      <c r="H15" s="100" t="str">
        <f t="shared" si="0"/>
        <v>Medical and Clinical</v>
      </c>
      <c r="I15" s="57"/>
      <c r="J15" s="58"/>
      <c r="K15" s="59"/>
      <c r="L15" s="110"/>
      <c r="M15" s="36"/>
      <c r="O15" s="36"/>
      <c r="P15" s="36"/>
      <c r="Q15" s="36"/>
      <c r="R15" s="36"/>
      <c r="S15" s="36"/>
      <c r="T15" s="36"/>
      <c r="U15" s="36"/>
      <c r="V15" s="36"/>
      <c r="W15" s="36"/>
      <c r="X15" s="36"/>
      <c r="Y15" s="36"/>
      <c r="Z15" s="36"/>
      <c r="AA15" s="36"/>
      <c r="AB15" s="36"/>
      <c r="AC15" s="36"/>
      <c r="AD15" s="36"/>
      <c r="AE15" s="36"/>
      <c r="AF15" s="36"/>
      <c r="AG15" s="36"/>
      <c r="EJ15" s="2"/>
    </row>
    <row r="16" spans="1:140" ht="26.25" customHeight="1">
      <c r="A16" s="36"/>
      <c r="B16" s="374" t="s">
        <v>436</v>
      </c>
      <c r="C16" s="381"/>
      <c r="D16" s="1547">
        <v>60923.199999999997</v>
      </c>
      <c r="E16" s="50"/>
      <c r="F16" s="49" t="s">
        <v>886</v>
      </c>
      <c r="G16" s="387"/>
      <c r="H16" s="385" t="str">
        <f t="shared" si="0"/>
        <v xml:space="preserve">   LPHA</v>
      </c>
      <c r="I16" s="377"/>
      <c r="J16" s="1540">
        <f>D16</f>
        <v>60923.199999999997</v>
      </c>
      <c r="K16" s="382">
        <f>C47</f>
        <v>1</v>
      </c>
      <c r="L16" s="379">
        <f>J16*K16</f>
        <v>60923.199999999997</v>
      </c>
      <c r="M16" s="36"/>
      <c r="O16" s="36"/>
      <c r="P16" s="36"/>
      <c r="Q16" s="36"/>
      <c r="R16" s="36"/>
      <c r="S16" s="36"/>
      <c r="T16" s="36"/>
      <c r="U16" s="36"/>
      <c r="V16" s="36"/>
      <c r="W16" s="36"/>
      <c r="X16" s="36"/>
      <c r="Y16" s="36"/>
      <c r="Z16" s="36"/>
      <c r="AA16" s="36"/>
      <c r="AB16" s="36"/>
      <c r="AC16" s="36"/>
      <c r="AD16" s="36"/>
      <c r="AE16" s="36"/>
      <c r="AF16" s="36"/>
      <c r="AG16" s="36"/>
      <c r="EJ16" s="2"/>
    </row>
    <row r="17" spans="1:140">
      <c r="A17" s="36"/>
      <c r="B17" s="79" t="str">
        <f>Med_Int_Spec!B18</f>
        <v xml:space="preserve">  Certified Nursing Assistant (CNA)</v>
      </c>
      <c r="C17" s="85"/>
      <c r="D17" s="1546">
        <v>32302.399999999998</v>
      </c>
      <c r="E17" s="50"/>
      <c r="F17" s="49" t="s">
        <v>886</v>
      </c>
      <c r="G17" s="36"/>
      <c r="H17" s="104" t="str">
        <f t="shared" si="0"/>
        <v xml:space="preserve">  Certified Nursing Assistant (CNA)</v>
      </c>
      <c r="I17" s="57"/>
      <c r="J17" s="1541">
        <f>D17</f>
        <v>32302.399999999998</v>
      </c>
      <c r="K17" s="59">
        <f>C48</f>
        <v>1.4</v>
      </c>
      <c r="L17" s="110">
        <f>J17*K17</f>
        <v>45223.359999999993</v>
      </c>
      <c r="M17" s="167"/>
      <c r="O17" s="36"/>
      <c r="P17" s="36"/>
      <c r="Q17" s="36"/>
      <c r="R17" s="36"/>
      <c r="S17" s="36"/>
      <c r="T17" s="36"/>
      <c r="U17" s="36"/>
      <c r="V17" s="36"/>
      <c r="W17" s="36"/>
      <c r="X17" s="36"/>
      <c r="Y17" s="36"/>
      <c r="Z17" s="36"/>
      <c r="AA17" s="36"/>
      <c r="AB17" s="36"/>
      <c r="AC17" s="36"/>
      <c r="AD17" s="36"/>
      <c r="AE17" s="36"/>
      <c r="AF17" s="36"/>
      <c r="AG17" s="36"/>
      <c r="EJ17" s="2"/>
    </row>
    <row r="18" spans="1:140">
      <c r="A18" s="36"/>
      <c r="B18" s="44" t="s">
        <v>31</v>
      </c>
      <c r="C18" s="85"/>
      <c r="D18" s="50"/>
      <c r="E18" s="50"/>
      <c r="F18" s="386">
        <f>'Int_DBT(FY21)'!G18</f>
        <v>0</v>
      </c>
      <c r="G18" s="36"/>
      <c r="H18" s="100" t="str">
        <f t="shared" si="0"/>
        <v>Direct Care</v>
      </c>
      <c r="I18" s="57"/>
      <c r="J18" s="58"/>
      <c r="K18" s="59"/>
      <c r="L18" s="110"/>
      <c r="M18" s="167"/>
      <c r="O18" s="36"/>
      <c r="P18" s="36"/>
      <c r="Q18" s="36"/>
      <c r="R18" s="36"/>
      <c r="S18" s="36"/>
      <c r="T18" s="36"/>
      <c r="U18" s="36"/>
      <c r="V18" s="36"/>
      <c r="W18" s="36"/>
      <c r="X18" s="36"/>
      <c r="Y18" s="36"/>
      <c r="Z18" s="36"/>
      <c r="AA18" s="36"/>
      <c r="AB18" s="36"/>
      <c r="AC18" s="36"/>
      <c r="AD18" s="36"/>
      <c r="AE18" s="36"/>
      <c r="AF18" s="36"/>
      <c r="AG18" s="36"/>
      <c r="EJ18" s="2"/>
    </row>
    <row r="19" spans="1:140">
      <c r="A19" s="36"/>
      <c r="B19" s="48" t="s">
        <v>912</v>
      </c>
      <c r="C19" s="85"/>
      <c r="D19" s="1546">
        <v>41517</v>
      </c>
      <c r="E19" s="50"/>
      <c r="F19" s="49" t="s">
        <v>886</v>
      </c>
      <c r="G19" s="36"/>
      <c r="H19" s="104" t="str">
        <f t="shared" si="0"/>
        <v xml:space="preserve">    Direct Care III</v>
      </c>
      <c r="I19" s="57"/>
      <c r="J19" s="1541">
        <f>D19</f>
        <v>41517</v>
      </c>
      <c r="K19" s="1548">
        <f>C50</f>
        <v>5.8</v>
      </c>
      <c r="L19" s="110">
        <f>J19*K19</f>
        <v>240798.6</v>
      </c>
      <c r="M19" s="167"/>
      <c r="O19" s="36"/>
      <c r="P19" s="36"/>
      <c r="Q19" s="36"/>
      <c r="R19" s="36"/>
      <c r="S19" s="36"/>
      <c r="T19" s="36"/>
      <c r="U19" s="36"/>
      <c r="V19" s="36"/>
      <c r="W19" s="36"/>
      <c r="X19" s="36"/>
      <c r="Y19" s="36"/>
      <c r="Z19" s="36"/>
      <c r="AA19" s="36"/>
      <c r="AB19" s="36"/>
      <c r="AC19" s="36"/>
      <c r="AD19" s="36"/>
      <c r="AE19" s="36"/>
      <c r="AF19" s="36"/>
      <c r="AG19" s="36"/>
      <c r="EJ19" s="2"/>
    </row>
    <row r="20" spans="1:140">
      <c r="A20" s="36"/>
      <c r="B20" s="48" t="s">
        <v>974</v>
      </c>
      <c r="C20" s="85"/>
      <c r="D20" s="1546">
        <v>32198</v>
      </c>
      <c r="E20" s="50"/>
      <c r="F20" s="49" t="s">
        <v>886</v>
      </c>
      <c r="G20" s="36"/>
      <c r="H20" s="104" t="str">
        <f t="shared" si="0"/>
        <v xml:space="preserve">    Direct Care </v>
      </c>
      <c r="I20" s="57"/>
      <c r="J20" s="1541">
        <f>D20</f>
        <v>32198</v>
      </c>
      <c r="K20" s="1548">
        <f>C51</f>
        <v>4</v>
      </c>
      <c r="L20" s="110">
        <f>J20*K20</f>
        <v>128792</v>
      </c>
      <c r="M20" s="167"/>
      <c r="O20" s="36"/>
      <c r="P20" s="36"/>
      <c r="Q20" s="36"/>
      <c r="R20" s="36"/>
      <c r="S20" s="36"/>
      <c r="T20" s="36"/>
      <c r="U20" s="36"/>
      <c r="V20" s="36"/>
      <c r="W20" s="36"/>
      <c r="X20" s="36"/>
      <c r="Y20" s="36"/>
      <c r="Z20" s="36"/>
      <c r="AA20" s="36"/>
      <c r="AB20" s="36"/>
      <c r="AC20" s="36"/>
      <c r="AD20" s="36"/>
      <c r="AE20" s="36"/>
      <c r="AF20" s="36"/>
      <c r="AG20" s="36"/>
      <c r="EJ20" s="2"/>
    </row>
    <row r="21" spans="1:140">
      <c r="A21" s="36"/>
      <c r="B21" s="48" t="s">
        <v>32</v>
      </c>
      <c r="C21" s="85"/>
      <c r="D21" s="1546">
        <v>32198</v>
      </c>
      <c r="E21" s="50"/>
      <c r="F21" s="49" t="s">
        <v>886</v>
      </c>
      <c r="G21" s="36"/>
      <c r="H21" s="104" t="str">
        <f>B21</f>
        <v xml:space="preserve">    Relief</v>
      </c>
      <c r="I21" s="57"/>
      <c r="J21" s="1541">
        <f>D21</f>
        <v>32198</v>
      </c>
      <c r="K21" s="59">
        <f>C52</f>
        <v>0.84769230769230774</v>
      </c>
      <c r="L21" s="110">
        <f>J21*K21</f>
        <v>27293.996923076924</v>
      </c>
      <c r="M21" s="167"/>
      <c r="O21" s="36"/>
      <c r="P21" s="36"/>
      <c r="Q21" s="36"/>
      <c r="R21" s="36"/>
      <c r="S21" s="36"/>
      <c r="T21" s="36"/>
      <c r="U21" s="36"/>
      <c r="V21" s="36"/>
      <c r="W21" s="36"/>
      <c r="X21" s="36"/>
      <c r="Y21" s="36"/>
      <c r="Z21" s="36"/>
      <c r="AA21" s="36"/>
      <c r="AB21" s="36"/>
      <c r="AC21" s="36"/>
      <c r="AD21" s="36"/>
      <c r="AE21" s="36"/>
      <c r="AF21" s="36"/>
      <c r="AG21" s="36"/>
      <c r="EJ21" s="2"/>
    </row>
    <row r="22" spans="1:140">
      <c r="A22" s="36"/>
      <c r="B22" s="48"/>
      <c r="C22" s="45"/>
      <c r="D22" s="46"/>
      <c r="E22" s="45"/>
      <c r="F22" s="304"/>
      <c r="G22" s="36"/>
      <c r="H22" s="114" t="s">
        <v>13</v>
      </c>
      <c r="I22" s="3"/>
      <c r="J22" s="3"/>
      <c r="K22" s="64">
        <f>SUM(K13:K21)</f>
        <v>14.147692307692308</v>
      </c>
      <c r="L22" s="115">
        <f>SUM(L13:L21)</f>
        <v>573203.84184250096</v>
      </c>
      <c r="M22" s="167"/>
      <c r="O22" s="36"/>
      <c r="P22" s="36"/>
      <c r="Q22" s="36"/>
      <c r="R22" s="36"/>
      <c r="S22" s="36"/>
      <c r="T22" s="36"/>
      <c r="U22" s="36"/>
      <c r="V22" s="36"/>
      <c r="W22" s="36"/>
      <c r="X22" s="36"/>
      <c r="Y22" s="36"/>
      <c r="Z22" s="36"/>
      <c r="AA22" s="36"/>
      <c r="AB22" s="36"/>
      <c r="AC22" s="36"/>
      <c r="AD22" s="36"/>
      <c r="AE22" s="36"/>
      <c r="AF22" s="36"/>
      <c r="AG22" s="36"/>
      <c r="EJ22" s="2"/>
    </row>
    <row r="23" spans="1:140">
      <c r="A23" s="36"/>
      <c r="B23" s="81"/>
      <c r="C23" s="45"/>
      <c r="D23" s="82" t="s">
        <v>42</v>
      </c>
      <c r="E23" s="45"/>
      <c r="F23" s="307"/>
      <c r="G23" s="36"/>
      <c r="H23" s="100" t="s">
        <v>15</v>
      </c>
      <c r="I23" s="72"/>
      <c r="J23" s="72"/>
      <c r="K23" s="4" t="s">
        <v>16</v>
      </c>
      <c r="L23" s="105"/>
      <c r="M23" s="167"/>
      <c r="O23" s="36"/>
      <c r="P23" s="36"/>
      <c r="Q23" s="36"/>
      <c r="R23" s="36"/>
      <c r="S23" s="36"/>
      <c r="T23" s="36"/>
      <c r="U23" s="36"/>
      <c r="V23" s="36"/>
      <c r="W23" s="36"/>
      <c r="X23" s="36"/>
      <c r="Y23" s="36"/>
      <c r="Z23" s="36"/>
      <c r="AA23" s="36"/>
      <c r="AB23" s="36"/>
      <c r="AC23" s="36"/>
      <c r="AD23" s="36"/>
      <c r="AE23" s="36"/>
      <c r="AF23" s="36"/>
      <c r="AG23" s="36"/>
      <c r="EJ23" s="2"/>
    </row>
    <row r="24" spans="1:140">
      <c r="A24" s="36"/>
      <c r="B24" s="81" t="s">
        <v>434</v>
      </c>
      <c r="C24" s="45"/>
      <c r="D24" s="1522">
        <f>'Integrated Team (FY21)'!E32</f>
        <v>0.224</v>
      </c>
      <c r="F24" s="1646" t="s">
        <v>978</v>
      </c>
      <c r="G24" s="36"/>
      <c r="H24" s="104" t="str">
        <f>B24</f>
        <v xml:space="preserve">  Tax and Fringe</v>
      </c>
      <c r="I24" s="72"/>
      <c r="J24" s="65">
        <f>D24</f>
        <v>0.224</v>
      </c>
      <c r="K24" s="72"/>
      <c r="L24" s="117">
        <f>J24*L22</f>
        <v>128397.66057272021</v>
      </c>
      <c r="M24" s="167"/>
      <c r="O24" s="36"/>
      <c r="P24" s="36"/>
      <c r="Q24" s="36"/>
      <c r="R24" s="36"/>
      <c r="S24" s="36"/>
      <c r="T24" s="36"/>
      <c r="U24" s="36"/>
      <c r="V24" s="36"/>
      <c r="W24" s="36"/>
      <c r="X24" s="36"/>
      <c r="Y24" s="36"/>
      <c r="Z24" s="36"/>
      <c r="AA24" s="36"/>
      <c r="AB24" s="36"/>
      <c r="AC24" s="36"/>
      <c r="AD24" s="36"/>
      <c r="AE24" s="36"/>
      <c r="AF24" s="36"/>
      <c r="AG24" s="36"/>
      <c r="EJ24" s="2"/>
    </row>
    <row r="25" spans="1:140">
      <c r="A25" s="36"/>
      <c r="B25" s="44"/>
      <c r="C25" s="52"/>
      <c r="D25" s="52"/>
      <c r="E25" s="52"/>
      <c r="F25" s="304"/>
      <c r="G25" s="36"/>
      <c r="H25" s="114" t="s">
        <v>18</v>
      </c>
      <c r="I25" s="3"/>
      <c r="J25" s="3"/>
      <c r="K25" s="63"/>
      <c r="L25" s="118">
        <f>L22+L24</f>
        <v>701601.50241522118</v>
      </c>
      <c r="M25" s="167"/>
      <c r="O25" s="36"/>
      <c r="P25" s="36"/>
      <c r="Q25" s="36"/>
      <c r="R25" s="36"/>
      <c r="S25" s="36"/>
      <c r="T25" s="36"/>
      <c r="U25" s="36"/>
      <c r="V25" s="36"/>
      <c r="W25" s="36"/>
      <c r="X25" s="36"/>
      <c r="Y25" s="36"/>
      <c r="Z25" s="36"/>
      <c r="AA25" s="36"/>
      <c r="AB25" s="36"/>
      <c r="AC25" s="36"/>
      <c r="AD25" s="36"/>
      <c r="AE25" s="36"/>
      <c r="AF25" s="36"/>
      <c r="AG25" s="36"/>
      <c r="EJ25" s="2"/>
    </row>
    <row r="26" spans="1:140">
      <c r="A26" s="36"/>
      <c r="B26" s="48"/>
      <c r="C26" s="52"/>
      <c r="E26" s="52"/>
      <c r="F26" s="304"/>
      <c r="G26" s="36"/>
      <c r="H26" s="100"/>
      <c r="I26" s="4"/>
      <c r="J26" s="4"/>
      <c r="K26" s="66"/>
      <c r="L26" s="151"/>
      <c r="M26" s="167"/>
      <c r="O26" s="36"/>
      <c r="P26" s="36"/>
      <c r="Q26" s="36"/>
      <c r="R26" s="36"/>
      <c r="S26" s="36"/>
      <c r="T26" s="36"/>
      <c r="U26" s="36"/>
      <c r="V26" s="36"/>
      <c r="W26" s="36"/>
      <c r="X26" s="36"/>
      <c r="Y26" s="36"/>
      <c r="Z26" s="36"/>
      <c r="AA26" s="36"/>
      <c r="AB26" s="36"/>
      <c r="AC26" s="36"/>
      <c r="AD26" s="36"/>
      <c r="AE26" s="36"/>
      <c r="AF26" s="36"/>
      <c r="AG26" s="36"/>
      <c r="EJ26" s="2"/>
    </row>
    <row r="27" spans="1:140">
      <c r="A27" s="36"/>
      <c r="B27" s="48"/>
      <c r="C27" s="296"/>
      <c r="D27" s="294" t="s">
        <v>328</v>
      </c>
      <c r="E27" s="296"/>
      <c r="F27" s="306"/>
      <c r="G27" s="36"/>
      <c r="H27" s="106" t="s">
        <v>328</v>
      </c>
      <c r="I27" s="5"/>
      <c r="J27" s="54" t="s">
        <v>19</v>
      </c>
      <c r="K27" s="67" t="s">
        <v>20</v>
      </c>
      <c r="L27" s="120" t="s">
        <v>7</v>
      </c>
      <c r="M27" s="167"/>
      <c r="O27" s="36"/>
      <c r="P27" s="36"/>
      <c r="Q27" s="36"/>
      <c r="R27" s="36"/>
      <c r="S27" s="36"/>
      <c r="T27" s="36"/>
      <c r="U27" s="36"/>
      <c r="V27" s="36"/>
      <c r="W27" s="36"/>
      <c r="X27" s="36"/>
      <c r="Y27" s="36"/>
      <c r="Z27" s="36"/>
      <c r="AA27" s="36"/>
      <c r="AB27" s="36"/>
      <c r="AC27" s="36"/>
      <c r="AD27" s="36"/>
      <c r="AE27" s="36"/>
      <c r="AF27" s="36"/>
      <c r="AG27" s="36"/>
      <c r="EJ27" s="2"/>
    </row>
    <row r="28" spans="1:140">
      <c r="A28" s="36"/>
      <c r="B28" s="48" t="str">
        <f>Int_Beh!B26</f>
        <v xml:space="preserve">  Psychologist</v>
      </c>
      <c r="C28" s="85">
        <v>0.625</v>
      </c>
      <c r="D28" s="263">
        <f>'Integrated Team (FY21)'!E35</f>
        <v>135.32</v>
      </c>
      <c r="E28" s="52"/>
      <c r="F28" s="321" t="str">
        <f>'Integrated Team (FY21)'!H35</f>
        <v>BLS /OES Massachusetts Median 2018</v>
      </c>
      <c r="G28" s="36"/>
      <c r="H28" s="109" t="str">
        <f>B28</f>
        <v xml:space="preserve">  Psychologist</v>
      </c>
      <c r="I28" s="4"/>
      <c r="J28" s="68">
        <f>D28</f>
        <v>135.32</v>
      </c>
      <c r="K28" s="69">
        <f>C54*52</f>
        <v>32.5</v>
      </c>
      <c r="L28" s="117">
        <f>J28*K28</f>
        <v>4397.8999999999996</v>
      </c>
      <c r="M28" s="167"/>
      <c r="O28" s="36"/>
      <c r="P28" s="36"/>
      <c r="Q28" s="36"/>
      <c r="R28" s="36"/>
      <c r="S28" s="36"/>
      <c r="T28" s="36"/>
      <c r="U28" s="36"/>
      <c r="V28" s="36"/>
      <c r="W28" s="36"/>
      <c r="X28" s="36"/>
      <c r="Y28" s="36"/>
      <c r="Z28" s="36"/>
      <c r="AA28" s="36"/>
      <c r="AB28" s="36"/>
      <c r="AC28" s="36"/>
      <c r="AD28" s="36"/>
      <c r="AE28" s="36"/>
      <c r="AF28" s="36"/>
      <c r="AG28" s="36"/>
      <c r="EJ28" s="2"/>
    </row>
    <row r="29" spans="1:140">
      <c r="A29" s="36"/>
      <c r="B29" s="48"/>
      <c r="C29" s="36"/>
      <c r="E29" s="52"/>
      <c r="F29" s="304"/>
      <c r="G29" s="36"/>
      <c r="H29" s="114" t="s">
        <v>21</v>
      </c>
      <c r="I29" s="70"/>
      <c r="J29" s="70"/>
      <c r="K29" s="70"/>
      <c r="L29" s="118">
        <f>SUM(L28:L28)</f>
        <v>4397.8999999999996</v>
      </c>
      <c r="M29" s="167"/>
      <c r="O29" s="36"/>
      <c r="P29" s="36"/>
      <c r="Q29" s="36"/>
      <c r="R29" s="36"/>
      <c r="S29" s="36"/>
      <c r="T29" s="36"/>
      <c r="U29" s="36"/>
      <c r="V29" s="36"/>
      <c r="W29" s="36"/>
      <c r="X29" s="36"/>
      <c r="Y29" s="36"/>
      <c r="Z29" s="36"/>
      <c r="AA29" s="36"/>
      <c r="AB29" s="36"/>
      <c r="AC29" s="36"/>
      <c r="AD29" s="36"/>
      <c r="AE29" s="36"/>
      <c r="AF29" s="36"/>
      <c r="AG29" s="36"/>
      <c r="EJ29" s="2"/>
    </row>
    <row r="30" spans="1:140">
      <c r="A30" s="36"/>
      <c r="B30" s="44"/>
      <c r="C30" s="52"/>
      <c r="D30" s="294" t="s">
        <v>367</v>
      </c>
      <c r="E30" s="52"/>
      <c r="F30" s="304"/>
      <c r="G30" s="36"/>
      <c r="H30" s="1536" t="str">
        <f>'Integrated Team (FY21)'!B45</f>
        <v xml:space="preserve"> PFLMA Trust Contribution</v>
      </c>
      <c r="J30" s="1534">
        <f>'Integrated Team (FY21)'!E45</f>
        <v>3.7000000000000002E-3</v>
      </c>
      <c r="K30" s="72"/>
      <c r="L30" s="964">
        <f>J30*L25</f>
        <v>2595.9255589363183</v>
      </c>
      <c r="M30" s="167"/>
      <c r="O30" s="36"/>
      <c r="P30" s="36"/>
      <c r="Q30" s="36"/>
      <c r="R30" s="36"/>
      <c r="S30" s="36"/>
      <c r="T30" s="36"/>
      <c r="U30" s="36"/>
      <c r="V30" s="36"/>
      <c r="W30" s="36"/>
      <c r="X30" s="36"/>
      <c r="Y30" s="36"/>
      <c r="Z30" s="36"/>
      <c r="AA30" s="36"/>
      <c r="AB30" s="36"/>
      <c r="AC30" s="36"/>
      <c r="AD30" s="36"/>
      <c r="AE30" s="36"/>
      <c r="AF30" s="36"/>
      <c r="AG30" s="36"/>
      <c r="EJ30" s="2"/>
    </row>
    <row r="31" spans="1:140" ht="15.75">
      <c r="A31" s="36"/>
      <c r="B31" s="1619" t="str">
        <f>Int_Fire_Safety!B30</f>
        <v xml:space="preserve">  Staff Training</v>
      </c>
      <c r="C31" s="371"/>
      <c r="D31" s="1620">
        <f>'Med_Int_Spec (FY21)'!D33</f>
        <v>277.77888799999999</v>
      </c>
      <c r="E31" s="371"/>
      <c r="F31" s="1618" t="str">
        <f>Int_Fire_Safety!G30</f>
        <v>Avg of the FY15 CBFS data per FTE.</v>
      </c>
      <c r="G31" s="36"/>
      <c r="H31" s="909" t="str">
        <f>B31</f>
        <v xml:space="preserve">  Staff Training</v>
      </c>
      <c r="I31" s="72"/>
      <c r="J31" s="72"/>
      <c r="K31" s="899">
        <f>D31</f>
        <v>277.77888799999999</v>
      </c>
      <c r="L31" s="962">
        <f>K31*K22</f>
        <v>3929.9302369969232</v>
      </c>
      <c r="M31" s="167"/>
      <c r="O31" s="36"/>
      <c r="P31" s="36"/>
      <c r="Q31" s="36"/>
      <c r="R31" s="36"/>
      <c r="S31" s="36"/>
      <c r="T31" s="36"/>
      <c r="U31" s="36"/>
      <c r="V31" s="36"/>
      <c r="W31" s="36"/>
      <c r="X31" s="36"/>
      <c r="Y31" s="36"/>
      <c r="Z31" s="36"/>
      <c r="AA31" s="36"/>
      <c r="AB31" s="36"/>
      <c r="AC31" s="36"/>
      <c r="AD31" s="36"/>
      <c r="AE31" s="36"/>
      <c r="AF31" s="36"/>
      <c r="AG31" s="36"/>
      <c r="EJ31" s="2"/>
    </row>
    <row r="32" spans="1:140">
      <c r="A32" s="36"/>
      <c r="B32" s="368"/>
      <c r="C32" s="371"/>
      <c r="D32" s="369"/>
      <c r="E32" s="371"/>
      <c r="F32" s="388"/>
      <c r="G32" s="36"/>
      <c r="H32" s="81" t="str">
        <f>B33</f>
        <v xml:space="preserve">  Transportation</v>
      </c>
      <c r="I32" s="72"/>
      <c r="J32" s="72"/>
      <c r="K32" s="122"/>
      <c r="L32" s="123">
        <f>D33</f>
        <v>6191.6539525126345</v>
      </c>
      <c r="M32" s="167"/>
      <c r="O32" s="36"/>
      <c r="P32" s="36"/>
      <c r="Q32" s="36"/>
      <c r="R32" s="36"/>
      <c r="S32" s="36"/>
      <c r="T32" s="36"/>
      <c r="U32" s="36"/>
      <c r="V32" s="36"/>
      <c r="W32" s="36"/>
      <c r="X32" s="36"/>
      <c r="Y32" s="36"/>
      <c r="Z32" s="36"/>
      <c r="AA32" s="36"/>
      <c r="AB32" s="36"/>
      <c r="AC32" s="36"/>
      <c r="AD32" s="36"/>
      <c r="AE32" s="36"/>
      <c r="AF32" s="36"/>
      <c r="AG32" s="36"/>
      <c r="EJ32" s="2"/>
    </row>
    <row r="33" spans="1:140">
      <c r="A33" s="36"/>
      <c r="B33" s="81" t="s">
        <v>435</v>
      </c>
      <c r="C33" s="45"/>
      <c r="D33" s="90">
        <f>GLE!C34</f>
        <v>6191.6539525126345</v>
      </c>
      <c r="F33" s="307" t="str">
        <f>GLE!G79</f>
        <v>Benchmark 101 CMR 420: allocation for van, 1 van / 2 GLEs</v>
      </c>
      <c r="G33" s="36"/>
      <c r="H33" s="570" t="str">
        <f>B35</f>
        <v xml:space="preserve">  Meals / Food***</v>
      </c>
      <c r="I33" s="571"/>
      <c r="K33" s="971">
        <f>D35</f>
        <v>8.16</v>
      </c>
      <c r="L33" s="967">
        <f>K33*L10</f>
        <v>14892</v>
      </c>
      <c r="M33" s="167"/>
      <c r="O33" s="36"/>
      <c r="P33" s="36"/>
      <c r="Q33" s="36"/>
      <c r="R33" s="36"/>
      <c r="S33" s="36"/>
      <c r="T33" s="36"/>
      <c r="U33" s="36"/>
      <c r="V33" s="36"/>
      <c r="W33" s="36"/>
      <c r="X33" s="36"/>
      <c r="Y33" s="36"/>
      <c r="Z33" s="36"/>
      <c r="AA33" s="36"/>
      <c r="AB33" s="36"/>
      <c r="AC33" s="36"/>
      <c r="AD33" s="36"/>
      <c r="AE33" s="36"/>
      <c r="AF33" s="36"/>
      <c r="AG33" s="36"/>
      <c r="EJ33" s="2"/>
    </row>
    <row r="34" spans="1:140">
      <c r="A34" s="36"/>
      <c r="B34" s="81" t="s">
        <v>454</v>
      </c>
      <c r="C34" s="45"/>
      <c r="D34" s="89">
        <f>'Integrated Team (FY21)'!E44</f>
        <v>642.72053101483573</v>
      </c>
      <c r="E34" s="45"/>
      <c r="F34" s="307" t="str">
        <f>'Integrated Team (FY21)'!H44</f>
        <v>Program Supplies &amp; Materials (33E) per FTE.</v>
      </c>
      <c r="G34" s="36"/>
      <c r="H34" s="81" t="str">
        <f>B34</f>
        <v xml:space="preserve">  Program Supplies &amp; Materials</v>
      </c>
      <c r="I34" s="72"/>
      <c r="J34" s="72"/>
      <c r="K34" s="170">
        <f>D34</f>
        <v>642.72053101483573</v>
      </c>
      <c r="L34" s="123">
        <f>K34*K22</f>
        <v>9093.0123126345079</v>
      </c>
      <c r="M34" s="167"/>
      <c r="O34" s="36"/>
      <c r="P34" s="36"/>
      <c r="Q34" s="36"/>
      <c r="R34" s="36"/>
      <c r="S34" s="36"/>
      <c r="T34" s="36"/>
      <c r="U34" s="36"/>
      <c r="V34" s="36"/>
      <c r="W34" s="36"/>
      <c r="X34" s="36"/>
      <c r="Y34" s="36"/>
      <c r="Z34" s="36"/>
      <c r="AA34" s="36"/>
      <c r="AB34" s="36"/>
      <c r="AC34" s="36"/>
      <c r="AD34" s="36"/>
      <c r="AE34" s="36"/>
      <c r="AF34" s="36"/>
      <c r="AG34" s="36"/>
      <c r="EJ34" s="2"/>
    </row>
    <row r="35" spans="1:140" ht="15.75" thickBot="1">
      <c r="A35" s="36"/>
      <c r="B35" s="582" t="s">
        <v>792</v>
      </c>
      <c r="C35" s="595"/>
      <c r="D35" s="978">
        <v>8.16</v>
      </c>
      <c r="E35" s="45"/>
      <c r="F35" s="604" t="s">
        <v>599</v>
      </c>
      <c r="G35" s="36"/>
      <c r="H35" s="100"/>
      <c r="I35" s="72"/>
      <c r="J35" s="72"/>
      <c r="K35" s="185"/>
      <c r="L35" s="963">
        <f>SUM(L30:L34)</f>
        <v>36702.522061080381</v>
      </c>
      <c r="M35" s="167"/>
      <c r="O35" s="36"/>
      <c r="P35" s="36"/>
      <c r="Q35" s="36"/>
      <c r="R35" s="36"/>
      <c r="S35" s="36"/>
      <c r="T35" s="36"/>
      <c r="U35" s="36"/>
      <c r="V35" s="36"/>
      <c r="W35" s="36"/>
      <c r="X35" s="36"/>
      <c r="Y35" s="36"/>
      <c r="Z35" s="36"/>
      <c r="AA35" s="36"/>
      <c r="AB35" s="36"/>
      <c r="AC35" s="36"/>
      <c r="AD35" s="36"/>
      <c r="AE35" s="36"/>
      <c r="AF35" s="36"/>
      <c r="AG35" s="36"/>
      <c r="EJ35" s="2"/>
    </row>
    <row r="36" spans="1:140" ht="15.75" thickTop="1">
      <c r="A36" s="36"/>
      <c r="B36" s="81"/>
      <c r="C36" s="45"/>
      <c r="D36" s="45"/>
      <c r="E36" s="45"/>
      <c r="F36" s="307"/>
      <c r="G36" s="36"/>
      <c r="H36" s="104"/>
      <c r="I36" s="72"/>
      <c r="J36" s="72"/>
      <c r="K36" s="66"/>
      <c r="L36" s="125"/>
      <c r="M36" s="167"/>
      <c r="O36" s="36"/>
      <c r="P36" s="36"/>
      <c r="Q36" s="36"/>
      <c r="R36" s="36"/>
      <c r="S36" s="36"/>
      <c r="T36" s="36"/>
      <c r="U36" s="36"/>
      <c r="V36" s="36"/>
      <c r="W36" s="36"/>
      <c r="X36" s="36"/>
      <c r="Y36" s="36"/>
      <c r="Z36" s="36"/>
      <c r="AA36" s="36"/>
      <c r="AB36" s="36"/>
      <c r="AC36" s="36"/>
      <c r="AD36" s="36"/>
      <c r="AE36" s="36"/>
      <c r="AF36" s="36"/>
      <c r="AG36" s="36"/>
      <c r="EJ36" s="2"/>
    </row>
    <row r="37" spans="1:140">
      <c r="A37" s="36"/>
      <c r="B37" s="81" t="s">
        <v>437</v>
      </c>
      <c r="C37" s="45"/>
      <c r="D37" s="88">
        <f>'Integrated Team (FY21)'!E46</f>
        <v>0.12</v>
      </c>
      <c r="E37" s="45"/>
      <c r="F37" s="49" t="s">
        <v>472</v>
      </c>
      <c r="G37" s="36"/>
      <c r="H37" s="114" t="s">
        <v>23</v>
      </c>
      <c r="I37" s="3"/>
      <c r="J37" s="3"/>
      <c r="K37" s="3"/>
      <c r="L37" s="126">
        <f>SUM(L25,L29, L35)</f>
        <v>742701.92447630153</v>
      </c>
      <c r="M37" s="167"/>
      <c r="O37" s="36"/>
      <c r="P37" s="36"/>
      <c r="Q37" s="36"/>
      <c r="R37" s="36"/>
      <c r="S37" s="36"/>
      <c r="T37" s="36"/>
      <c r="U37" s="36"/>
      <c r="V37" s="36"/>
      <c r="W37" s="36"/>
      <c r="X37" s="36"/>
      <c r="Y37" s="36"/>
      <c r="Z37" s="36"/>
      <c r="AA37" s="36"/>
      <c r="AB37" s="36"/>
      <c r="AC37" s="36"/>
      <c r="AD37" s="36"/>
      <c r="AE37" s="36"/>
      <c r="AF37" s="36"/>
      <c r="AG37" s="36"/>
      <c r="EJ37" s="2"/>
    </row>
    <row r="38" spans="1:140">
      <c r="A38" s="36"/>
      <c r="B38" s="1536" t="str">
        <f>'Integrated Team (FY21)'!B45</f>
        <v xml:space="preserve"> PFLMA Trust Contribution</v>
      </c>
      <c r="C38" s="45"/>
      <c r="D38" s="1534">
        <v>3.7000000000000002E-3</v>
      </c>
      <c r="E38" s="45"/>
      <c r="F38" s="49" t="s">
        <v>979</v>
      </c>
      <c r="G38" s="36"/>
      <c r="H38" s="104"/>
      <c r="I38" s="72"/>
      <c r="J38" s="72"/>
      <c r="K38" s="73"/>
      <c r="L38" s="127"/>
      <c r="M38" s="167"/>
      <c r="O38" s="36"/>
      <c r="P38" s="36"/>
      <c r="Q38" s="36"/>
      <c r="R38" s="36"/>
      <c r="S38" s="36"/>
      <c r="T38" s="36"/>
      <c r="U38" s="36"/>
      <c r="V38" s="36"/>
      <c r="W38" s="36"/>
      <c r="X38" s="36"/>
      <c r="Y38" s="36"/>
      <c r="Z38" s="36"/>
      <c r="AA38" s="36"/>
      <c r="AB38" s="36"/>
      <c r="AC38" s="36"/>
      <c r="AD38" s="36"/>
      <c r="AE38" s="36"/>
      <c r="AF38" s="36"/>
      <c r="AG38" s="36"/>
      <c r="EJ38" s="2"/>
    </row>
    <row r="39" spans="1:140">
      <c r="A39" s="36"/>
      <c r="B39" s="81" t="s">
        <v>438</v>
      </c>
      <c r="C39" s="45"/>
      <c r="D39" s="389">
        <f>'Integrated Team (FY21)'!E47</f>
        <v>7.6809383045675458E-2</v>
      </c>
      <c r="E39" s="45"/>
      <c r="F39" s="302" t="s">
        <v>781</v>
      </c>
      <c r="G39" s="36"/>
      <c r="H39" s="104" t="str">
        <f>B37</f>
        <v xml:space="preserve">  Admin. Allocation</v>
      </c>
      <c r="I39" s="72"/>
      <c r="J39" s="187">
        <f>D37</f>
        <v>0.12</v>
      </c>
      <c r="K39" s="72"/>
      <c r="L39" s="117">
        <f>J39*L37</f>
        <v>89124.230937156186</v>
      </c>
      <c r="M39" s="167"/>
      <c r="O39" s="36"/>
      <c r="P39" s="36"/>
      <c r="Q39" s="36"/>
      <c r="R39" s="36"/>
      <c r="S39" s="36"/>
      <c r="T39" s="36"/>
      <c r="U39" s="36"/>
      <c r="V39" s="36"/>
      <c r="W39" s="36"/>
      <c r="X39" s="36"/>
      <c r="Y39" s="36"/>
      <c r="Z39" s="36"/>
      <c r="AA39" s="36"/>
      <c r="AB39" s="36"/>
      <c r="AC39" s="36"/>
      <c r="AD39" s="36"/>
      <c r="AE39" s="36"/>
      <c r="AF39" s="36"/>
      <c r="AG39" s="36"/>
      <c r="EJ39" s="2"/>
    </row>
    <row r="40" spans="1:140" ht="15.75" thickBot="1">
      <c r="A40" s="36"/>
      <c r="B40" s="1551" t="s">
        <v>438</v>
      </c>
      <c r="C40" s="45"/>
      <c r="D40" s="1550">
        <f>'CAF 2019 Fall'!BZ25</f>
        <v>1.7780248869661817E-2</v>
      </c>
      <c r="E40" s="36"/>
      <c r="F40" s="260" t="s">
        <v>780</v>
      </c>
      <c r="G40" s="36"/>
      <c r="H40" s="129" t="s">
        <v>25</v>
      </c>
      <c r="I40" s="74"/>
      <c r="J40" s="74"/>
      <c r="K40" s="74"/>
      <c r="L40" s="130">
        <f>SUM(L37:L39)</f>
        <v>831826.15541345766</v>
      </c>
      <c r="M40" s="167"/>
      <c r="O40" s="36"/>
      <c r="P40" s="36"/>
      <c r="Q40" s="36"/>
      <c r="R40" s="36"/>
      <c r="S40" s="36"/>
      <c r="T40" s="36"/>
      <c r="U40" s="36"/>
      <c r="V40" s="36"/>
      <c r="W40" s="36"/>
      <c r="X40" s="36"/>
      <c r="Y40" s="36"/>
      <c r="Z40" s="36"/>
      <c r="AA40" s="36"/>
      <c r="AB40" s="36"/>
      <c r="AC40" s="36"/>
      <c r="AD40" s="36"/>
      <c r="AE40" s="36"/>
      <c r="AF40" s="36"/>
      <c r="AG40" s="36"/>
      <c r="EJ40" s="2"/>
    </row>
    <row r="41" spans="1:140" ht="15.75" thickTop="1">
      <c r="A41" s="36"/>
      <c r="B41" s="81"/>
      <c r="C41" s="36"/>
      <c r="D41" s="36"/>
      <c r="E41" s="36"/>
      <c r="F41" s="401"/>
      <c r="G41" s="36"/>
      <c r="H41" s="104"/>
      <c r="I41" s="72"/>
      <c r="J41" s="72"/>
      <c r="K41" s="72"/>
      <c r="L41" s="105"/>
      <c r="M41" s="167"/>
      <c r="O41" s="36"/>
      <c r="P41" s="36"/>
      <c r="Q41" s="36"/>
      <c r="R41" s="36"/>
      <c r="S41" s="36"/>
      <c r="T41" s="36"/>
      <c r="U41" s="36"/>
      <c r="V41" s="36"/>
      <c r="W41" s="36"/>
      <c r="X41" s="36"/>
      <c r="Y41" s="36"/>
      <c r="Z41" s="36"/>
      <c r="AA41" s="36"/>
      <c r="AB41" s="36"/>
      <c r="AC41" s="36"/>
      <c r="AD41" s="36"/>
      <c r="AE41" s="36"/>
      <c r="AF41" s="36"/>
      <c r="AG41" s="36"/>
      <c r="EJ41" s="2"/>
    </row>
    <row r="42" spans="1:140">
      <c r="A42" s="36"/>
      <c r="B42" s="394" t="s">
        <v>35</v>
      </c>
      <c r="C42" s="390" t="s">
        <v>424</v>
      </c>
      <c r="D42" s="391" t="s">
        <v>425</v>
      </c>
      <c r="E42" s="391" t="s">
        <v>426</v>
      </c>
      <c r="F42" s="401"/>
      <c r="G42" s="36"/>
      <c r="H42" s="104" t="str">
        <f>B39</f>
        <v xml:space="preserve">  CAF</v>
      </c>
      <c r="I42" s="936"/>
      <c r="J42" s="1544">
        <f>D40</f>
        <v>1.7780248869661817E-2</v>
      </c>
      <c r="K42" s="72"/>
      <c r="L42" s="132">
        <f>L40+(L40*J42)-(L22*J42)</f>
        <v>836424.52451199701</v>
      </c>
      <c r="M42" s="167"/>
      <c r="O42" s="36"/>
      <c r="P42" s="36"/>
      <c r="Q42" s="36"/>
      <c r="R42" s="36"/>
      <c r="S42" s="36"/>
      <c r="T42" s="36"/>
      <c r="U42" s="36"/>
      <c r="V42" s="36"/>
      <c r="W42" s="36"/>
      <c r="X42" s="36"/>
      <c r="Y42" s="36"/>
      <c r="Z42" s="36"/>
      <c r="AA42" s="36"/>
      <c r="AB42" s="36"/>
      <c r="AC42" s="36"/>
      <c r="AD42" s="36"/>
      <c r="AE42" s="36"/>
      <c r="AF42" s="36"/>
      <c r="AG42" s="36"/>
      <c r="EJ42" s="2"/>
    </row>
    <row r="43" spans="1:140">
      <c r="A43" s="36"/>
      <c r="B43" s="44" t="str">
        <f t="shared" ref="B43:B51" si="1">B12</f>
        <v>Management</v>
      </c>
      <c r="C43" s="45"/>
      <c r="D43" s="36"/>
      <c r="E43" s="36"/>
      <c r="F43" s="401"/>
      <c r="G43" s="36"/>
      <c r="H43" s="104"/>
      <c r="I43" s="72"/>
      <c r="J43" s="72"/>
      <c r="K43" s="72"/>
      <c r="L43" s="969"/>
      <c r="M43" s="167"/>
      <c r="O43" s="36"/>
      <c r="P43" s="36"/>
      <c r="Q43" s="36"/>
      <c r="R43" s="36"/>
      <c r="S43" s="36"/>
      <c r="T43" s="36"/>
      <c r="U43" s="36"/>
      <c r="V43" s="36"/>
      <c r="W43" s="36"/>
      <c r="X43" s="36"/>
      <c r="Y43" s="36"/>
      <c r="Z43" s="36"/>
      <c r="AA43" s="36"/>
      <c r="AB43" s="36"/>
      <c r="AC43" s="36"/>
      <c r="AD43" s="36"/>
      <c r="AE43" s="36"/>
      <c r="AF43" s="36"/>
      <c r="AG43" s="36"/>
      <c r="EJ43" s="2"/>
    </row>
    <row r="44" spans="1:140">
      <c r="A44" s="36"/>
      <c r="B44" s="48" t="str">
        <f t="shared" si="1"/>
        <v xml:space="preserve">  Management Supervision</v>
      </c>
      <c r="C44" s="85">
        <v>0.1</v>
      </c>
      <c r="D44" s="85">
        <v>0.1</v>
      </c>
      <c r="E44" s="85">
        <v>0.1</v>
      </c>
      <c r="F44" s="401"/>
      <c r="G44" s="36"/>
      <c r="H44" s="104"/>
      <c r="I44" s="72"/>
      <c r="J44" s="72"/>
      <c r="K44" s="72"/>
      <c r="L44" s="136"/>
      <c r="M44" s="167"/>
      <c r="O44" s="36"/>
      <c r="P44" s="36"/>
      <c r="Q44" s="36"/>
      <c r="R44" s="36"/>
      <c r="S44" s="36"/>
      <c r="T44" s="36"/>
      <c r="U44" s="36"/>
      <c r="V44" s="36"/>
      <c r="W44" s="36"/>
      <c r="X44" s="36"/>
      <c r="Y44" s="36"/>
      <c r="Z44" s="36"/>
      <c r="AA44" s="36"/>
      <c r="AB44" s="36"/>
      <c r="AC44" s="36"/>
      <c r="AD44" s="36"/>
      <c r="AE44" s="36"/>
      <c r="AF44" s="36"/>
      <c r="AG44" s="36"/>
      <c r="EJ44" s="2"/>
    </row>
    <row r="45" spans="1:140" ht="15.75" thickBot="1">
      <c r="A45" s="36"/>
      <c r="B45" s="48" t="str">
        <f t="shared" si="1"/>
        <v xml:space="preserve">  Specialty Site Manager</v>
      </c>
      <c r="C45" s="85">
        <v>1</v>
      </c>
      <c r="D45" s="85">
        <v>2</v>
      </c>
      <c r="E45" s="85">
        <v>2</v>
      </c>
      <c r="F45" s="401"/>
      <c r="G45" s="36"/>
      <c r="H45" s="104" t="s">
        <v>28</v>
      </c>
      <c r="I45" s="72"/>
      <c r="J45" s="72"/>
      <c r="K45" s="73"/>
      <c r="L45" s="958">
        <f>L42/L10</f>
        <v>458.31480795177919</v>
      </c>
      <c r="M45" s="167"/>
      <c r="O45" s="36"/>
      <c r="P45" s="36"/>
      <c r="Q45" s="36"/>
      <c r="R45" s="36"/>
      <c r="S45" s="36"/>
      <c r="T45" s="36"/>
      <c r="U45" s="36"/>
      <c r="V45" s="36"/>
      <c r="W45" s="36"/>
      <c r="X45" s="36"/>
      <c r="Y45" s="36"/>
      <c r="Z45" s="36"/>
      <c r="AA45" s="36"/>
      <c r="AB45" s="36"/>
      <c r="AC45" s="36"/>
      <c r="AD45" s="36"/>
      <c r="AE45" s="36"/>
      <c r="AF45" s="36"/>
      <c r="AG45" s="36"/>
      <c r="EJ45" s="2"/>
    </row>
    <row r="46" spans="1:140" ht="15.75" thickBot="1">
      <c r="A46" s="36"/>
      <c r="B46" s="44" t="str">
        <f t="shared" si="1"/>
        <v>Medical and Clinical</v>
      </c>
      <c r="C46" s="85"/>
      <c r="D46" s="85"/>
      <c r="E46" s="85"/>
      <c r="F46" s="401"/>
      <c r="G46" s="36"/>
      <c r="H46" s="584"/>
      <c r="I46" s="358"/>
      <c r="J46" s="359"/>
      <c r="K46" s="360"/>
      <c r="L46" s="577"/>
      <c r="M46" s="167"/>
      <c r="O46" s="36"/>
      <c r="P46" s="36"/>
      <c r="Q46" s="36"/>
      <c r="R46" s="36"/>
      <c r="S46" s="36"/>
      <c r="T46" s="36"/>
      <c r="U46" s="36"/>
      <c r="V46" s="36"/>
      <c r="W46" s="36"/>
      <c r="X46" s="36"/>
      <c r="Y46" s="36"/>
      <c r="Z46" s="36"/>
      <c r="AA46" s="36"/>
      <c r="AB46" s="36"/>
      <c r="AC46" s="36"/>
      <c r="AD46" s="36"/>
      <c r="AE46" s="36"/>
      <c r="AF46" s="36"/>
      <c r="AG46" s="36"/>
      <c r="EJ46" s="2"/>
    </row>
    <row r="47" spans="1:140">
      <c r="A47" s="36"/>
      <c r="B47" s="374" t="str">
        <f t="shared" si="1"/>
        <v xml:space="preserve">   LPHA</v>
      </c>
      <c r="C47" s="381">
        <v>1</v>
      </c>
      <c r="D47" s="381">
        <v>1</v>
      </c>
      <c r="E47" s="381">
        <v>1.5</v>
      </c>
      <c r="F47" s="302"/>
      <c r="G47" s="36"/>
      <c r="H47" s="50"/>
      <c r="I47" s="50"/>
      <c r="J47" s="50"/>
      <c r="K47" s="979" t="s">
        <v>783</v>
      </c>
      <c r="L47" s="979">
        <v>450.98</v>
      </c>
      <c r="M47" s="36"/>
      <c r="O47" s="36"/>
      <c r="P47" s="36"/>
      <c r="Q47" s="36"/>
      <c r="R47" s="36"/>
      <c r="S47" s="36"/>
      <c r="T47" s="36"/>
      <c r="U47" s="36"/>
      <c r="V47" s="36"/>
      <c r="W47" s="36"/>
      <c r="X47" s="36"/>
      <c r="Y47" s="36"/>
      <c r="Z47" s="36"/>
      <c r="AA47" s="36"/>
      <c r="AB47" s="36"/>
      <c r="AC47" s="36"/>
      <c r="AD47" s="36"/>
      <c r="AE47" s="36"/>
      <c r="AF47" s="36"/>
      <c r="AG47" s="36"/>
      <c r="EJ47" s="2"/>
    </row>
    <row r="48" spans="1:140">
      <c r="A48" s="36"/>
      <c r="B48" s="78" t="str">
        <f t="shared" si="1"/>
        <v xml:space="preserve">  Certified Nursing Assistant (CNA)</v>
      </c>
      <c r="C48" s="85">
        <v>1.4</v>
      </c>
      <c r="D48" s="85">
        <v>1.4</v>
      </c>
      <c r="E48" s="85">
        <v>2.4</v>
      </c>
      <c r="F48" s="302"/>
      <c r="G48" s="36"/>
      <c r="H48" s="36"/>
      <c r="I48" s="36"/>
      <c r="J48" s="36"/>
      <c r="K48" s="36"/>
      <c r="L48" s="965">
        <f>L45-L47</f>
        <v>7.3348079517791689</v>
      </c>
      <c r="M48" s="966">
        <f>L48/L47</f>
        <v>1.6264153514078603E-2</v>
      </c>
      <c r="O48" s="36"/>
      <c r="P48" s="36"/>
      <c r="Q48" s="36"/>
      <c r="R48" s="36"/>
      <c r="S48" s="36"/>
      <c r="T48" s="36"/>
      <c r="U48" s="36"/>
      <c r="V48" s="36"/>
      <c r="W48" s="36"/>
      <c r="X48" s="36"/>
      <c r="Y48" s="36"/>
      <c r="Z48" s="36"/>
      <c r="AA48" s="36"/>
      <c r="AB48" s="36"/>
      <c r="AC48" s="36"/>
      <c r="AD48" s="36"/>
      <c r="AE48" s="36"/>
      <c r="AF48" s="36"/>
      <c r="AG48" s="36"/>
      <c r="EJ48" s="2"/>
    </row>
    <row r="49" spans="1:140">
      <c r="A49" s="36"/>
      <c r="B49" s="44" t="str">
        <f t="shared" si="1"/>
        <v>Direct Care</v>
      </c>
      <c r="C49" s="85"/>
      <c r="D49" s="85"/>
      <c r="E49" s="85"/>
      <c r="F49" s="401"/>
      <c r="G49" s="36"/>
      <c r="H49" s="36"/>
      <c r="I49" s="36"/>
      <c r="J49" s="36"/>
      <c r="K49" s="36"/>
      <c r="L49" s="36"/>
      <c r="M49" s="36"/>
      <c r="O49" s="36"/>
      <c r="P49" s="36"/>
      <c r="Q49" s="36"/>
      <c r="R49" s="36"/>
      <c r="S49" s="36"/>
      <c r="T49" s="36"/>
      <c r="U49" s="36"/>
      <c r="V49" s="36"/>
      <c r="W49" s="36"/>
      <c r="X49" s="36"/>
      <c r="Y49" s="36"/>
      <c r="Z49" s="36"/>
      <c r="AA49" s="36"/>
      <c r="AB49" s="36"/>
      <c r="AC49" s="36"/>
      <c r="AD49" s="36"/>
      <c r="AE49" s="36"/>
      <c r="AF49" s="36"/>
      <c r="AG49" s="36"/>
      <c r="EJ49" s="2"/>
    </row>
    <row r="50" spans="1:140">
      <c r="A50" s="36"/>
      <c r="B50" s="48" t="str">
        <f t="shared" si="1"/>
        <v xml:space="preserve">    Direct Care III</v>
      </c>
      <c r="C50" s="85">
        <v>5.8</v>
      </c>
      <c r="D50" s="85">
        <v>7.4</v>
      </c>
      <c r="E50" s="85">
        <v>9.9</v>
      </c>
      <c r="F50" s="401"/>
      <c r="G50" s="36"/>
      <c r="H50" s="36"/>
      <c r="I50" s="36"/>
      <c r="J50" s="36"/>
      <c r="K50" s="36"/>
      <c r="L50" s="36"/>
      <c r="M50" s="36"/>
      <c r="O50" s="36"/>
      <c r="P50" s="36"/>
      <c r="Q50" s="36"/>
      <c r="R50" s="36"/>
      <c r="S50" s="36"/>
      <c r="T50" s="36"/>
      <c r="U50" s="36"/>
      <c r="V50" s="36"/>
      <c r="W50" s="36"/>
      <c r="X50" s="36"/>
      <c r="Y50" s="36"/>
      <c r="Z50" s="36"/>
      <c r="AA50" s="36"/>
      <c r="AB50" s="36"/>
      <c r="AC50" s="36"/>
      <c r="AD50" s="36"/>
      <c r="AE50" s="36"/>
      <c r="AF50" s="36"/>
      <c r="AG50" s="36"/>
      <c r="EJ50" s="2"/>
    </row>
    <row r="51" spans="1:140">
      <c r="A51" s="36"/>
      <c r="B51" s="48" t="str">
        <f t="shared" si="1"/>
        <v xml:space="preserve">    Direct Care </v>
      </c>
      <c r="C51" s="85">
        <v>4</v>
      </c>
      <c r="D51" s="85">
        <v>6.8</v>
      </c>
      <c r="E51" s="85">
        <v>7.5</v>
      </c>
      <c r="F51" s="401"/>
      <c r="G51" s="36"/>
      <c r="H51" s="36"/>
      <c r="I51" s="36"/>
      <c r="J51" s="36"/>
      <c r="K51" s="36"/>
      <c r="L51" s="36"/>
      <c r="M51" s="36"/>
      <c r="O51" s="36"/>
      <c r="P51" s="36"/>
      <c r="Q51" s="36"/>
      <c r="R51" s="36"/>
      <c r="S51" s="36"/>
      <c r="T51" s="36"/>
      <c r="U51" s="36"/>
      <c r="V51" s="36"/>
      <c r="W51" s="36"/>
      <c r="X51" s="36"/>
      <c r="Y51" s="36"/>
      <c r="Z51" s="36"/>
      <c r="AA51" s="36"/>
      <c r="AB51" s="36"/>
      <c r="AC51" s="36"/>
      <c r="AD51" s="36"/>
      <c r="AE51" s="36"/>
      <c r="AF51" s="36"/>
      <c r="AG51" s="36"/>
      <c r="EJ51" s="2"/>
    </row>
    <row r="52" spans="1:140">
      <c r="A52" s="36"/>
      <c r="B52" s="80" t="str">
        <f>B21</f>
        <v xml:space="preserve">    Relief</v>
      </c>
      <c r="C52" s="85">
        <f>C50*D9</f>
        <v>0.84769230769230774</v>
      </c>
      <c r="D52" s="85">
        <f>D50*D9</f>
        <v>1.0815384615384616</v>
      </c>
      <c r="E52" s="85">
        <f>E50*D9</f>
        <v>1.446923076923077</v>
      </c>
      <c r="F52" s="401"/>
      <c r="G52" s="36"/>
      <c r="H52" s="36"/>
      <c r="I52" s="36"/>
      <c r="J52" s="36"/>
      <c r="K52" s="36"/>
      <c r="L52" s="36"/>
      <c r="M52" s="36"/>
      <c r="O52" s="36"/>
      <c r="P52" s="36"/>
      <c r="Q52" s="36"/>
      <c r="R52" s="36"/>
      <c r="S52" s="36"/>
      <c r="T52" s="36"/>
      <c r="U52" s="36"/>
      <c r="V52" s="36"/>
      <c r="W52" s="36"/>
      <c r="X52" s="36"/>
      <c r="Y52" s="36"/>
      <c r="Z52" s="36"/>
      <c r="AA52" s="36"/>
      <c r="AB52" s="36"/>
      <c r="AC52" s="36"/>
      <c r="AD52" s="36"/>
      <c r="AE52" s="36"/>
      <c r="AF52" s="36"/>
      <c r="AG52" s="36"/>
      <c r="EJ52" s="2"/>
    </row>
    <row r="53" spans="1:140">
      <c r="A53" s="36"/>
      <c r="B53" s="400"/>
      <c r="C53" s="36"/>
      <c r="D53" s="36"/>
      <c r="E53" s="36"/>
      <c r="F53" s="401"/>
      <c r="G53" s="36"/>
      <c r="H53" s="36"/>
      <c r="I53" s="36"/>
      <c r="J53" s="36"/>
      <c r="K53" s="36"/>
      <c r="L53" s="36"/>
      <c r="M53" s="36"/>
      <c r="O53" s="36"/>
      <c r="P53" s="36"/>
      <c r="Q53" s="36"/>
      <c r="R53" s="36"/>
      <c r="S53" s="36"/>
      <c r="T53" s="36"/>
      <c r="U53" s="36"/>
      <c r="V53" s="36"/>
      <c r="W53" s="36"/>
      <c r="X53" s="36"/>
      <c r="Y53" s="36"/>
      <c r="Z53" s="36"/>
      <c r="AA53" s="36"/>
      <c r="AB53" s="36"/>
      <c r="AC53" s="36"/>
      <c r="AD53" s="36"/>
      <c r="AE53" s="36"/>
      <c r="AF53" s="36"/>
      <c r="AG53" s="36"/>
    </row>
    <row r="54" spans="1:140" ht="15.75" thickBot="1">
      <c r="A54" s="36"/>
      <c r="B54" s="342" t="str">
        <f>B28</f>
        <v xml:space="preserve">  Psychologist</v>
      </c>
      <c r="C54" s="393">
        <v>0.625</v>
      </c>
      <c r="D54" s="393">
        <v>1</v>
      </c>
      <c r="E54" s="402">
        <v>1.625</v>
      </c>
      <c r="F54" s="403"/>
      <c r="G54" s="36"/>
      <c r="H54" s="36"/>
      <c r="I54" s="36"/>
      <c r="J54" s="36"/>
      <c r="K54" s="36"/>
      <c r="L54" s="36"/>
      <c r="M54" s="36"/>
      <c r="O54" s="36"/>
      <c r="P54" s="36"/>
      <c r="Q54" s="36"/>
      <c r="R54" s="36"/>
      <c r="S54" s="36"/>
      <c r="T54" s="36"/>
      <c r="U54" s="36"/>
      <c r="V54" s="36"/>
      <c r="W54" s="36"/>
      <c r="X54" s="36"/>
      <c r="Y54" s="36"/>
      <c r="Z54" s="36"/>
      <c r="AA54" s="36"/>
      <c r="AB54" s="36"/>
      <c r="AC54" s="36"/>
      <c r="AD54" s="36"/>
      <c r="AE54" s="36"/>
      <c r="AF54" s="36"/>
      <c r="AG54" s="36"/>
    </row>
    <row r="55" spans="1:140" ht="15.75" thickBot="1">
      <c r="A55" s="36"/>
      <c r="B55" s="2616" t="s">
        <v>597</v>
      </c>
      <c r="C55" s="2617"/>
      <c r="D55" s="2617"/>
      <c r="E55" s="2617"/>
      <c r="F55" s="2618"/>
      <c r="G55" s="36"/>
      <c r="H55" s="36"/>
      <c r="I55" s="36"/>
      <c r="J55" s="36"/>
      <c r="K55" s="36"/>
      <c r="L55" s="36"/>
      <c r="M55" s="36"/>
      <c r="O55" s="36"/>
      <c r="P55" s="36"/>
      <c r="Q55" s="36"/>
      <c r="R55" s="36"/>
      <c r="S55" s="36"/>
      <c r="T55" s="36"/>
      <c r="U55" s="36"/>
      <c r="V55" s="36"/>
      <c r="W55" s="36"/>
      <c r="X55" s="36"/>
      <c r="Y55" s="36"/>
      <c r="Z55" s="36"/>
      <c r="AA55" s="36"/>
      <c r="AB55" s="36"/>
      <c r="AC55" s="36"/>
      <c r="AD55" s="36"/>
      <c r="AE55" s="36"/>
      <c r="AF55" s="36"/>
      <c r="AG55" s="36"/>
    </row>
    <row r="56" spans="1:140" ht="15.75" thickBot="1">
      <c r="A56" s="36"/>
      <c r="B56" s="2619"/>
      <c r="C56" s="2620"/>
      <c r="D56" s="2620"/>
      <c r="E56" s="2620"/>
      <c r="F56" s="2621"/>
      <c r="G56" s="36"/>
      <c r="H56" s="2613" t="s">
        <v>581</v>
      </c>
      <c r="I56" s="2614"/>
      <c r="J56" s="2614"/>
      <c r="K56" s="2614"/>
      <c r="L56" s="2615"/>
      <c r="M56" s="36"/>
      <c r="O56" s="36"/>
      <c r="P56" s="36"/>
      <c r="Q56" s="36"/>
      <c r="R56" s="36"/>
      <c r="S56" s="36"/>
      <c r="T56" s="36"/>
      <c r="U56" s="36"/>
      <c r="V56" s="36"/>
      <c r="W56" s="36"/>
      <c r="X56" s="36"/>
      <c r="Y56" s="36"/>
      <c r="Z56" s="36"/>
      <c r="AA56" s="36"/>
      <c r="AB56" s="36"/>
      <c r="AC56" s="36"/>
      <c r="AD56" s="36"/>
      <c r="AE56" s="36"/>
      <c r="AF56" s="36"/>
      <c r="EJ56" s="2"/>
    </row>
    <row r="57" spans="1:140" ht="15.75" thickBot="1">
      <c r="A57" s="36"/>
      <c r="B57" s="2613" t="s">
        <v>580</v>
      </c>
      <c r="C57" s="2614"/>
      <c r="D57" s="2614"/>
      <c r="E57" s="2614"/>
      <c r="F57" s="2615"/>
      <c r="G57" s="36"/>
      <c r="H57" s="146" t="s">
        <v>277</v>
      </c>
      <c r="I57" s="147">
        <v>11</v>
      </c>
      <c r="J57" s="148"/>
      <c r="K57" s="149" t="s">
        <v>133</v>
      </c>
      <c r="L57" s="150">
        <f>I57*365</f>
        <v>4015</v>
      </c>
      <c r="M57" s="36"/>
      <c r="O57" s="36"/>
      <c r="P57" s="36"/>
      <c r="Q57" s="36"/>
      <c r="R57" s="36"/>
      <c r="S57" s="36"/>
      <c r="T57" s="36"/>
      <c r="U57" s="36"/>
      <c r="V57" s="36"/>
      <c r="W57" s="36"/>
      <c r="X57" s="36"/>
      <c r="Y57" s="36"/>
      <c r="Z57" s="36"/>
      <c r="AA57" s="36"/>
      <c r="AB57" s="36"/>
      <c r="AC57" s="36"/>
      <c r="AD57" s="36"/>
      <c r="AE57" s="36"/>
      <c r="AF57" s="36"/>
      <c r="EJ57" s="2"/>
    </row>
    <row r="58" spans="1:140">
      <c r="A58" s="36"/>
      <c r="B58" s="146" t="s">
        <v>277</v>
      </c>
      <c r="C58" s="147">
        <v>8</v>
      </c>
      <c r="D58" s="148"/>
      <c r="E58" s="149" t="s">
        <v>133</v>
      </c>
      <c r="F58" s="150">
        <f>C58*365</f>
        <v>2920</v>
      </c>
      <c r="G58" s="36"/>
      <c r="H58" s="104"/>
      <c r="I58" s="72"/>
      <c r="J58" s="72"/>
      <c r="K58" s="72"/>
      <c r="L58" s="105"/>
      <c r="M58" s="36"/>
      <c r="O58" s="36"/>
      <c r="P58" s="36"/>
      <c r="Q58" s="36"/>
      <c r="R58" s="36"/>
      <c r="S58" s="36"/>
      <c r="T58" s="36"/>
      <c r="U58" s="36"/>
      <c r="V58" s="36"/>
      <c r="W58" s="36"/>
      <c r="X58" s="36"/>
      <c r="Y58" s="36"/>
      <c r="Z58" s="36"/>
      <c r="AA58" s="36"/>
      <c r="AB58" s="36"/>
      <c r="AC58" s="36"/>
      <c r="AD58" s="36"/>
      <c r="AE58" s="36"/>
      <c r="AF58" s="36"/>
      <c r="EJ58" s="2"/>
    </row>
    <row r="59" spans="1:140">
      <c r="A59" s="36"/>
      <c r="B59" s="104"/>
      <c r="C59" s="72"/>
      <c r="D59" s="72"/>
      <c r="E59" s="72"/>
      <c r="F59" s="105"/>
      <c r="G59" s="396"/>
      <c r="H59" s="106"/>
      <c r="I59" s="53"/>
      <c r="J59" s="54" t="s">
        <v>5</v>
      </c>
      <c r="K59" s="54" t="s">
        <v>6</v>
      </c>
      <c r="L59" s="107" t="s">
        <v>7</v>
      </c>
      <c r="M59" s="36"/>
      <c r="O59" s="36"/>
      <c r="P59" s="36"/>
      <c r="Q59" s="36"/>
      <c r="R59" s="36"/>
      <c r="S59" s="36"/>
      <c r="T59" s="36"/>
      <c r="U59" s="36"/>
      <c r="V59" s="36"/>
      <c r="W59" s="36"/>
      <c r="X59" s="36"/>
      <c r="Y59" s="36"/>
      <c r="Z59" s="36"/>
      <c r="AA59" s="36"/>
      <c r="AB59" s="36"/>
      <c r="AC59" s="36"/>
      <c r="AD59" s="36"/>
      <c r="AE59" s="36"/>
      <c r="AF59" s="36"/>
      <c r="EJ59" s="2"/>
    </row>
    <row r="60" spans="1:140">
      <c r="A60" s="36"/>
      <c r="B60" s="106"/>
      <c r="C60" s="53"/>
      <c r="D60" s="54" t="s">
        <v>5</v>
      </c>
      <c r="E60" s="54" t="s">
        <v>6</v>
      </c>
      <c r="F60" s="107" t="s">
        <v>7</v>
      </c>
      <c r="G60" s="50"/>
      <c r="H60" s="100" t="str">
        <f t="shared" ref="H60:H67" si="2">B12</f>
        <v>Management</v>
      </c>
      <c r="I60" s="55"/>
      <c r="J60" s="56"/>
      <c r="K60" s="56"/>
      <c r="L60" s="108"/>
      <c r="M60" s="36"/>
      <c r="O60" s="36"/>
      <c r="P60" s="36"/>
      <c r="Q60" s="36"/>
      <c r="R60" s="36"/>
      <c r="S60" s="36"/>
      <c r="T60" s="36"/>
      <c r="U60" s="36"/>
      <c r="V60" s="36"/>
      <c r="W60" s="36"/>
      <c r="X60" s="36"/>
      <c r="Y60" s="36"/>
      <c r="Z60" s="36"/>
      <c r="AA60" s="36"/>
      <c r="AB60" s="36"/>
      <c r="AC60" s="36"/>
      <c r="AD60" s="36"/>
      <c r="AE60" s="36"/>
      <c r="AF60" s="36"/>
      <c r="EJ60" s="2"/>
    </row>
    <row r="61" spans="1:140">
      <c r="A61" s="36"/>
      <c r="B61" s="100" t="str">
        <f t="shared" ref="B61:B70" si="3">B12</f>
        <v>Management</v>
      </c>
      <c r="C61" s="55"/>
      <c r="D61" s="56"/>
      <c r="E61" s="56"/>
      <c r="F61" s="108"/>
      <c r="G61" s="339"/>
      <c r="H61" s="104" t="str">
        <f t="shared" si="2"/>
        <v xml:space="preserve">  Management Supervision</v>
      </c>
      <c r="I61" s="57"/>
      <c r="J61" s="378">
        <f>'Integrated Team (FY21)'!E15</f>
        <v>92496.84919424048</v>
      </c>
      <c r="K61" s="59">
        <f>E44</f>
        <v>0.1</v>
      </c>
      <c r="L61" s="110">
        <f>J61*K61</f>
        <v>9249.6849194240476</v>
      </c>
      <c r="M61" s="36"/>
      <c r="O61" s="36"/>
      <c r="P61" s="36"/>
      <c r="Q61" s="36"/>
      <c r="R61" s="36"/>
      <c r="S61" s="36"/>
      <c r="T61" s="36"/>
      <c r="U61" s="36"/>
      <c r="V61" s="36"/>
      <c r="W61" s="36"/>
      <c r="X61" s="36"/>
      <c r="Y61" s="36"/>
      <c r="Z61" s="36"/>
      <c r="AA61" s="36"/>
      <c r="AB61" s="36"/>
      <c r="AC61" s="36"/>
      <c r="AD61" s="36"/>
      <c r="AE61" s="36"/>
      <c r="AF61" s="36"/>
      <c r="EJ61" s="2"/>
    </row>
    <row r="62" spans="1:140">
      <c r="A62" s="36"/>
      <c r="B62" s="104" t="str">
        <f t="shared" si="3"/>
        <v xml:space="preserve">  Management Supervision</v>
      </c>
      <c r="C62" s="57"/>
      <c r="D62" s="58">
        <f>D13</f>
        <v>92496.84919424048</v>
      </c>
      <c r="E62" s="59">
        <f>D44</f>
        <v>0.1</v>
      </c>
      <c r="F62" s="567">
        <f>D62*E62</f>
        <v>9249.6849194240476</v>
      </c>
      <c r="G62" s="339"/>
      <c r="H62" s="104" t="str">
        <f t="shared" si="2"/>
        <v xml:space="preserve">  Specialty Site Manager</v>
      </c>
      <c r="I62" s="57"/>
      <c r="J62" s="1653">
        <f>E14</f>
        <v>60923</v>
      </c>
      <c r="K62" s="59">
        <f>E45</f>
        <v>2</v>
      </c>
      <c r="L62" s="110">
        <f>J62*K62</f>
        <v>121846</v>
      </c>
      <c r="M62" s="36"/>
      <c r="O62" s="36"/>
      <c r="P62" s="36"/>
      <c r="Q62" s="36"/>
      <c r="R62" s="36"/>
      <c r="S62" s="36"/>
      <c r="T62" s="36"/>
      <c r="U62" s="36"/>
      <c r="V62" s="36"/>
      <c r="W62" s="36"/>
      <c r="X62" s="36"/>
      <c r="Y62" s="36"/>
      <c r="Z62" s="36"/>
      <c r="AA62" s="36"/>
      <c r="AB62" s="36"/>
      <c r="AC62" s="36"/>
      <c r="AD62" s="36"/>
      <c r="AE62" s="36"/>
      <c r="AF62" s="36"/>
      <c r="EJ62" s="2"/>
    </row>
    <row r="63" spans="1:140">
      <c r="A63" s="36"/>
      <c r="B63" s="104" t="str">
        <f t="shared" si="3"/>
        <v xml:space="preserve">  Specialty Site Manager</v>
      </c>
      <c r="C63" s="57"/>
      <c r="D63" s="1677">
        <f>E14</f>
        <v>60923</v>
      </c>
      <c r="E63" s="59">
        <f>D45</f>
        <v>2</v>
      </c>
      <c r="F63" s="567">
        <f>D63*E63</f>
        <v>121846</v>
      </c>
      <c r="G63" s="339"/>
      <c r="H63" s="100" t="str">
        <f t="shared" si="2"/>
        <v>Medical and Clinical</v>
      </c>
      <c r="I63" s="57"/>
      <c r="J63" s="58"/>
      <c r="K63" s="59"/>
      <c r="L63" s="110"/>
      <c r="M63" s="36"/>
      <c r="O63" s="36"/>
      <c r="P63" s="36"/>
      <c r="Q63" s="36"/>
      <c r="R63" s="36"/>
      <c r="S63" s="36"/>
      <c r="T63" s="36"/>
      <c r="U63" s="36"/>
      <c r="V63" s="36"/>
      <c r="W63" s="36"/>
      <c r="X63" s="36"/>
      <c r="Y63" s="36"/>
      <c r="Z63" s="36"/>
      <c r="AA63" s="36"/>
      <c r="AB63" s="36"/>
      <c r="AC63" s="36"/>
      <c r="AD63" s="36"/>
      <c r="AE63" s="36"/>
      <c r="AF63" s="36"/>
      <c r="EJ63" s="2"/>
    </row>
    <row r="64" spans="1:140">
      <c r="A64" s="36"/>
      <c r="B64" s="100" t="str">
        <f t="shared" si="3"/>
        <v>Medical and Clinical</v>
      </c>
      <c r="C64" s="57"/>
      <c r="D64" s="58"/>
      <c r="E64" s="59"/>
      <c r="F64" s="567"/>
      <c r="G64" s="395"/>
      <c r="H64" s="104" t="str">
        <f t="shared" si="2"/>
        <v xml:space="preserve">   LPHA</v>
      </c>
      <c r="I64" s="377"/>
      <c r="J64" s="1541">
        <f>D16</f>
        <v>60923.199999999997</v>
      </c>
      <c r="K64" s="382">
        <f>E47</f>
        <v>1.5</v>
      </c>
      <c r="L64" s="379">
        <f>J64*K64</f>
        <v>91384.799999999988</v>
      </c>
      <c r="M64" s="36"/>
      <c r="O64" s="36"/>
      <c r="P64" s="36"/>
      <c r="Q64" s="36"/>
      <c r="R64" s="36"/>
      <c r="S64" s="36"/>
      <c r="T64" s="36"/>
      <c r="U64" s="36"/>
      <c r="V64" s="36"/>
      <c r="W64" s="36"/>
      <c r="X64" s="36"/>
      <c r="Y64" s="36"/>
      <c r="Z64" s="36"/>
      <c r="AA64" s="36"/>
      <c r="AB64" s="36"/>
      <c r="AC64" s="36"/>
      <c r="AD64" s="36"/>
      <c r="AE64" s="36"/>
      <c r="AF64" s="36"/>
      <c r="EJ64" s="2"/>
    </row>
    <row r="65" spans="1:140">
      <c r="A65" s="36"/>
      <c r="B65" s="104" t="str">
        <f t="shared" si="3"/>
        <v xml:space="preserve">   LPHA</v>
      </c>
      <c r="C65" s="377"/>
      <c r="D65" s="1541">
        <f>D16</f>
        <v>60923.199999999997</v>
      </c>
      <c r="E65" s="382">
        <f>D47</f>
        <v>1</v>
      </c>
      <c r="F65" s="619">
        <f>D65*E65</f>
        <v>60923.199999999997</v>
      </c>
      <c r="G65" s="339"/>
      <c r="H65" s="104" t="str">
        <f t="shared" si="2"/>
        <v xml:space="preserve">  Certified Nursing Assistant (CNA)</v>
      </c>
      <c r="I65" s="57"/>
      <c r="J65" s="1541">
        <f>D17</f>
        <v>32302.399999999998</v>
      </c>
      <c r="K65" s="59">
        <f>E48</f>
        <v>2.4</v>
      </c>
      <c r="L65" s="110">
        <f>J65*K65</f>
        <v>77525.759999999995</v>
      </c>
      <c r="M65" s="36"/>
      <c r="O65" s="36"/>
      <c r="P65" s="36"/>
      <c r="Q65" s="36"/>
      <c r="R65" s="36"/>
      <c r="S65" s="36"/>
      <c r="T65" s="36"/>
      <c r="U65" s="36"/>
      <c r="V65" s="36"/>
      <c r="W65" s="36"/>
      <c r="X65" s="36"/>
      <c r="Y65" s="36"/>
      <c r="Z65" s="36"/>
      <c r="AA65" s="36"/>
      <c r="AB65" s="36"/>
      <c r="AC65" s="36"/>
      <c r="AD65" s="36"/>
      <c r="AE65" s="36"/>
      <c r="AF65" s="36"/>
      <c r="EJ65" s="2"/>
    </row>
    <row r="66" spans="1:140">
      <c r="A66" s="36"/>
      <c r="B66" s="104" t="str">
        <f t="shared" si="3"/>
        <v xml:space="preserve">  Certified Nursing Assistant (CNA)</v>
      </c>
      <c r="C66" s="57"/>
      <c r="D66" s="1541">
        <f>D17</f>
        <v>32302.399999999998</v>
      </c>
      <c r="E66" s="59">
        <f>D48</f>
        <v>1.4</v>
      </c>
      <c r="F66" s="567">
        <f>D66*E66</f>
        <v>45223.359999999993</v>
      </c>
      <c r="G66" s="339"/>
      <c r="H66" s="100" t="str">
        <f t="shared" si="2"/>
        <v>Direct Care</v>
      </c>
      <c r="I66" s="57"/>
      <c r="J66" s="58"/>
      <c r="K66" s="59"/>
      <c r="L66" s="110"/>
      <c r="M66" s="36"/>
      <c r="O66" s="36"/>
      <c r="P66" s="36"/>
      <c r="Q66" s="36"/>
      <c r="R66" s="36"/>
      <c r="S66" s="36"/>
      <c r="T66" s="36"/>
      <c r="U66" s="36"/>
      <c r="V66" s="36"/>
      <c r="W66" s="36"/>
      <c r="X66" s="36"/>
      <c r="Y66" s="36"/>
      <c r="Z66" s="36"/>
      <c r="AA66" s="36"/>
      <c r="AB66" s="36"/>
      <c r="AC66" s="36"/>
      <c r="AD66" s="36"/>
      <c r="AE66" s="36"/>
      <c r="AF66" s="36"/>
      <c r="EJ66" s="2"/>
    </row>
    <row r="67" spans="1:140">
      <c r="A67" s="36"/>
      <c r="B67" s="100" t="str">
        <f t="shared" si="3"/>
        <v>Direct Care</v>
      </c>
      <c r="C67" s="57"/>
      <c r="D67" s="58"/>
      <c r="E67" s="59"/>
      <c r="F67" s="567"/>
      <c r="G67" s="339"/>
      <c r="H67" s="104" t="str">
        <f t="shared" si="2"/>
        <v xml:space="preserve">    Direct Care III</v>
      </c>
      <c r="I67" s="57"/>
      <c r="J67" s="1541">
        <f>D19</f>
        <v>41517</v>
      </c>
      <c r="K67" s="1552">
        <f>E50</f>
        <v>9.9</v>
      </c>
      <c r="L67" s="110">
        <f>J67*K67</f>
        <v>411018.3</v>
      </c>
      <c r="M67" s="36"/>
      <c r="O67" s="36"/>
      <c r="P67" s="36"/>
      <c r="Q67" s="36"/>
      <c r="R67" s="36"/>
      <c r="S67" s="36"/>
      <c r="T67" s="36"/>
      <c r="U67" s="36"/>
      <c r="V67" s="36"/>
      <c r="W67" s="36"/>
      <c r="X67" s="36"/>
      <c r="Y67" s="36"/>
      <c r="Z67" s="36"/>
      <c r="AA67" s="36"/>
      <c r="AB67" s="36"/>
      <c r="AC67" s="36"/>
      <c r="AD67" s="36"/>
      <c r="AE67" s="36"/>
      <c r="AF67" s="36"/>
      <c r="EJ67" s="2"/>
    </row>
    <row r="68" spans="1:140">
      <c r="A68" s="36"/>
      <c r="B68" s="104" t="str">
        <f t="shared" si="3"/>
        <v xml:space="preserve">    Direct Care III</v>
      </c>
      <c r="C68" s="57"/>
      <c r="D68" s="1541">
        <f>D19</f>
        <v>41517</v>
      </c>
      <c r="E68" s="1552">
        <f>D50</f>
        <v>7.4</v>
      </c>
      <c r="F68" s="567">
        <f>D68*E68</f>
        <v>307225.8</v>
      </c>
      <c r="G68" s="339"/>
      <c r="H68" s="104" t="str">
        <f>B20</f>
        <v xml:space="preserve">    Direct Care </v>
      </c>
      <c r="I68" s="57"/>
      <c r="J68" s="1541">
        <f>D20</f>
        <v>32198</v>
      </c>
      <c r="K68" s="1552">
        <f>E51</f>
        <v>7.5</v>
      </c>
      <c r="L68" s="110">
        <f>J68*K68</f>
        <v>241485</v>
      </c>
      <c r="M68" s="36"/>
      <c r="O68" s="36"/>
      <c r="P68" s="36"/>
      <c r="Q68" s="36"/>
      <c r="R68" s="36"/>
      <c r="S68" s="36"/>
      <c r="T68" s="36"/>
      <c r="U68" s="36"/>
      <c r="V68" s="36"/>
      <c r="W68" s="36"/>
      <c r="X68" s="36"/>
      <c r="Y68" s="36"/>
      <c r="Z68" s="36"/>
      <c r="AA68" s="36"/>
      <c r="AB68" s="36"/>
      <c r="AC68" s="36"/>
      <c r="AD68" s="36"/>
      <c r="AE68" s="36"/>
      <c r="AF68" s="36"/>
      <c r="EJ68" s="2"/>
    </row>
    <row r="69" spans="1:140">
      <c r="A69" s="36"/>
      <c r="B69" s="104" t="str">
        <f t="shared" si="3"/>
        <v xml:space="preserve">    Direct Care </v>
      </c>
      <c r="C69" s="57"/>
      <c r="D69" s="1541">
        <f>D20</f>
        <v>32198</v>
      </c>
      <c r="E69" s="1552">
        <f>D51</f>
        <v>6.8</v>
      </c>
      <c r="F69" s="567">
        <v>225386</v>
      </c>
      <c r="G69" s="339"/>
      <c r="H69" s="104" t="str">
        <f>B21</f>
        <v xml:space="preserve">    Relief</v>
      </c>
      <c r="I69" s="57"/>
      <c r="J69" s="1541">
        <f>D21</f>
        <v>32198</v>
      </c>
      <c r="K69" s="59">
        <f>E52</f>
        <v>1.446923076923077</v>
      </c>
      <c r="L69" s="110">
        <f>J69*K69</f>
        <v>46588.029230769236</v>
      </c>
      <c r="M69" s="36"/>
      <c r="O69" s="36"/>
      <c r="P69" s="36"/>
      <c r="Q69" s="36"/>
      <c r="R69" s="36"/>
      <c r="S69" s="36"/>
      <c r="T69" s="36"/>
      <c r="U69" s="36"/>
      <c r="V69" s="36"/>
      <c r="W69" s="36"/>
      <c r="X69" s="36"/>
      <c r="Y69" s="36"/>
      <c r="Z69" s="36"/>
      <c r="AA69" s="36"/>
      <c r="AB69" s="36"/>
      <c r="AC69" s="36"/>
      <c r="AD69" s="36"/>
      <c r="AE69" s="36"/>
      <c r="AF69" s="36"/>
      <c r="EJ69" s="2"/>
    </row>
    <row r="70" spans="1:140">
      <c r="A70" s="36"/>
      <c r="B70" s="104" t="str">
        <f t="shared" si="3"/>
        <v xml:space="preserve">    Relief</v>
      </c>
      <c r="C70" s="57"/>
      <c r="D70" s="1541">
        <f>D21</f>
        <v>32198</v>
      </c>
      <c r="E70" s="59">
        <f>D52</f>
        <v>1.0815384615384616</v>
      </c>
      <c r="F70" s="567">
        <f>D70*E70</f>
        <v>34823.375384615385</v>
      </c>
      <c r="G70" s="339"/>
      <c r="H70" s="114" t="s">
        <v>13</v>
      </c>
      <c r="I70" s="3"/>
      <c r="J70" s="3"/>
      <c r="K70" s="64">
        <f>SUM(K61:K69)</f>
        <v>24.846923076923076</v>
      </c>
      <c r="L70" s="115">
        <f>SUM(L61:L69)</f>
        <v>999097.57415019325</v>
      </c>
      <c r="M70" s="36"/>
      <c r="O70" s="36"/>
      <c r="P70" s="36"/>
      <c r="Q70" s="36"/>
      <c r="R70" s="36"/>
      <c r="S70" s="36"/>
      <c r="T70" s="36"/>
      <c r="U70" s="36"/>
      <c r="V70" s="36"/>
      <c r="W70" s="36"/>
      <c r="X70" s="36"/>
      <c r="Y70" s="36"/>
      <c r="Z70" s="36"/>
      <c r="AA70" s="36"/>
      <c r="AB70" s="36"/>
      <c r="AC70" s="36"/>
      <c r="AD70" s="36"/>
      <c r="AE70" s="36"/>
      <c r="AF70" s="36"/>
      <c r="EJ70" s="2"/>
    </row>
    <row r="71" spans="1:140">
      <c r="A71" s="36"/>
      <c r="B71" s="114" t="s">
        <v>13</v>
      </c>
      <c r="C71" s="3"/>
      <c r="D71" s="3"/>
      <c r="E71" s="64">
        <f>SUM(E62:E70)</f>
        <v>19.78153846153846</v>
      </c>
      <c r="F71" s="620">
        <f>SUM(F62:F70)</f>
        <v>804677.42030403938</v>
      </c>
      <c r="G71" s="339"/>
      <c r="H71" s="104"/>
      <c r="I71" s="72"/>
      <c r="J71" s="72"/>
      <c r="K71" s="72"/>
      <c r="L71" s="116"/>
      <c r="M71" s="36"/>
      <c r="O71" s="36"/>
      <c r="P71" s="36"/>
      <c r="Q71" s="36"/>
      <c r="R71" s="36"/>
      <c r="S71" s="36"/>
      <c r="T71" s="36"/>
      <c r="U71" s="36"/>
      <c r="V71" s="36"/>
      <c r="W71" s="36"/>
      <c r="X71" s="36"/>
      <c r="Y71" s="36"/>
      <c r="Z71" s="36"/>
      <c r="AA71" s="36"/>
      <c r="AB71" s="36"/>
      <c r="AC71" s="36"/>
      <c r="AD71" s="36"/>
      <c r="AE71" s="36"/>
      <c r="AF71" s="36"/>
      <c r="EJ71" s="2"/>
    </row>
    <row r="72" spans="1:140">
      <c r="A72" s="36"/>
      <c r="B72" s="104"/>
      <c r="C72" s="72"/>
      <c r="D72" s="72"/>
      <c r="E72" s="72"/>
      <c r="F72" s="621"/>
      <c r="G72" s="397"/>
      <c r="H72" s="100" t="s">
        <v>15</v>
      </c>
      <c r="I72" s="72"/>
      <c r="J72" s="72"/>
      <c r="K72" s="4" t="s">
        <v>16</v>
      </c>
      <c r="L72" s="105"/>
      <c r="M72" s="36"/>
      <c r="O72" s="36"/>
      <c r="P72" s="36"/>
      <c r="Q72" s="36"/>
      <c r="R72" s="36"/>
      <c r="S72" s="36"/>
      <c r="T72" s="36"/>
      <c r="U72" s="36"/>
      <c r="V72" s="36"/>
      <c r="W72" s="36"/>
      <c r="X72" s="36"/>
      <c r="Y72" s="36"/>
      <c r="Z72" s="36"/>
      <c r="AA72" s="36"/>
      <c r="AB72" s="36"/>
      <c r="AC72" s="36"/>
      <c r="AD72" s="36"/>
      <c r="AE72" s="36"/>
      <c r="AF72" s="36"/>
      <c r="EJ72" s="2"/>
    </row>
    <row r="73" spans="1:140">
      <c r="A73" s="36"/>
      <c r="B73" s="100" t="s">
        <v>15</v>
      </c>
      <c r="C73" s="72"/>
      <c r="D73" s="72"/>
      <c r="E73" s="4" t="s">
        <v>16</v>
      </c>
      <c r="F73" s="567"/>
      <c r="G73" s="397"/>
      <c r="H73" s="104" t="str">
        <f>B24</f>
        <v xml:space="preserve">  Tax and Fringe</v>
      </c>
      <c r="I73" s="72"/>
      <c r="J73" s="1542">
        <f>D24</f>
        <v>0.224</v>
      </c>
      <c r="K73" s="72"/>
      <c r="L73" s="117">
        <f>J73*L70</f>
        <v>223797.85660964329</v>
      </c>
      <c r="M73" s="36"/>
      <c r="O73" s="36"/>
      <c r="P73" s="36"/>
      <c r="Q73" s="36"/>
      <c r="R73" s="36"/>
      <c r="S73" s="36"/>
      <c r="T73" s="36"/>
      <c r="U73" s="36"/>
      <c r="V73" s="36"/>
      <c r="W73" s="36"/>
      <c r="X73" s="36"/>
      <c r="Y73" s="36"/>
      <c r="Z73" s="36"/>
      <c r="AA73" s="36"/>
      <c r="AB73" s="36"/>
      <c r="AC73" s="36"/>
      <c r="AD73" s="36"/>
      <c r="AE73" s="36"/>
      <c r="AF73" s="36"/>
      <c r="EJ73" s="2"/>
    </row>
    <row r="74" spans="1:140">
      <c r="A74" s="36"/>
      <c r="B74" s="104" t="str">
        <f>B24</f>
        <v xml:space="preserve">  Tax and Fringe</v>
      </c>
      <c r="C74" s="72"/>
      <c r="D74" s="1542">
        <f>D24</f>
        <v>0.224</v>
      </c>
      <c r="E74" s="72"/>
      <c r="F74" s="622">
        <f>D74*F71</f>
        <v>180247.74214810482</v>
      </c>
      <c r="G74" s="339"/>
      <c r="H74" s="114" t="s">
        <v>18</v>
      </c>
      <c r="I74" s="3"/>
      <c r="J74" s="3"/>
      <c r="K74" s="63"/>
      <c r="L74" s="118">
        <f>L70+L73</f>
        <v>1222895.4307598365</v>
      </c>
      <c r="M74" s="36"/>
      <c r="O74" s="36"/>
      <c r="P74" s="36"/>
      <c r="Q74" s="36"/>
      <c r="R74" s="36"/>
      <c r="S74" s="36"/>
      <c r="T74" s="36"/>
      <c r="U74" s="36"/>
      <c r="V74" s="36"/>
      <c r="W74" s="36"/>
      <c r="X74" s="36"/>
      <c r="Y74" s="36"/>
      <c r="Z74" s="36"/>
      <c r="AA74" s="36"/>
      <c r="AB74" s="36"/>
      <c r="AC74" s="36"/>
      <c r="AD74" s="36"/>
      <c r="AE74" s="36"/>
      <c r="AF74" s="36"/>
      <c r="EJ74" s="2"/>
    </row>
    <row r="75" spans="1:140">
      <c r="A75" s="36"/>
      <c r="B75" s="114" t="s">
        <v>18</v>
      </c>
      <c r="C75" s="3"/>
      <c r="D75" s="3"/>
      <c r="E75" s="63"/>
      <c r="F75" s="623">
        <f>F71+F74</f>
        <v>984925.1624521442</v>
      </c>
      <c r="G75" s="339"/>
      <c r="H75" s="100"/>
      <c r="I75" s="4"/>
      <c r="J75" s="4"/>
      <c r="K75" s="66"/>
      <c r="L75" s="151"/>
      <c r="M75" s="36"/>
      <c r="O75" s="36"/>
      <c r="P75" s="36"/>
      <c r="Q75" s="36"/>
      <c r="R75" s="36"/>
      <c r="S75" s="36"/>
      <c r="T75" s="36"/>
      <c r="U75" s="36"/>
      <c r="V75" s="36"/>
      <c r="W75" s="36"/>
      <c r="X75" s="36"/>
      <c r="Y75" s="36"/>
      <c r="Z75" s="36"/>
      <c r="AA75" s="36"/>
      <c r="AB75" s="36"/>
      <c r="AC75" s="36"/>
      <c r="AD75" s="36"/>
      <c r="AE75" s="36"/>
      <c r="AF75" s="36"/>
      <c r="EJ75" s="2"/>
    </row>
    <row r="76" spans="1:140">
      <c r="A76" s="36"/>
      <c r="B76" s="100"/>
      <c r="C76" s="4"/>
      <c r="D76" s="4"/>
      <c r="E76" s="66"/>
      <c r="F76" s="624"/>
      <c r="G76" s="398"/>
      <c r="H76" s="106" t="s">
        <v>328</v>
      </c>
      <c r="I76" s="5"/>
      <c r="J76" s="54" t="s">
        <v>19</v>
      </c>
      <c r="K76" s="67" t="s">
        <v>2</v>
      </c>
      <c r="L76" s="120" t="s">
        <v>7</v>
      </c>
      <c r="M76" s="36"/>
      <c r="O76" s="36"/>
      <c r="P76" s="36"/>
      <c r="Q76" s="36"/>
      <c r="R76" s="36"/>
      <c r="S76" s="36"/>
      <c r="T76" s="36"/>
      <c r="U76" s="36"/>
      <c r="V76" s="36"/>
      <c r="W76" s="36"/>
      <c r="X76" s="36"/>
      <c r="Y76" s="36"/>
      <c r="Z76" s="36"/>
      <c r="AA76" s="36"/>
      <c r="AB76" s="36"/>
      <c r="AC76" s="36"/>
      <c r="AD76" s="36"/>
      <c r="AE76" s="36"/>
      <c r="AF76" s="36"/>
      <c r="EJ76" s="2"/>
    </row>
    <row r="77" spans="1:140">
      <c r="A77" s="36"/>
      <c r="B77" s="106" t="s">
        <v>328</v>
      </c>
      <c r="C77" s="5"/>
      <c r="D77" s="54" t="s">
        <v>19</v>
      </c>
      <c r="E77" s="67" t="s">
        <v>20</v>
      </c>
      <c r="F77" s="625" t="s">
        <v>7</v>
      </c>
      <c r="G77" s="274"/>
      <c r="H77" s="109" t="str">
        <f>B54</f>
        <v xml:space="preserve">  Psychologist</v>
      </c>
      <c r="I77" s="4"/>
      <c r="J77" s="68">
        <f>D28</f>
        <v>135.32</v>
      </c>
      <c r="K77" s="69">
        <f>E54*52</f>
        <v>84.5</v>
      </c>
      <c r="L77" s="117">
        <f>J77*K77</f>
        <v>11434.539999999999</v>
      </c>
      <c r="M77" s="36"/>
      <c r="O77" s="36"/>
      <c r="P77" s="36"/>
      <c r="Q77" s="36"/>
      <c r="R77" s="36"/>
      <c r="S77" s="36"/>
      <c r="T77" s="36"/>
      <c r="U77" s="36"/>
      <c r="V77" s="36"/>
      <c r="W77" s="36"/>
      <c r="X77" s="36"/>
      <c r="Y77" s="36"/>
      <c r="Z77" s="36"/>
      <c r="AA77" s="36"/>
      <c r="AB77" s="36"/>
      <c r="AC77" s="36"/>
      <c r="AD77" s="36"/>
      <c r="AE77" s="36"/>
      <c r="AF77" s="36"/>
      <c r="EJ77" s="2"/>
    </row>
    <row r="78" spans="1:140">
      <c r="A78" s="36"/>
      <c r="B78" s="109" t="str">
        <f>B54</f>
        <v xml:space="preserve">  Psychologist</v>
      </c>
      <c r="C78" s="4"/>
      <c r="D78" s="68">
        <f>D28</f>
        <v>135.32</v>
      </c>
      <c r="E78" s="69">
        <f>D54*52</f>
        <v>52</v>
      </c>
      <c r="F78" s="622">
        <f>D78*E78</f>
        <v>7036.6399999999994</v>
      </c>
      <c r="G78" s="339"/>
      <c r="H78" s="114" t="s">
        <v>21</v>
      </c>
      <c r="I78" s="70"/>
      <c r="J78" s="70"/>
      <c r="K78" s="70"/>
      <c r="L78" s="118">
        <f>SUM(L77:L77)</f>
        <v>11434.539999999999</v>
      </c>
      <c r="M78" s="36"/>
      <c r="O78" s="36"/>
      <c r="P78" s="36"/>
      <c r="Q78" s="36"/>
      <c r="R78" s="36"/>
      <c r="S78" s="36"/>
      <c r="T78" s="36"/>
      <c r="U78" s="36"/>
      <c r="V78" s="36"/>
      <c r="W78" s="36"/>
      <c r="X78" s="36"/>
      <c r="Y78" s="36"/>
      <c r="Z78" s="36"/>
      <c r="AA78" s="36"/>
      <c r="AB78" s="36"/>
      <c r="AC78" s="36"/>
      <c r="AD78" s="36"/>
      <c r="AE78" s="36"/>
      <c r="AF78" s="36"/>
      <c r="EJ78" s="2"/>
    </row>
    <row r="79" spans="1:140">
      <c r="A79" s="36"/>
      <c r="B79" s="114" t="s">
        <v>21</v>
      </c>
      <c r="C79" s="70"/>
      <c r="D79" s="70"/>
      <c r="E79" s="70"/>
      <c r="F79" s="623">
        <f>SUM(F78:F78)</f>
        <v>7036.6399999999994</v>
      </c>
      <c r="G79" s="339"/>
      <c r="H79" s="81" t="str">
        <f>B38</f>
        <v xml:space="preserve"> PFLMA Trust Contribution</v>
      </c>
      <c r="I79" s="72"/>
      <c r="J79" s="72"/>
      <c r="K79" s="1549">
        <f>D38</f>
        <v>3.7000000000000002E-3</v>
      </c>
      <c r="L79" s="123">
        <f>K79*L70</f>
        <v>3696.6610243557152</v>
      </c>
      <c r="M79" s="36"/>
      <c r="O79" s="36"/>
      <c r="P79" s="36"/>
      <c r="Q79" s="36"/>
      <c r="R79" s="36"/>
      <c r="S79" s="36"/>
      <c r="T79" s="36"/>
      <c r="U79" s="36"/>
      <c r="V79" s="36"/>
      <c r="W79" s="36"/>
      <c r="X79" s="36"/>
      <c r="Y79" s="36"/>
      <c r="Z79" s="36"/>
      <c r="AA79" s="36"/>
      <c r="AB79" s="36"/>
      <c r="AC79" s="36"/>
      <c r="AD79" s="36"/>
      <c r="AE79" s="36"/>
      <c r="AF79" s="36"/>
      <c r="EJ79" s="2"/>
    </row>
    <row r="80" spans="1:140">
      <c r="A80" s="36"/>
      <c r="B80" s="104" t="str">
        <f>B38</f>
        <v xml:space="preserve"> PFLMA Trust Contribution</v>
      </c>
      <c r="C80" s="72"/>
      <c r="D80" s="72"/>
      <c r="E80" s="1539">
        <f>D38</f>
        <v>3.7000000000000002E-3</v>
      </c>
      <c r="F80" s="622">
        <f>E80*F71</f>
        <v>2977.3064551249458</v>
      </c>
      <c r="G80" s="339"/>
      <c r="H80" s="81" t="str">
        <f>B81</f>
        <v xml:space="preserve">  Staff Training</v>
      </c>
      <c r="I80" s="72"/>
      <c r="J80" s="72"/>
      <c r="K80" s="122">
        <f>E81</f>
        <v>277.77888799999999</v>
      </c>
      <c r="L80" s="123">
        <f>K80*K70</f>
        <v>6901.9506625292306</v>
      </c>
      <c r="M80" s="36"/>
      <c r="O80" s="36"/>
      <c r="P80" s="36"/>
      <c r="Q80" s="36"/>
      <c r="R80" s="36"/>
      <c r="S80" s="36"/>
      <c r="T80" s="36"/>
      <c r="U80" s="36"/>
      <c r="V80" s="36"/>
      <c r="W80" s="36"/>
      <c r="X80" s="36"/>
      <c r="Y80" s="36"/>
      <c r="Z80" s="36"/>
      <c r="AA80" s="36"/>
      <c r="AB80" s="36"/>
      <c r="AC80" s="36"/>
      <c r="AD80" s="36"/>
      <c r="AE80" s="36"/>
      <c r="AF80" s="36"/>
      <c r="EJ80" s="2"/>
    </row>
    <row r="81" spans="1:140">
      <c r="A81" s="36"/>
      <c r="B81" s="909" t="str">
        <f>B31</f>
        <v xml:space="preserve">  Staff Training</v>
      </c>
      <c r="C81" s="72"/>
      <c r="D81" s="72"/>
      <c r="E81" s="899">
        <f>D31</f>
        <v>277.77888799999999</v>
      </c>
      <c r="F81" s="970">
        <f>E81*E71</f>
        <v>5494.8937567753837</v>
      </c>
      <c r="G81" s="370"/>
      <c r="H81" s="81" t="str">
        <f>B33</f>
        <v xml:space="preserve">  Transportation</v>
      </c>
      <c r="I81" s="72"/>
      <c r="J81" s="72"/>
      <c r="K81" s="122"/>
      <c r="L81" s="123">
        <f>D33</f>
        <v>6191.6539525126345</v>
      </c>
      <c r="M81" s="36"/>
      <c r="O81" s="36"/>
      <c r="P81" s="36"/>
      <c r="Q81" s="36"/>
      <c r="R81" s="36"/>
      <c r="S81" s="36"/>
      <c r="T81" s="36"/>
      <c r="U81" s="36"/>
      <c r="V81" s="36"/>
      <c r="W81" s="36"/>
      <c r="X81" s="36"/>
      <c r="Y81" s="36"/>
      <c r="Z81" s="36"/>
      <c r="AA81" s="36"/>
      <c r="AB81" s="36"/>
      <c r="AC81" s="36"/>
      <c r="AD81" s="36"/>
      <c r="AE81" s="36"/>
      <c r="AF81" s="36"/>
      <c r="EJ81" s="2"/>
    </row>
    <row r="82" spans="1:140">
      <c r="A82" s="36"/>
      <c r="B82" s="81" t="str">
        <f>B33</f>
        <v xml:space="preserve">  Transportation</v>
      </c>
      <c r="C82" s="72"/>
      <c r="D82" s="72"/>
      <c r="E82" s="122"/>
      <c r="F82" s="626">
        <f>D33</f>
        <v>6191.6539525126345</v>
      </c>
      <c r="G82" s="370"/>
      <c r="H82" s="570" t="str">
        <f>B35</f>
        <v xml:space="preserve">  Meals / Food***</v>
      </c>
      <c r="I82" s="571"/>
      <c r="J82" s="72"/>
      <c r="K82" s="971">
        <f>D35</f>
        <v>8.16</v>
      </c>
      <c r="L82" s="123">
        <f>K82*L57</f>
        <v>32762.400000000001</v>
      </c>
      <c r="M82" s="36"/>
      <c r="O82" s="36"/>
      <c r="P82" s="36"/>
      <c r="Q82" s="36"/>
      <c r="R82" s="36"/>
      <c r="S82" s="36"/>
      <c r="T82" s="36"/>
      <c r="U82" s="36"/>
      <c r="V82" s="36"/>
      <c r="W82" s="36"/>
      <c r="X82" s="36"/>
      <c r="Y82" s="36"/>
      <c r="Z82" s="36"/>
      <c r="AA82" s="36"/>
      <c r="AB82" s="36"/>
      <c r="AC82" s="36"/>
      <c r="AD82" s="36"/>
      <c r="AE82" s="36"/>
      <c r="AF82" s="36"/>
      <c r="EJ82" s="2"/>
    </row>
    <row r="83" spans="1:140">
      <c r="A83" s="36"/>
      <c r="B83" s="570" t="str">
        <f>B35</f>
        <v xml:space="preserve">  Meals / Food***</v>
      </c>
      <c r="C83" s="571"/>
      <c r="E83" s="618">
        <f>D35</f>
        <v>8.16</v>
      </c>
      <c r="F83" s="982">
        <f>E83*F58</f>
        <v>23827.200000000001</v>
      </c>
      <c r="G83" s="399"/>
      <c r="H83" s="81" t="str">
        <f>B34</f>
        <v xml:space="preserve">  Program Supplies &amp; Materials</v>
      </c>
      <c r="I83" s="72"/>
      <c r="J83" s="72"/>
      <c r="K83" s="122">
        <f>D34</f>
        <v>642.72053101483573</v>
      </c>
      <c r="L83" s="123">
        <f>K83*$K70</f>
        <v>15969.627594084775</v>
      </c>
      <c r="M83" s="36"/>
      <c r="O83" s="36"/>
      <c r="P83" s="36"/>
      <c r="Q83" s="36"/>
      <c r="R83" s="36"/>
      <c r="S83" s="36"/>
      <c r="T83" s="36"/>
      <c r="U83" s="36"/>
      <c r="V83" s="36"/>
      <c r="W83" s="36"/>
      <c r="X83" s="36"/>
      <c r="Y83" s="36"/>
      <c r="Z83" s="36"/>
      <c r="AA83" s="36"/>
      <c r="AB83" s="36"/>
      <c r="AC83" s="36"/>
      <c r="AD83" s="36"/>
      <c r="AE83" s="36"/>
      <c r="AF83" s="36"/>
      <c r="EJ83" s="2"/>
    </row>
    <row r="84" spans="1:140" ht="15.75" thickBot="1">
      <c r="A84" s="36"/>
      <c r="B84" s="81" t="str">
        <f>B34</f>
        <v xml:space="preserve">  Program Supplies &amp; Materials</v>
      </c>
      <c r="C84" s="72"/>
      <c r="D84" s="72"/>
      <c r="E84" s="122">
        <f>D34</f>
        <v>642.72053101483573</v>
      </c>
      <c r="F84" s="981">
        <f>E84*$E$71</f>
        <v>12714.000904290397</v>
      </c>
      <c r="G84" s="397"/>
      <c r="H84" s="100"/>
      <c r="I84" s="72"/>
      <c r="J84" s="72"/>
      <c r="K84" s="71">
        <f>SUM(K81:K83)</f>
        <v>650.8805310148357</v>
      </c>
      <c r="L84" s="124">
        <f>SUM(L79:L83)</f>
        <v>65522.293233482364</v>
      </c>
      <c r="M84" s="36"/>
      <c r="O84" s="36"/>
      <c r="P84" s="36"/>
      <c r="Q84" s="36"/>
      <c r="R84" s="36"/>
      <c r="S84" s="36"/>
      <c r="T84" s="36"/>
      <c r="U84" s="36"/>
      <c r="V84" s="36"/>
      <c r="W84" s="36"/>
      <c r="X84" s="36"/>
      <c r="Y84" s="36"/>
      <c r="Z84" s="36"/>
      <c r="AA84" s="36"/>
      <c r="AB84" s="36"/>
      <c r="AC84" s="36"/>
      <c r="AD84" s="36"/>
      <c r="AE84" s="36"/>
      <c r="AF84" s="36"/>
      <c r="EJ84" s="2"/>
    </row>
    <row r="85" spans="1:140" ht="15.75" thickTop="1">
      <c r="A85" s="36"/>
      <c r="B85" s="100"/>
      <c r="C85" s="72"/>
      <c r="D85" s="72"/>
      <c r="E85" s="185"/>
      <c r="F85" s="980">
        <f>SUM(F80:F84)</f>
        <v>51205.055068703368</v>
      </c>
      <c r="G85" s="397"/>
      <c r="H85" s="104"/>
      <c r="I85" s="72"/>
      <c r="J85" s="72"/>
      <c r="K85" s="66"/>
      <c r="L85" s="125"/>
      <c r="M85" s="36"/>
      <c r="O85" s="36"/>
      <c r="P85" s="36"/>
      <c r="Q85" s="36"/>
      <c r="R85" s="36"/>
      <c r="S85" s="36"/>
      <c r="T85" s="36"/>
      <c r="U85" s="36"/>
      <c r="V85" s="36"/>
      <c r="W85" s="36"/>
      <c r="X85" s="36"/>
      <c r="Y85" s="36"/>
      <c r="Z85" s="36"/>
      <c r="AA85" s="36"/>
      <c r="AB85" s="36"/>
      <c r="AC85" s="36"/>
      <c r="AD85" s="36"/>
      <c r="AE85" s="36"/>
      <c r="AF85" s="36"/>
      <c r="EJ85" s="2"/>
    </row>
    <row r="86" spans="1:140">
      <c r="A86" s="36"/>
      <c r="B86" s="104"/>
      <c r="C86" s="72"/>
      <c r="D86" s="72"/>
      <c r="E86" s="66"/>
      <c r="F86" s="628"/>
      <c r="G86" s="397"/>
      <c r="H86" s="114" t="s">
        <v>23</v>
      </c>
      <c r="I86" s="3"/>
      <c r="J86" s="3"/>
      <c r="K86" s="3"/>
      <c r="L86" s="126">
        <f>SUM(L74,L78, L84)</f>
        <v>1299852.2639933189</v>
      </c>
      <c r="M86" s="36"/>
      <c r="O86" s="36"/>
      <c r="P86" s="36"/>
      <c r="Q86" s="36"/>
      <c r="R86" s="36"/>
      <c r="S86" s="36"/>
      <c r="T86" s="36"/>
      <c r="U86" s="36"/>
      <c r="V86" s="36"/>
      <c r="W86" s="36"/>
      <c r="X86" s="36"/>
      <c r="Y86" s="36"/>
      <c r="Z86" s="36"/>
      <c r="AA86" s="36"/>
      <c r="AB86" s="36"/>
      <c r="AC86" s="36"/>
      <c r="AD86" s="36"/>
      <c r="AE86" s="36"/>
      <c r="AF86" s="36"/>
      <c r="EJ86" s="2"/>
    </row>
    <row r="87" spans="1:140">
      <c r="A87" s="36"/>
      <c r="B87" s="114" t="s">
        <v>23</v>
      </c>
      <c r="C87" s="3"/>
      <c r="D87" s="3"/>
      <c r="E87" s="3"/>
      <c r="F87" s="629">
        <f>SUM(F75,F79, F85)</f>
        <v>1043166.8575208476</v>
      </c>
      <c r="G87" s="338"/>
      <c r="H87" s="104"/>
      <c r="I87" s="72"/>
      <c r="J87" s="72"/>
      <c r="K87" s="73"/>
      <c r="L87" s="127"/>
      <c r="M87" s="36"/>
      <c r="O87" s="36"/>
      <c r="P87" s="36"/>
      <c r="Q87" s="36"/>
      <c r="R87" s="36"/>
      <c r="S87" s="36"/>
      <c r="T87" s="36"/>
      <c r="U87" s="36"/>
      <c r="V87" s="36"/>
      <c r="W87" s="36"/>
      <c r="X87" s="36"/>
      <c r="Y87" s="36"/>
      <c r="Z87" s="36"/>
      <c r="AA87" s="36"/>
      <c r="AB87" s="36"/>
      <c r="AC87" s="36"/>
      <c r="AD87" s="36"/>
      <c r="AE87" s="36"/>
      <c r="AF87" s="36"/>
      <c r="EJ87" s="2"/>
    </row>
    <row r="88" spans="1:140">
      <c r="A88" s="36"/>
      <c r="B88" s="104"/>
      <c r="C88" s="72"/>
      <c r="D88" s="72"/>
      <c r="E88" s="73"/>
      <c r="F88" s="630"/>
      <c r="G88" s="52"/>
      <c r="H88" s="104" t="str">
        <f>B37</f>
        <v xml:space="preserve">  Admin. Allocation</v>
      </c>
      <c r="I88" s="72"/>
      <c r="J88" s="187">
        <f>D37</f>
        <v>0.12</v>
      </c>
      <c r="K88" s="72"/>
      <c r="L88" s="117">
        <f>J88*L86</f>
        <v>155982.27167919825</v>
      </c>
      <c r="M88" s="36"/>
      <c r="O88" s="36"/>
      <c r="P88" s="36"/>
      <c r="Q88" s="36"/>
      <c r="R88" s="36"/>
      <c r="S88" s="36"/>
      <c r="T88" s="36"/>
      <c r="U88" s="36"/>
      <c r="V88" s="36"/>
      <c r="W88" s="36"/>
      <c r="X88" s="36"/>
      <c r="Y88" s="36"/>
      <c r="Z88" s="36"/>
      <c r="AA88" s="36"/>
      <c r="AB88" s="36"/>
      <c r="AC88" s="36"/>
      <c r="AD88" s="36"/>
      <c r="AE88" s="36"/>
      <c r="AF88" s="36"/>
      <c r="EJ88" s="2"/>
    </row>
    <row r="89" spans="1:140">
      <c r="A89" s="36"/>
      <c r="B89" s="104" t="str">
        <f>B37</f>
        <v xml:space="preserve">  Admin. Allocation</v>
      </c>
      <c r="C89" s="72"/>
      <c r="D89" s="187">
        <f>D37</f>
        <v>0.12</v>
      </c>
      <c r="E89" s="72"/>
      <c r="F89" s="622">
        <f>D89*F87</f>
        <v>125180.0229025017</v>
      </c>
      <c r="G89" s="45"/>
      <c r="H89" s="968"/>
      <c r="I89" s="72"/>
      <c r="J89" s="72"/>
      <c r="K89" s="72"/>
      <c r="L89" s="969"/>
      <c r="M89" s="36"/>
      <c r="O89" s="36"/>
      <c r="P89" s="36"/>
      <c r="Q89" s="36"/>
      <c r="R89" s="36"/>
      <c r="S89" s="36"/>
      <c r="T89" s="36"/>
      <c r="U89" s="36"/>
      <c r="V89" s="36"/>
      <c r="W89" s="36"/>
      <c r="X89" s="36"/>
      <c r="Y89" s="36"/>
      <c r="Z89" s="36"/>
      <c r="AA89" s="36"/>
      <c r="AB89" s="36"/>
      <c r="AC89" s="36"/>
      <c r="AD89" s="36"/>
      <c r="AE89" s="36"/>
      <c r="AF89" s="36"/>
      <c r="EJ89" s="2"/>
    </row>
    <row r="90" spans="1:140">
      <c r="A90" s="36"/>
      <c r="B90" s="968"/>
      <c r="C90" s="72"/>
      <c r="D90" s="72"/>
      <c r="E90" s="72"/>
      <c r="F90" s="969"/>
      <c r="G90" s="36"/>
      <c r="H90" s="104"/>
      <c r="I90" s="72"/>
      <c r="J90" s="72"/>
      <c r="K90" s="72"/>
      <c r="L90" s="128"/>
      <c r="M90" s="36"/>
      <c r="O90" s="36"/>
      <c r="P90" s="36"/>
      <c r="Q90" s="36"/>
      <c r="R90" s="36"/>
      <c r="S90" s="36"/>
      <c r="T90" s="36"/>
      <c r="U90" s="36"/>
      <c r="V90" s="36"/>
      <c r="W90" s="36"/>
      <c r="X90" s="36"/>
      <c r="Y90" s="36"/>
      <c r="Z90" s="36"/>
      <c r="AA90" s="36"/>
      <c r="AB90" s="36"/>
      <c r="AC90" s="36"/>
      <c r="AD90" s="36"/>
      <c r="AE90" s="36"/>
      <c r="AF90" s="36"/>
      <c r="EJ90" s="2"/>
    </row>
    <row r="91" spans="1:140" ht="15.75" thickBot="1">
      <c r="A91" s="36"/>
      <c r="B91" s="104"/>
      <c r="C91" s="72"/>
      <c r="D91" s="72"/>
      <c r="E91" s="72"/>
      <c r="F91" s="622"/>
      <c r="G91" s="36"/>
      <c r="H91" s="129" t="s">
        <v>25</v>
      </c>
      <c r="I91" s="74"/>
      <c r="J91" s="74"/>
      <c r="K91" s="74"/>
      <c r="L91" s="130">
        <f>SUM(L86:L88)</f>
        <v>1455834.535672517</v>
      </c>
      <c r="M91" s="36"/>
      <c r="O91" s="36"/>
      <c r="P91" s="36"/>
      <c r="Q91" s="36"/>
      <c r="R91" s="36"/>
      <c r="S91" s="36"/>
      <c r="T91" s="36"/>
      <c r="U91" s="36"/>
      <c r="V91" s="36"/>
      <c r="W91" s="36"/>
      <c r="X91" s="36"/>
      <c r="Y91" s="36"/>
      <c r="Z91" s="36"/>
      <c r="AA91" s="36"/>
      <c r="AB91" s="36"/>
      <c r="AC91" s="36"/>
      <c r="AD91" s="36"/>
      <c r="AE91" s="36"/>
      <c r="AF91" s="36"/>
      <c r="EJ91" s="2"/>
    </row>
    <row r="92" spans="1:140" ht="16.5" thickTop="1" thickBot="1">
      <c r="A92" s="36"/>
      <c r="B92" s="129" t="s">
        <v>25</v>
      </c>
      <c r="C92" s="74"/>
      <c r="D92" s="74"/>
      <c r="E92" s="74"/>
      <c r="F92" s="631">
        <f>SUM(F87:F91)</f>
        <v>1168346.8804233493</v>
      </c>
      <c r="G92" s="36"/>
      <c r="H92" s="104"/>
      <c r="I92" s="72"/>
      <c r="J92" s="72"/>
      <c r="K92" s="72"/>
      <c r="L92" s="105"/>
      <c r="M92" s="36"/>
      <c r="O92" s="36"/>
      <c r="P92" s="36"/>
      <c r="Q92" s="36"/>
      <c r="R92" s="36"/>
      <c r="S92" s="36"/>
      <c r="T92" s="36"/>
      <c r="U92" s="36"/>
      <c r="V92" s="36"/>
      <c r="W92" s="36"/>
      <c r="X92" s="36"/>
      <c r="Y92" s="36"/>
      <c r="Z92" s="36"/>
      <c r="AA92" s="36"/>
      <c r="AB92" s="36"/>
      <c r="AC92" s="36"/>
      <c r="AD92" s="36"/>
      <c r="AE92" s="36"/>
      <c r="AF92" s="36"/>
      <c r="EJ92" s="2"/>
    </row>
    <row r="93" spans="1:140" s="41" customFormat="1" ht="16.5" thickTop="1" thickBot="1">
      <c r="A93" s="36"/>
      <c r="B93" s="104"/>
      <c r="C93" s="72"/>
      <c r="D93" s="72"/>
      <c r="E93" s="72"/>
      <c r="F93" s="567"/>
      <c r="G93" s="36"/>
      <c r="H93" s="104" t="str">
        <f>B39</f>
        <v xml:space="preserve">  CAF</v>
      </c>
      <c r="I93" s="72"/>
      <c r="J93" s="1544">
        <f>D40</f>
        <v>1.7780248869661817E-2</v>
      </c>
      <c r="K93" s="72"/>
      <c r="L93" s="130">
        <f>L91+(L91*J93)-(L70*J93)</f>
        <v>1463955.4325163572</v>
      </c>
      <c r="M93" s="36"/>
      <c r="N93" s="36"/>
      <c r="O93" s="36"/>
      <c r="P93" s="36"/>
      <c r="Q93" s="36"/>
      <c r="R93" s="36"/>
      <c r="S93" s="36"/>
      <c r="T93" s="36"/>
      <c r="U93" s="36"/>
      <c r="V93" s="36"/>
      <c r="W93" s="36"/>
      <c r="X93" s="36"/>
      <c r="Y93" s="36"/>
      <c r="Z93" s="36"/>
      <c r="AA93" s="36"/>
      <c r="AB93" s="36"/>
      <c r="AC93" s="36"/>
      <c r="AD93" s="36"/>
      <c r="AE93" s="36"/>
      <c r="AF93" s="36"/>
    </row>
    <row r="94" spans="1:140" s="41" customFormat="1" ht="16.5" thickTop="1" thickBot="1">
      <c r="A94" s="36"/>
      <c r="B94" s="104" t="str">
        <f>B39</f>
        <v xml:space="preserve">  CAF</v>
      </c>
      <c r="C94" s="72"/>
      <c r="D94" s="1544">
        <f>D40</f>
        <v>1.7780248869661817E-2</v>
      </c>
      <c r="E94" s="72"/>
      <c r="F94" s="631">
        <f>F92+(F92*D94)-(F71*D94)</f>
        <v>1174813.0139305661</v>
      </c>
      <c r="G94" s="36"/>
      <c r="H94" s="104"/>
      <c r="I94" s="72"/>
      <c r="J94" s="131"/>
      <c r="K94" s="72"/>
      <c r="L94" s="132"/>
      <c r="M94" s="36"/>
      <c r="N94" s="36"/>
      <c r="O94" s="36"/>
      <c r="P94" s="36"/>
      <c r="Q94" s="36"/>
      <c r="R94" s="36"/>
      <c r="S94" s="36"/>
      <c r="T94" s="36"/>
      <c r="U94" s="36"/>
      <c r="V94" s="36"/>
      <c r="W94" s="36"/>
      <c r="X94" s="36"/>
      <c r="Y94" s="36"/>
      <c r="Z94" s="36"/>
      <c r="AA94" s="36"/>
      <c r="AB94" s="36"/>
      <c r="AC94" s="36"/>
      <c r="AD94" s="36"/>
      <c r="AE94" s="36"/>
      <c r="AF94" s="36"/>
    </row>
    <row r="95" spans="1:140" s="41" customFormat="1" ht="15.75" thickTop="1">
      <c r="A95" s="36"/>
      <c r="B95" s="104"/>
      <c r="C95" s="72"/>
      <c r="D95" s="131"/>
      <c r="E95" s="72"/>
      <c r="F95" s="632"/>
      <c r="G95" s="52"/>
      <c r="H95" s="104"/>
      <c r="I95" s="72"/>
      <c r="J95" s="72"/>
      <c r="K95" s="72"/>
      <c r="L95" s="136"/>
      <c r="M95" s="36"/>
      <c r="N95" s="36"/>
      <c r="O95" s="36"/>
      <c r="P95" s="36"/>
      <c r="Q95" s="36"/>
      <c r="R95" s="36"/>
      <c r="S95" s="36"/>
      <c r="T95" s="36"/>
      <c r="U95" s="36"/>
      <c r="V95" s="36"/>
      <c r="W95" s="36"/>
      <c r="X95" s="36"/>
      <c r="Y95" s="36"/>
      <c r="Z95" s="36"/>
      <c r="AA95" s="36"/>
      <c r="AB95" s="36"/>
      <c r="AC95" s="36"/>
      <c r="AD95" s="36"/>
      <c r="AE95" s="36"/>
      <c r="AF95" s="36"/>
      <c r="AG95" s="36"/>
    </row>
    <row r="96" spans="1:140" s="41" customFormat="1" ht="15.75" thickBot="1">
      <c r="A96" s="36"/>
      <c r="B96" s="104"/>
      <c r="C96" s="72"/>
      <c r="D96" s="72"/>
      <c r="E96" s="72"/>
      <c r="F96" s="633"/>
      <c r="G96" s="36"/>
      <c r="H96" s="104" t="s">
        <v>28</v>
      </c>
      <c r="I96" s="72"/>
      <c r="J96" s="72"/>
      <c r="K96" s="73"/>
      <c r="L96" s="125"/>
      <c r="M96" s="966">
        <f>L99/L98</f>
        <v>1.3936006788838638E-2</v>
      </c>
      <c r="N96" s="36"/>
      <c r="O96" s="36"/>
      <c r="P96" s="36"/>
      <c r="Q96" s="36"/>
      <c r="R96" s="36"/>
      <c r="S96" s="36"/>
      <c r="T96" s="36"/>
      <c r="U96" s="36"/>
      <c r="V96" s="36"/>
      <c r="W96" s="36"/>
      <c r="X96" s="36"/>
      <c r="Y96" s="36"/>
      <c r="Z96" s="36"/>
      <c r="AA96" s="36"/>
      <c r="AB96" s="36"/>
      <c r="AC96" s="36"/>
      <c r="AD96" s="36"/>
      <c r="AE96" s="36"/>
      <c r="AF96" s="36"/>
      <c r="AG96" s="36"/>
    </row>
    <row r="97" spans="1:50" s="41" customFormat="1" ht="15.75" thickBot="1">
      <c r="A97" s="36"/>
      <c r="B97" s="104" t="s">
        <v>28</v>
      </c>
      <c r="C97" s="72"/>
      <c r="D97" s="72"/>
      <c r="E97" s="73"/>
      <c r="F97" s="614"/>
      <c r="G97" s="36"/>
      <c r="H97" s="584" t="s">
        <v>600</v>
      </c>
      <c r="I97" s="358"/>
      <c r="J97" s="359"/>
      <c r="K97" s="360"/>
      <c r="L97" s="1569">
        <f>L93/L57</f>
        <v>364.62152740133428</v>
      </c>
      <c r="M97" s="36"/>
      <c r="N97" s="36"/>
      <c r="O97" s="36"/>
      <c r="P97" s="36"/>
      <c r="Q97" s="36"/>
      <c r="R97" s="36"/>
      <c r="S97" s="36"/>
      <c r="T97" s="36"/>
      <c r="U97" s="36"/>
      <c r="V97" s="36"/>
      <c r="W97" s="36"/>
      <c r="X97" s="36"/>
      <c r="Y97" s="36"/>
      <c r="Z97" s="36"/>
      <c r="AA97" s="36"/>
      <c r="AB97" s="36"/>
      <c r="AC97" s="36"/>
      <c r="AD97" s="36"/>
      <c r="AE97" s="36"/>
      <c r="AF97" s="36"/>
      <c r="AG97" s="36"/>
    </row>
    <row r="98" spans="1:50" s="2" customFormat="1" ht="15.75" thickBot="1">
      <c r="A98" s="36"/>
      <c r="B98" s="584" t="s">
        <v>600</v>
      </c>
      <c r="C98" s="358"/>
      <c r="D98" s="359"/>
      <c r="E98" s="360"/>
      <c r="F98" s="1570">
        <f>F94/F58</f>
        <v>402.33322394882401</v>
      </c>
      <c r="G98" s="36"/>
      <c r="H98" s="36"/>
      <c r="I98" s="36"/>
      <c r="J98" s="36"/>
      <c r="K98" s="979" t="s">
        <v>783</v>
      </c>
      <c r="L98" s="979">
        <v>359.61</v>
      </c>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row>
    <row r="99" spans="1:50" s="2" customFormat="1">
      <c r="A99" s="36"/>
      <c r="B99" s="36"/>
      <c r="C99" s="45"/>
      <c r="D99" s="45"/>
      <c r="E99" s="979" t="s">
        <v>783</v>
      </c>
      <c r="F99" s="979">
        <v>395.72</v>
      </c>
      <c r="G99" s="966">
        <f>F100/F99</f>
        <v>1.6711876955483641E-2</v>
      </c>
      <c r="H99" s="36"/>
      <c r="I99" s="36"/>
      <c r="J99" s="36"/>
      <c r="K99" s="36"/>
      <c r="L99" s="976">
        <f>L97-L98</f>
        <v>5.0115274013342628</v>
      </c>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row>
    <row r="100" spans="1:50" s="2" customFormat="1">
      <c r="A100" s="36"/>
      <c r="B100" s="36"/>
      <c r="C100" s="36"/>
      <c r="D100" s="36"/>
      <c r="E100" s="36"/>
      <c r="F100" s="976">
        <f>F98-F99</f>
        <v>6.6132239488239861</v>
      </c>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row>
    <row r="101" spans="1:50" s="2" customForma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row>
    <row r="102" spans="1:50" s="2" customFormat="1">
      <c r="A102" s="36"/>
      <c r="B102" s="36"/>
      <c r="C102" s="36"/>
      <c r="D102" s="36"/>
      <c r="E102" s="1578"/>
      <c r="F102" s="36"/>
      <c r="G102" s="36"/>
      <c r="H102" s="36"/>
      <c r="I102" s="36"/>
      <c r="J102" s="36"/>
      <c r="K102" s="1578"/>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row>
    <row r="103" spans="1:50" s="2" customForma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row>
    <row r="104" spans="1:50" s="2" customForma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row>
    <row r="105" spans="1:50" s="2" customForma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row>
    <row r="106" spans="1:50" s="2" customForma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row>
    <row r="107" spans="1:50" s="2" customForma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row>
    <row r="108" spans="1:50" s="2" customForma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row>
    <row r="109" spans="1:50" s="2" customForma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row>
    <row r="110" spans="1:50" s="2" customForma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row>
    <row r="111" spans="1:50" s="2" customForma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row>
    <row r="112" spans="1:50" s="2" customForma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row>
    <row r="113" spans="1:50" s="2" customForma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row>
    <row r="114" spans="1:50" s="2" customForma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row>
    <row r="115" spans="1:50" s="2" customForma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row>
    <row r="116" spans="1:50" s="2" customForma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row>
    <row r="117" spans="1:50" s="2" customForma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row>
    <row r="118" spans="1:50" s="2" customForma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row>
    <row r="119" spans="1:50" s="2" customForma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row>
    <row r="120" spans="1:50" s="2" customForma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row>
    <row r="121" spans="1:50" s="2" customForma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row>
    <row r="122" spans="1:50" s="2" customForma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row>
    <row r="123" spans="1:50" s="2" customForma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row>
    <row r="124" spans="1:50" s="2" customForma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row>
    <row r="125" spans="1:50" s="2" customForma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row>
    <row r="126" spans="1:50" s="2" customForma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row>
    <row r="127" spans="1:50" s="2" customForma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row>
    <row r="128" spans="1:50" s="2" customForma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row>
    <row r="129" spans="1:50" s="2" customForma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row>
    <row r="130" spans="1:50" s="2" customForma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row>
    <row r="131" spans="1:50" s="2" customForma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row>
    <row r="132" spans="1:50" s="2" customForma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row>
    <row r="133" spans="1:50" s="2" customForma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row>
    <row r="134" spans="1:50" s="2" customForma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row>
    <row r="135" spans="1:50" s="2" customForma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row>
    <row r="136" spans="1:50" s="2" customForma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row>
    <row r="137" spans="1:50" s="2" customForma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row>
    <row r="138" spans="1:50" s="2" customForma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row>
    <row r="139" spans="1:50" s="2" customForma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row>
    <row r="140" spans="1:50" s="2" customForma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row>
    <row r="141" spans="1:50" s="2" customForma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row>
    <row r="142" spans="1:50" s="2" customForma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row>
    <row r="143" spans="1:50" s="2" customForma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row>
    <row r="144" spans="1:50" s="2" customForma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row>
    <row r="145" spans="1:50" s="2" customForma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row>
    <row r="146" spans="1:50" s="2" customForma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row>
    <row r="147" spans="1:50" s="2" customForma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row>
    <row r="148" spans="1:50" s="2" customForma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row>
    <row r="149" spans="1:50" s="2" customForma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row>
    <row r="150" spans="1:50" s="2" customForma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row>
    <row r="151" spans="1:50" s="2" customForma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row>
    <row r="152" spans="1:50" s="2" customForma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row>
    <row r="153" spans="1:50" s="2" customForma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row>
    <row r="154" spans="1:50" s="2" customForma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row>
    <row r="155" spans="1:50" s="2" customForma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row>
    <row r="156" spans="1:50" s="2" customForma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row>
    <row r="157" spans="1:50" s="2" customForma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row>
    <row r="158" spans="1:50" s="2" customForma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row>
    <row r="159" spans="1:50" s="2" customForma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row>
    <row r="160" spans="1:50" s="2" customForma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row>
    <row r="161" spans="1:50" s="2" customForma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row>
    <row r="162" spans="1:50" s="2" customForma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row>
    <row r="163" spans="1:50" s="2" customForma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row>
    <row r="164" spans="1:50" s="2" customForma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row>
    <row r="165" spans="1:50" s="2" customForma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row>
    <row r="166" spans="1:50" s="2" customForma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row>
    <row r="167" spans="1:50" s="2" customForma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row>
    <row r="168" spans="1:50" s="2" customForma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row>
    <row r="169" spans="1:50" s="2" customForma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row>
    <row r="170" spans="1:50" s="2" customForma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row>
    <row r="171" spans="1:50" s="2" customForma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row>
    <row r="172" spans="1:50" s="2" customForma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row>
    <row r="173" spans="1:50" s="2" customForma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row>
    <row r="174" spans="1:50" s="2" customForma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row>
    <row r="175" spans="1:50" s="2" customForma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row>
    <row r="176" spans="1:50" s="2" customForma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row>
    <row r="177" spans="1:50" s="2" customForma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row>
    <row r="178" spans="1:50" s="2" customForma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row>
    <row r="179" spans="1:50" s="2" customForma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row>
    <row r="180" spans="1:50" s="2" customForma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row>
    <row r="181" spans="1:50" s="2" customForma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row>
    <row r="182" spans="1:50" s="2" customForma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row>
    <row r="183" spans="1:50" s="2" customForma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row>
    <row r="184" spans="1:50" s="2" customForma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row>
    <row r="185" spans="1:50" s="2" customForma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row>
    <row r="186" spans="1:50" s="2" customForma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row>
    <row r="187" spans="1:50" s="2" customForma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row>
    <row r="188" spans="1:50" s="2" customForma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row>
    <row r="189" spans="1:50" s="2" customForma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row>
    <row r="190" spans="1:50" s="2" customForma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row>
    <row r="191" spans="1:50" s="2" customForma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row>
    <row r="192" spans="1:50" s="2" customForma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row>
    <row r="193" spans="1:50" s="2" customForma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row>
    <row r="194" spans="1:50" s="2" customForma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row>
    <row r="195" spans="1:50" s="2" customForma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row>
    <row r="196" spans="1:50" s="2" customForma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row>
    <row r="197" spans="1:50" s="2" customForma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row>
    <row r="198" spans="1:50" s="2" customForma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row>
    <row r="199" spans="1:50" s="2" customForma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row>
    <row r="200" spans="1:50" s="2" customForma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row>
    <row r="201" spans="1:50" s="2" customForma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row>
    <row r="202" spans="1:50" s="2" customForma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row>
    <row r="203" spans="1:50" s="2" customForma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row>
    <row r="204" spans="1:50" s="2" customForma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row>
    <row r="205" spans="1:50" s="2" customForma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row>
    <row r="206" spans="1:50" s="2" customForma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row>
    <row r="207" spans="1:50" s="2" customForma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row>
    <row r="208" spans="1:50" s="2" customForma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row>
    <row r="209" spans="1:50" s="2" customForma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row>
    <row r="210" spans="1:50" s="2" customForma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row>
    <row r="211" spans="1:50" s="2" customForma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row>
    <row r="212" spans="1:50" s="41" customForma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row>
    <row r="213" spans="1:50" s="41" customForma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row>
    <row r="214" spans="1:50" s="41" customForma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row>
    <row r="215" spans="1:50" s="41" customForma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row>
    <row r="216" spans="1:50" s="41" customForma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row>
    <row r="217" spans="1:50" s="41" customForma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row>
    <row r="218" spans="1:50" s="41" customForma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row>
    <row r="219" spans="1:50" s="41" customForma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row>
    <row r="220" spans="1:50" s="41" customForma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row>
    <row r="221" spans="1:50" s="41" customForma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row>
    <row r="222" spans="1:50" s="41" customForma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row>
    <row r="223" spans="1:50" s="41" customForma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row>
    <row r="224" spans="1:50" s="41" customForma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row>
    <row r="225" spans="1:50" s="41" customForma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row>
    <row r="226" spans="1:50" s="41" customForma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row>
    <row r="227" spans="1:50" s="41" customForma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row>
    <row r="228" spans="1:50" s="41" customForma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row>
    <row r="229" spans="1:50" s="41" customForma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row>
    <row r="230" spans="1:50" s="41" customForma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row>
    <row r="231" spans="1:50" s="41" customForma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row>
    <row r="232" spans="1:50" s="41" customForma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row>
    <row r="233" spans="1:50" s="41" customForma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row>
    <row r="234" spans="1:50" s="41" customForma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row>
    <row r="235" spans="1:50" s="41" customForma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row>
    <row r="236" spans="1:50" s="41" customForma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row>
    <row r="237" spans="1:50" s="41" customForma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row>
    <row r="238" spans="1:50" s="41" customForma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row>
    <row r="239" spans="1:50" s="41" customForma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row>
    <row r="240" spans="1:50" s="41" customForma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row>
    <row r="241" spans="1:50" s="41" customForma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row>
    <row r="242" spans="1:50" s="41" customForma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row>
    <row r="243" spans="1:50" s="41" customForma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row>
    <row r="244" spans="1:50" s="41" customForma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row>
    <row r="245" spans="1:50" s="41" customForma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row>
    <row r="246" spans="1:50" s="41" customForma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row>
    <row r="247" spans="1:50" s="41" customForma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row>
    <row r="248" spans="1:50" s="41" customForma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row>
    <row r="249" spans="1:50" s="41" customForma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row>
    <row r="250" spans="1:50" s="41" customForma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row>
    <row r="251" spans="1:50" s="41" customForma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row>
    <row r="252" spans="1:50" s="41" customForma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row>
    <row r="253" spans="1:50" s="41" customForma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row>
    <row r="254" spans="1:50" s="41" customForma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row>
    <row r="255" spans="1:50" s="41" customForma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row>
    <row r="256" spans="1:50" s="41" customForma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row>
    <row r="257" spans="1:50" s="41" customForma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row>
    <row r="258" spans="1:50" s="41" customForma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row>
    <row r="259" spans="1:50" s="41" customForma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row>
    <row r="260" spans="1:50" s="41" customForma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row>
    <row r="261" spans="1:50" s="41" customForma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row>
    <row r="262" spans="1:50" s="41" customForma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row>
    <row r="263" spans="1:50" s="41" customForma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row>
    <row r="264" spans="1:50" s="41" customForma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row>
    <row r="265" spans="1:50" s="41" customForma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row>
    <row r="266" spans="1:50" s="41" customForma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row>
    <row r="267" spans="1:50" s="41" customForma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row>
    <row r="268" spans="1:50" s="41" customForma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row>
    <row r="269" spans="1:50" s="41" customForma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row>
    <row r="270" spans="1:50" s="41" customForma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row>
    <row r="271" spans="1:50" s="41" customForma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row>
    <row r="272" spans="1:50" s="41" customForma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row>
    <row r="273" spans="1:50" s="41" customForma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row>
    <row r="274" spans="1:50" s="41" customForma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row>
    <row r="275" spans="1:50" s="41" customForma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row>
    <row r="276" spans="1:50" s="41" customForma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row>
    <row r="277" spans="1:50" s="41" customForma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row>
    <row r="278" spans="1:50" s="41" customForma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row>
    <row r="279" spans="1:50" s="41" customForma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row>
    <row r="280" spans="1:50" s="41" customFormat="1">
      <c r="B280" s="36"/>
      <c r="C280" s="36"/>
      <c r="D280" s="36"/>
      <c r="E280" s="36"/>
      <c r="F280" s="36"/>
      <c r="G280" s="36"/>
      <c r="H280" s="36"/>
      <c r="I280" s="36"/>
      <c r="J280" s="36"/>
      <c r="K280" s="36"/>
      <c r="L280" s="36"/>
    </row>
    <row r="281" spans="1:50" s="41" customFormat="1">
      <c r="B281" s="36"/>
      <c r="C281" s="36"/>
      <c r="D281" s="36"/>
      <c r="E281" s="36"/>
      <c r="F281" s="36"/>
      <c r="G281" s="36"/>
      <c r="H281" s="36"/>
      <c r="I281" s="36"/>
      <c r="J281" s="36"/>
      <c r="K281" s="36"/>
      <c r="L281" s="36"/>
    </row>
    <row r="282" spans="1:50" s="41" customFormat="1">
      <c r="B282" s="36"/>
      <c r="C282" s="36"/>
      <c r="D282" s="36"/>
      <c r="E282" s="36"/>
      <c r="F282" s="36"/>
      <c r="G282" s="36"/>
      <c r="H282" s="36"/>
      <c r="I282" s="36"/>
      <c r="J282" s="36"/>
      <c r="K282" s="36"/>
      <c r="L282" s="36"/>
    </row>
    <row r="283" spans="1:50" s="41" customFormat="1">
      <c r="B283" s="36"/>
      <c r="C283" s="36"/>
      <c r="D283" s="36"/>
      <c r="E283" s="36"/>
      <c r="F283" s="36"/>
    </row>
    <row r="284" spans="1:50" s="41" customFormat="1"/>
    <row r="285" spans="1:50" s="41" customFormat="1"/>
    <row r="286" spans="1:50" s="41" customFormat="1"/>
    <row r="287" spans="1:50" s="41" customFormat="1"/>
    <row r="288" spans="1:50" s="41" customFormat="1"/>
    <row r="289" s="41" customFormat="1"/>
    <row r="290" s="41" customFormat="1"/>
    <row r="291" s="41" customFormat="1"/>
    <row r="292" s="41" customFormat="1"/>
    <row r="293" s="41" customFormat="1"/>
    <row r="294" s="41" customFormat="1"/>
    <row r="295" s="41" customFormat="1"/>
    <row r="296" s="41" customFormat="1"/>
    <row r="297" s="41" customFormat="1"/>
    <row r="298" s="41" customFormat="1"/>
    <row r="299" s="41" customFormat="1"/>
    <row r="300" s="41" customFormat="1"/>
    <row r="301" s="41" customFormat="1"/>
    <row r="302" s="41" customFormat="1"/>
    <row r="303" s="41" customFormat="1"/>
    <row r="304" s="41" customFormat="1"/>
    <row r="305" s="41" customFormat="1"/>
    <row r="306" s="41" customFormat="1"/>
    <row r="307" s="41" customFormat="1"/>
    <row r="308" s="41" customFormat="1"/>
    <row r="309" s="41" customFormat="1"/>
    <row r="310" s="41" customFormat="1"/>
    <row r="311" s="41" customFormat="1"/>
    <row r="312" s="41" customFormat="1"/>
    <row r="313" s="41" customFormat="1"/>
    <row r="314" s="41" customFormat="1"/>
    <row r="315" s="41" customFormat="1"/>
    <row r="316" s="41" customFormat="1"/>
    <row r="317" s="41" customFormat="1"/>
    <row r="318" s="41" customFormat="1"/>
    <row r="319" s="41" customFormat="1"/>
    <row r="320" s="41" customFormat="1"/>
    <row r="321" s="41" customFormat="1"/>
    <row r="322" s="41" customFormat="1"/>
    <row r="323" s="41" customFormat="1"/>
    <row r="324" s="41" customFormat="1"/>
    <row r="325" s="41" customFormat="1"/>
    <row r="326" s="41" customFormat="1"/>
    <row r="327" s="41" customFormat="1"/>
    <row r="328" s="41" customFormat="1"/>
    <row r="329" s="41" customFormat="1"/>
    <row r="330" s="41" customFormat="1"/>
    <row r="331" s="41" customFormat="1"/>
    <row r="332" s="41" customFormat="1"/>
    <row r="333" s="41" customFormat="1"/>
    <row r="334" s="41" customFormat="1"/>
    <row r="335" s="41" customFormat="1"/>
    <row r="336" s="41" customFormat="1"/>
    <row r="337" s="41" customFormat="1"/>
    <row r="338" s="41" customFormat="1"/>
    <row r="339" s="41" customFormat="1"/>
    <row r="340" s="41" customFormat="1"/>
    <row r="341" s="41" customFormat="1"/>
    <row r="342" s="41" customFormat="1"/>
    <row r="343" s="41" customFormat="1"/>
    <row r="344" s="41" customFormat="1"/>
    <row r="345" s="41" customFormat="1"/>
    <row r="346" s="41" customFormat="1"/>
    <row r="347" s="41" customFormat="1"/>
    <row r="348" s="41" customFormat="1"/>
    <row r="349" s="41" customFormat="1"/>
    <row r="350" s="41" customFormat="1"/>
    <row r="351" s="41" customFormat="1"/>
    <row r="352" s="41" customFormat="1"/>
    <row r="353" s="41" customFormat="1"/>
    <row r="354" s="41" customFormat="1"/>
    <row r="355" s="41" customFormat="1"/>
    <row r="356" s="41" customFormat="1"/>
    <row r="357" s="41" customFormat="1"/>
    <row r="358" s="41" customFormat="1"/>
    <row r="359" s="41" customFormat="1"/>
    <row r="360" s="41" customFormat="1"/>
    <row r="361" s="41" customFormat="1"/>
    <row r="362" s="41" customFormat="1"/>
    <row r="363" s="41" customFormat="1"/>
    <row r="364" s="41" customFormat="1"/>
    <row r="365" s="41" customFormat="1"/>
    <row r="366" s="41" customFormat="1"/>
    <row r="367" s="41" customFormat="1"/>
    <row r="368" s="41" customFormat="1"/>
    <row r="369" s="41" customFormat="1"/>
    <row r="370" s="41" customFormat="1"/>
    <row r="371" s="41" customFormat="1"/>
    <row r="372" s="41" customFormat="1"/>
    <row r="373" s="41" customFormat="1"/>
    <row r="374" s="41" customFormat="1"/>
    <row r="375" s="41" customFormat="1"/>
    <row r="376" s="41" customFormat="1"/>
    <row r="377" s="41" customFormat="1"/>
    <row r="378" s="41" customFormat="1"/>
    <row r="379" s="41" customFormat="1"/>
    <row r="380" s="41" customFormat="1"/>
    <row r="381" s="41" customFormat="1"/>
    <row r="382" s="41" customFormat="1"/>
    <row r="383" s="41" customFormat="1"/>
    <row r="384" s="41" customFormat="1"/>
    <row r="385" s="41" customFormat="1"/>
    <row r="386" s="41" customFormat="1"/>
    <row r="387" s="41" customFormat="1"/>
    <row r="388" s="41" customFormat="1"/>
    <row r="389" s="41" customFormat="1"/>
    <row r="390" s="41" customFormat="1"/>
    <row r="391" s="41" customFormat="1"/>
    <row r="392" s="41" customFormat="1"/>
    <row r="393" s="41" customFormat="1"/>
    <row r="394" s="41" customFormat="1"/>
    <row r="395" s="41" customFormat="1"/>
    <row r="396" s="41" customFormat="1"/>
    <row r="397" s="41" customFormat="1"/>
    <row r="398" s="41" customFormat="1"/>
    <row r="399" s="41" customFormat="1"/>
    <row r="400" s="41" customFormat="1"/>
    <row r="401" s="41" customFormat="1"/>
    <row r="402" s="41" customFormat="1"/>
    <row r="403" s="41" customFormat="1"/>
    <row r="404" s="41" customFormat="1"/>
    <row r="405" s="41" customFormat="1"/>
    <row r="406" s="41" customFormat="1"/>
    <row r="407" s="41" customFormat="1"/>
    <row r="408" s="41" customFormat="1"/>
    <row r="409" s="41" customFormat="1"/>
    <row r="410" s="41" customFormat="1"/>
    <row r="411" s="41" customFormat="1"/>
    <row r="412" s="41" customFormat="1"/>
    <row r="413" s="41" customFormat="1"/>
    <row r="414" s="41" customFormat="1"/>
    <row r="415" s="41" customFormat="1"/>
    <row r="416" s="41" customFormat="1"/>
    <row r="417" s="41" customFormat="1"/>
    <row r="418" s="41" customFormat="1"/>
    <row r="419" s="41" customFormat="1"/>
    <row r="420" s="41" customFormat="1"/>
    <row r="421" s="41" customFormat="1"/>
    <row r="422" s="41" customFormat="1"/>
    <row r="423" s="41" customFormat="1"/>
    <row r="424" s="41" customFormat="1"/>
    <row r="425" s="41" customFormat="1"/>
    <row r="426" s="41" customFormat="1"/>
    <row r="427" s="41" customFormat="1"/>
    <row r="428" s="41" customFormat="1"/>
    <row r="429" s="41" customFormat="1"/>
    <row r="430" s="41" customFormat="1"/>
    <row r="431" s="41" customFormat="1"/>
    <row r="432" s="41" customFormat="1"/>
    <row r="433" s="41" customFormat="1"/>
    <row r="434" s="41" customFormat="1"/>
    <row r="435" s="41" customFormat="1"/>
    <row r="436" s="41" customFormat="1"/>
    <row r="437" s="41" customFormat="1"/>
    <row r="438" s="41" customFormat="1"/>
    <row r="439" s="41" customFormat="1"/>
    <row r="440" s="41" customFormat="1"/>
    <row r="441" s="41" customFormat="1"/>
    <row r="442" s="41" customFormat="1"/>
    <row r="443" s="41" customFormat="1"/>
    <row r="444" s="41" customFormat="1"/>
    <row r="445" s="41" customFormat="1"/>
    <row r="446" s="41" customFormat="1"/>
    <row r="447" s="41" customFormat="1"/>
    <row r="448" s="41" customFormat="1"/>
    <row r="449" s="41" customFormat="1"/>
    <row r="450" s="41" customFormat="1"/>
    <row r="451" s="41" customFormat="1"/>
    <row r="452" s="41" customFormat="1"/>
    <row r="453" s="41" customFormat="1"/>
    <row r="454" s="41" customFormat="1"/>
    <row r="455" s="41" customFormat="1"/>
    <row r="456" s="41" customFormat="1"/>
    <row r="457" s="41" customFormat="1"/>
    <row r="458" s="41" customFormat="1"/>
    <row r="459" s="41" customFormat="1"/>
    <row r="460" s="41" customFormat="1"/>
    <row r="461" s="41" customFormat="1"/>
    <row r="462" s="41" customFormat="1"/>
    <row r="463" s="41" customFormat="1"/>
    <row r="464" s="41" customFormat="1"/>
    <row r="465" spans="2:13" s="41" customFormat="1"/>
    <row r="466" spans="2:13" s="41" customFormat="1"/>
    <row r="467" spans="2:13" s="41" customFormat="1"/>
    <row r="468" spans="2:13" s="41" customFormat="1"/>
    <row r="469" spans="2:13" s="41" customFormat="1"/>
    <row r="470" spans="2:13" s="41" customFormat="1"/>
    <row r="471" spans="2:13" s="41" customFormat="1"/>
    <row r="472" spans="2:13" s="41" customFormat="1"/>
    <row r="473" spans="2:13" s="41" customFormat="1"/>
    <row r="474" spans="2:13" s="41" customFormat="1"/>
    <row r="475" spans="2:13" s="41" customFormat="1"/>
    <row r="476" spans="2:13" s="41" customFormat="1"/>
    <row r="477" spans="2:13">
      <c r="B477" s="41"/>
      <c r="C477" s="41"/>
      <c r="D477" s="41"/>
      <c r="E477" s="41"/>
      <c r="F477" s="41"/>
      <c r="G477" s="41"/>
      <c r="H477" s="41"/>
      <c r="I477" s="41"/>
      <c r="J477" s="41"/>
      <c r="K477" s="41"/>
      <c r="L477" s="41"/>
      <c r="M477" s="41"/>
    </row>
    <row r="478" spans="2:13">
      <c r="B478" s="41"/>
      <c r="C478" s="41"/>
      <c r="D478" s="41"/>
      <c r="E478" s="41"/>
      <c r="F478" s="41"/>
      <c r="G478" s="41"/>
      <c r="H478" s="41"/>
      <c r="I478" s="41"/>
      <c r="J478" s="41"/>
      <c r="K478" s="41"/>
      <c r="L478" s="41"/>
      <c r="M478" s="41"/>
    </row>
    <row r="479" spans="2:13">
      <c r="B479" s="41"/>
      <c r="C479" s="41"/>
      <c r="D479" s="41"/>
      <c r="E479" s="41"/>
      <c r="F479" s="41"/>
      <c r="G479" s="41"/>
      <c r="H479" s="41"/>
      <c r="I479" s="41"/>
      <c r="J479" s="41"/>
      <c r="K479" s="41"/>
      <c r="L479" s="41"/>
      <c r="M479" s="41"/>
    </row>
    <row r="480" spans="2:13">
      <c r="B480" s="41"/>
      <c r="C480" s="41"/>
      <c r="D480" s="41"/>
      <c r="E480" s="41"/>
      <c r="F480" s="41"/>
      <c r="H480" s="41"/>
      <c r="I480" s="41"/>
      <c r="J480" s="41"/>
      <c r="K480" s="41"/>
      <c r="L480" s="41"/>
    </row>
    <row r="481" spans="2:12">
      <c r="B481" s="41"/>
      <c r="C481" s="41"/>
      <c r="D481" s="41"/>
      <c r="E481" s="41"/>
      <c r="F481" s="41"/>
      <c r="I481" s="41"/>
      <c r="J481" s="41"/>
      <c r="K481" s="41"/>
      <c r="L481" s="41"/>
    </row>
    <row r="482" spans="2:12">
      <c r="B482" s="41"/>
      <c r="C482" s="41"/>
      <c r="D482" s="41"/>
      <c r="E482" s="41"/>
      <c r="F482" s="41"/>
      <c r="I482" s="41"/>
      <c r="J482" s="41"/>
      <c r="K482" s="41"/>
      <c r="L482" s="41"/>
    </row>
    <row r="483" spans="2:12">
      <c r="B483" s="41"/>
      <c r="C483" s="41"/>
      <c r="D483" s="41"/>
      <c r="E483" s="41"/>
      <c r="F483" s="41"/>
    </row>
  </sheetData>
  <mergeCells count="6">
    <mergeCell ref="H56:L56"/>
    <mergeCell ref="B1:F1"/>
    <mergeCell ref="H1:L1"/>
    <mergeCell ref="H9:L9"/>
    <mergeCell ref="B57:F57"/>
    <mergeCell ref="B55:F56"/>
  </mergeCells>
  <pageMargins left="0.25" right="0.25" top="0.25" bottom="0.25" header="0.3" footer="0.3"/>
  <pageSetup scale="73" fitToHeight="0" orientation="portrait" r:id="rId1"/>
  <headerFooter>
    <oddFooter>&amp;R&amp;P of &amp;N</oddFooter>
  </headerFooter>
  <rowBreaks count="2" manualBreakCount="2">
    <brk id="52" min="1" max="11" man="1"/>
    <brk id="56" min="1" max="5"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3" tint="0.79998168889431442"/>
  </sheetPr>
  <dimension ref="A1:EJ480"/>
  <sheetViews>
    <sheetView topLeftCell="A52" zoomScale="70" zoomScaleNormal="70" workbookViewId="0">
      <selection activeCell="B85" sqref="B85:D85"/>
    </sheetView>
  </sheetViews>
  <sheetFormatPr defaultColWidth="9.42578125" defaultRowHeight="15"/>
  <cols>
    <col min="1" max="1" width="2.42578125" style="2" customWidth="1"/>
    <col min="2" max="2" width="27.5703125" style="2" customWidth="1"/>
    <col min="3" max="3" width="29.5703125" style="2" customWidth="1"/>
    <col min="4" max="5" width="11.42578125" style="2" customWidth="1"/>
    <col min="6" max="6" width="51.5703125" style="2" customWidth="1"/>
    <col min="7" max="7" width="7.42578125" style="2" customWidth="1"/>
    <col min="8" max="8" width="3.5703125" style="2" customWidth="1"/>
    <col min="9" max="9" width="22.5703125" style="2" customWidth="1"/>
    <col min="10" max="10" width="16.42578125" style="2" customWidth="1"/>
    <col min="11" max="11" width="20.5703125" style="2" customWidth="1"/>
    <col min="12" max="12" width="20.42578125" style="2" customWidth="1"/>
    <col min="13" max="13" width="29.42578125" style="2" customWidth="1"/>
    <col min="14" max="14" width="14" style="36" customWidth="1"/>
    <col min="15" max="140" width="9.42578125" style="41"/>
    <col min="141" max="16384" width="9.42578125" style="2"/>
  </cols>
  <sheetData>
    <row r="1" spans="1:140" ht="15.75" thickBot="1">
      <c r="A1" s="36"/>
      <c r="B1" s="2554" t="s">
        <v>546</v>
      </c>
      <c r="C1" s="2554"/>
      <c r="D1" s="2554"/>
      <c r="E1" s="2554"/>
      <c r="F1" s="2554"/>
      <c r="G1" s="253"/>
      <c r="H1" s="2587" t="s">
        <v>578</v>
      </c>
      <c r="I1" s="2587"/>
      <c r="J1" s="2587"/>
      <c r="K1" s="2587"/>
      <c r="L1" s="2587"/>
      <c r="M1" s="36"/>
      <c r="N1" s="41"/>
      <c r="EJ1" s="2"/>
    </row>
    <row r="2" spans="1:140" ht="16.5" thickBot="1">
      <c r="A2" s="36"/>
      <c r="B2" s="36"/>
      <c r="C2" s="36"/>
      <c r="D2" s="36"/>
      <c r="E2" s="36"/>
      <c r="F2" s="36"/>
      <c r="G2" s="36"/>
      <c r="H2" s="37"/>
      <c r="I2" s="36"/>
      <c r="J2" s="36"/>
      <c r="K2" s="36"/>
      <c r="L2" s="36"/>
      <c r="M2" s="36"/>
      <c r="N2" s="41"/>
      <c r="EJ2" s="2"/>
    </row>
    <row r="3" spans="1:140">
      <c r="A3" s="36"/>
      <c r="B3" s="138" t="s">
        <v>0</v>
      </c>
      <c r="C3" s="139" t="s">
        <v>1</v>
      </c>
      <c r="D3" s="163" t="s">
        <v>2</v>
      </c>
      <c r="E3" s="39"/>
      <c r="F3" s="39"/>
      <c r="G3" s="36"/>
      <c r="H3" s="36"/>
      <c r="I3" s="36"/>
      <c r="J3" s="36"/>
      <c r="K3" s="36"/>
      <c r="L3" s="36"/>
      <c r="M3" s="36"/>
      <c r="N3" s="41"/>
      <c r="EJ3" s="2"/>
    </row>
    <row r="4" spans="1:140">
      <c r="A4" s="36"/>
      <c r="B4" s="140" t="s">
        <v>370</v>
      </c>
      <c r="C4" s="141">
        <v>10</v>
      </c>
      <c r="D4" s="164">
        <f>C4*8</f>
        <v>80</v>
      </c>
      <c r="E4" s="39"/>
      <c r="F4" s="39"/>
      <c r="G4" s="36"/>
      <c r="H4" s="36"/>
      <c r="I4" s="36"/>
      <c r="J4" s="36"/>
      <c r="K4" s="36"/>
      <c r="L4" s="36"/>
      <c r="M4" s="36"/>
      <c r="N4" s="41"/>
      <c r="EJ4" s="2"/>
    </row>
    <row r="5" spans="1:140">
      <c r="A5" s="36"/>
      <c r="B5" s="140" t="s">
        <v>378</v>
      </c>
      <c r="C5" s="141">
        <v>10</v>
      </c>
      <c r="D5" s="164">
        <f>C5*8</f>
        <v>80</v>
      </c>
      <c r="E5" s="39"/>
      <c r="F5" s="39"/>
      <c r="G5" s="36"/>
      <c r="H5" s="36"/>
      <c r="I5" s="36"/>
      <c r="J5" s="36"/>
      <c r="K5" s="36"/>
      <c r="L5" s="36"/>
      <c r="M5" s="36"/>
      <c r="N5" s="41"/>
      <c r="EJ5" s="2"/>
    </row>
    <row r="6" spans="1:140">
      <c r="A6" s="36"/>
      <c r="B6" s="140" t="s">
        <v>372</v>
      </c>
      <c r="C6" s="141">
        <v>10</v>
      </c>
      <c r="D6" s="164">
        <f>C6*8</f>
        <v>80</v>
      </c>
      <c r="E6" s="39"/>
      <c r="F6" s="39"/>
      <c r="G6" s="36"/>
      <c r="H6" s="36"/>
      <c r="I6" s="36"/>
      <c r="J6" s="36"/>
      <c r="K6" s="36"/>
      <c r="L6" s="36"/>
      <c r="M6" s="36"/>
      <c r="N6" s="41"/>
      <c r="EJ6" s="2"/>
    </row>
    <row r="7" spans="1:140">
      <c r="A7" s="36"/>
      <c r="B7" s="142" t="s">
        <v>14</v>
      </c>
      <c r="C7" s="141">
        <v>10</v>
      </c>
      <c r="D7" s="165">
        <f>C7*8</f>
        <v>80</v>
      </c>
      <c r="E7" s="39"/>
      <c r="F7" s="39"/>
      <c r="G7" s="36"/>
      <c r="H7" s="36"/>
      <c r="I7" s="36"/>
      <c r="J7" s="36"/>
      <c r="K7" s="36"/>
      <c r="L7" s="36"/>
      <c r="M7" s="36"/>
      <c r="N7" s="41"/>
      <c r="EJ7" s="2"/>
    </row>
    <row r="8" spans="1:140" ht="15.75" thickBot="1">
      <c r="A8" s="36"/>
      <c r="B8" s="140"/>
      <c r="C8" s="143" t="s">
        <v>3</v>
      </c>
      <c r="D8" s="164">
        <f>SUM(D4:D7)</f>
        <v>320</v>
      </c>
      <c r="E8" s="39"/>
      <c r="F8" s="39"/>
      <c r="G8" s="36"/>
      <c r="H8" s="36"/>
      <c r="I8" s="36"/>
      <c r="J8" s="36"/>
      <c r="K8" s="36"/>
      <c r="L8" s="36"/>
      <c r="M8" s="36"/>
      <c r="N8" s="41"/>
      <c r="EJ8" s="2"/>
    </row>
    <row r="9" spans="1:140" ht="15.75" thickBot="1">
      <c r="A9" s="36"/>
      <c r="B9" s="144"/>
      <c r="C9" s="145" t="s">
        <v>4</v>
      </c>
      <c r="D9" s="166">
        <f>D8/(52*40)</f>
        <v>0.15384615384615385</v>
      </c>
      <c r="E9" s="39"/>
      <c r="F9" s="40"/>
      <c r="G9" s="36"/>
      <c r="H9" s="2613" t="s">
        <v>579</v>
      </c>
      <c r="I9" s="2614"/>
      <c r="J9" s="2614"/>
      <c r="K9" s="2614"/>
      <c r="L9" s="2615"/>
      <c r="M9" s="36"/>
      <c r="N9" s="41"/>
      <c r="EJ9" s="2"/>
    </row>
    <row r="10" spans="1:140" ht="15.75" thickBot="1">
      <c r="A10" s="36"/>
      <c r="B10" s="36"/>
      <c r="C10" s="36"/>
      <c r="D10" s="36"/>
      <c r="E10" s="36"/>
      <c r="F10" s="36"/>
      <c r="G10" s="36"/>
      <c r="H10" s="146" t="s">
        <v>277</v>
      </c>
      <c r="I10" s="147">
        <v>5</v>
      </c>
      <c r="J10" s="148"/>
      <c r="K10" s="149" t="s">
        <v>133</v>
      </c>
      <c r="L10" s="150">
        <f>I10*365</f>
        <v>1825</v>
      </c>
      <c r="M10" s="36"/>
      <c r="N10" s="41"/>
      <c r="EJ10" s="2"/>
    </row>
    <row r="11" spans="1:140" ht="26.25">
      <c r="A11" s="36"/>
      <c r="B11" s="42"/>
      <c r="C11" s="153" t="s">
        <v>41</v>
      </c>
      <c r="D11" s="153" t="s">
        <v>41</v>
      </c>
      <c r="E11" s="856"/>
      <c r="F11" s="176" t="s">
        <v>278</v>
      </c>
      <c r="G11" s="36"/>
      <c r="H11" s="106"/>
      <c r="I11" s="53"/>
      <c r="J11" s="54" t="s">
        <v>5</v>
      </c>
      <c r="K11" s="54" t="s">
        <v>6</v>
      </c>
      <c r="L11" s="107" t="s">
        <v>7</v>
      </c>
      <c r="M11" s="36"/>
      <c r="N11" s="41"/>
      <c r="EJ11" s="2"/>
    </row>
    <row r="12" spans="1:140">
      <c r="A12" s="36"/>
      <c r="B12" s="44" t="s">
        <v>29</v>
      </c>
      <c r="C12" s="45"/>
      <c r="D12" s="46"/>
      <c r="E12" s="50"/>
      <c r="F12" s="301"/>
      <c r="G12" s="36"/>
      <c r="H12" s="100" t="str">
        <f t="shared" ref="H12:H20" si="0">B12</f>
        <v>Management</v>
      </c>
      <c r="I12" s="55"/>
      <c r="J12" s="56"/>
      <c r="K12" s="56"/>
      <c r="L12" s="108"/>
      <c r="M12" s="36"/>
      <c r="N12" s="41"/>
      <c r="EJ12" s="2"/>
    </row>
    <row r="13" spans="1:140">
      <c r="A13" s="36"/>
      <c r="B13" s="48" t="s">
        <v>421</v>
      </c>
      <c r="C13" s="85">
        <v>0.1</v>
      </c>
      <c r="D13" s="46">
        <f>'Integrated Team (FY21)'!E15</f>
        <v>92496.84919424048</v>
      </c>
      <c r="E13" s="961"/>
      <c r="F13" s="304" t="str">
        <f>[22]Int_DBT!G13</f>
        <v>FY15 UFR, Weighted Average, Program Function Manager</v>
      </c>
      <c r="G13" s="36"/>
      <c r="H13" s="104" t="str">
        <f t="shared" si="0"/>
        <v xml:space="preserve">  Management Supervision</v>
      </c>
      <c r="I13" s="57"/>
      <c r="J13" s="378">
        <f>D13</f>
        <v>92496.84919424048</v>
      </c>
      <c r="K13" s="59">
        <f>C43</f>
        <v>0.1</v>
      </c>
      <c r="L13" s="110">
        <f>J13*K13</f>
        <v>9249.6849194240476</v>
      </c>
      <c r="M13" s="36"/>
      <c r="N13" s="41"/>
      <c r="EJ13" s="2"/>
    </row>
    <row r="14" spans="1:140" ht="26.25">
      <c r="A14" s="36"/>
      <c r="B14" s="48" t="s">
        <v>402</v>
      </c>
      <c r="C14" s="85">
        <v>1</v>
      </c>
      <c r="D14" s="46" t="e">
        <f>'Integrated Team (FY21)'!#REF!</f>
        <v>#REF!</v>
      </c>
      <c r="E14" s="956"/>
      <c r="F14" s="49" t="str">
        <f>[22]Int_DBT!G14</f>
        <v>FY15 UFR, Weighted Average, Assistant Director (LICSW Level) / Previous Proposed Benchmark</v>
      </c>
      <c r="G14" s="36"/>
      <c r="H14" s="104" t="str">
        <f t="shared" si="0"/>
        <v xml:space="preserve">  Specialty Site Manager</v>
      </c>
      <c r="I14" s="57"/>
      <c r="J14" s="58" t="e">
        <f>D14</f>
        <v>#REF!</v>
      </c>
      <c r="K14" s="59">
        <f>C44</f>
        <v>1</v>
      </c>
      <c r="L14" s="110" t="e">
        <f>J14*K14</f>
        <v>#REF!</v>
      </c>
      <c r="M14" s="36"/>
      <c r="N14" s="41"/>
      <c r="EJ14" s="2"/>
    </row>
    <row r="15" spans="1:140">
      <c r="A15" s="36"/>
      <c r="B15" s="44" t="s">
        <v>30</v>
      </c>
      <c r="C15" s="85"/>
      <c r="D15" s="46"/>
      <c r="E15" s="50"/>
      <c r="F15" s="304"/>
      <c r="G15" s="36"/>
      <c r="H15" s="100" t="str">
        <f t="shared" si="0"/>
        <v>Medical and Clinical</v>
      </c>
      <c r="I15" s="57"/>
      <c r="J15" s="58"/>
      <c r="K15" s="59"/>
      <c r="L15" s="110"/>
      <c r="M15" s="36"/>
      <c r="N15" s="41"/>
      <c r="EJ15" s="2"/>
    </row>
    <row r="16" spans="1:140" ht="26.25" customHeight="1">
      <c r="A16" s="36"/>
      <c r="B16" s="374" t="s">
        <v>436</v>
      </c>
      <c r="C16" s="381">
        <v>1</v>
      </c>
      <c r="D16" s="375" t="e">
        <f>'Integrated Team (FY21)'!#REF!</f>
        <v>#REF!</v>
      </c>
      <c r="E16" s="383"/>
      <c r="F16" s="386" t="str">
        <f>[22]Int_DBT!G16</f>
        <v>FY15 UFR, Weighted Average, average RN Non-Masters, Psychologist, Clinician, LICSW, LCSW, Licensed Counselor</v>
      </c>
      <c r="G16" s="387"/>
      <c r="H16" s="385" t="str">
        <f t="shared" si="0"/>
        <v xml:space="preserve">   LPHA</v>
      </c>
      <c r="I16" s="377"/>
      <c r="J16" s="378" t="e">
        <f>D16</f>
        <v>#REF!</v>
      </c>
      <c r="K16" s="382">
        <f>C46</f>
        <v>1</v>
      </c>
      <c r="L16" s="379" t="e">
        <f>J16*K16</f>
        <v>#REF!</v>
      </c>
      <c r="M16" s="36"/>
      <c r="N16" s="41"/>
      <c r="EJ16" s="2"/>
    </row>
    <row r="17" spans="1:140">
      <c r="A17" s="36"/>
      <c r="B17" s="79" t="str">
        <f>[22]Med_Int_Spec!B18</f>
        <v xml:space="preserve">  Certified Nursing Assistant (CNA)</v>
      </c>
      <c r="C17" s="85">
        <v>1.4</v>
      </c>
      <c r="D17" s="46">
        <f>Med_Int_Spec!D18</f>
        <v>39464.633164870786</v>
      </c>
      <c r="E17" s="50"/>
      <c r="F17" s="304" t="str">
        <f>[22]Med_Int_Spec!G18</f>
        <v>Benchmark 101 CMR 420</v>
      </c>
      <c r="G17" s="36"/>
      <c r="H17" s="104" t="str">
        <f t="shared" si="0"/>
        <v xml:space="preserve">  Certified Nursing Assistant (CNA)</v>
      </c>
      <c r="I17" s="57"/>
      <c r="J17" s="58">
        <f>D17</f>
        <v>39464.633164870786</v>
      </c>
      <c r="K17" s="59">
        <f>C47</f>
        <v>1.4</v>
      </c>
      <c r="L17" s="110">
        <f>J17*K17</f>
        <v>55250.486430819095</v>
      </c>
      <c r="M17" s="167"/>
      <c r="N17" s="41"/>
      <c r="EJ17" s="2"/>
    </row>
    <row r="18" spans="1:140">
      <c r="A18" s="36"/>
      <c r="B18" s="44" t="s">
        <v>31</v>
      </c>
      <c r="C18" s="85"/>
      <c r="D18" s="46"/>
      <c r="E18" s="50"/>
      <c r="F18" s="304"/>
      <c r="G18" s="36"/>
      <c r="H18" s="100" t="str">
        <f t="shared" si="0"/>
        <v>Direct Care</v>
      </c>
      <c r="I18" s="57"/>
      <c r="J18" s="58"/>
      <c r="K18" s="59"/>
      <c r="L18" s="110"/>
      <c r="M18" s="167"/>
      <c r="N18" s="41"/>
      <c r="EJ18" s="2"/>
    </row>
    <row r="19" spans="1:140">
      <c r="A19" s="36"/>
      <c r="B19" s="48" t="s">
        <v>128</v>
      </c>
      <c r="C19" s="85">
        <v>9.8000000000000007</v>
      </c>
      <c r="D19" s="46">
        <f>Med_Int_Spec!D20</f>
        <v>35063.449294968901</v>
      </c>
      <c r="E19" s="50"/>
      <c r="F19" s="304" t="str">
        <f>[22]Int_DBT!G19</f>
        <v>FY15 UFR, Weighted Average, average of DC I + II + III</v>
      </c>
      <c r="G19" s="36"/>
      <c r="H19" s="104" t="str">
        <f t="shared" si="0"/>
        <v xml:space="preserve">    DC Blended (DC I + II + III)</v>
      </c>
      <c r="I19" s="57"/>
      <c r="J19" s="58">
        <f>D19</f>
        <v>35063.449294968901</v>
      </c>
      <c r="K19" s="59">
        <f>C49</f>
        <v>9.8000000000000007</v>
      </c>
      <c r="L19" s="110">
        <f>J19*K19</f>
        <v>343621.80309069523</v>
      </c>
      <c r="M19" s="167"/>
      <c r="N19" s="41"/>
      <c r="EJ19" s="2"/>
    </row>
    <row r="20" spans="1:140">
      <c r="A20" s="36"/>
      <c r="B20" s="80" t="s">
        <v>32</v>
      </c>
      <c r="C20" s="85">
        <f>C19*D9</f>
        <v>1.5076923076923079</v>
      </c>
      <c r="D20" s="46">
        <f>D19</f>
        <v>35063.449294968901</v>
      </c>
      <c r="E20" s="50"/>
      <c r="F20" s="304"/>
      <c r="G20" s="36"/>
      <c r="H20" s="104" t="str">
        <f t="shared" si="0"/>
        <v xml:space="preserve">    Relief</v>
      </c>
      <c r="I20" s="57"/>
      <c r="J20" s="58">
        <f>D20</f>
        <v>35063.449294968901</v>
      </c>
      <c r="K20" s="59">
        <f>C50</f>
        <v>1.5076923076923079</v>
      </c>
      <c r="L20" s="110">
        <f>J20*K20</f>
        <v>52864.892783183888</v>
      </c>
      <c r="M20" s="167"/>
      <c r="N20" s="41"/>
      <c r="EJ20" s="2"/>
    </row>
    <row r="21" spans="1:140">
      <c r="A21" s="36"/>
      <c r="B21" s="48"/>
      <c r="C21" s="45"/>
      <c r="D21" s="46"/>
      <c r="E21" s="45"/>
      <c r="F21" s="304"/>
      <c r="G21" s="36"/>
      <c r="H21" s="114" t="s">
        <v>13</v>
      </c>
      <c r="I21" s="3"/>
      <c r="J21" s="3"/>
      <c r="K21" s="64">
        <f>SUM(K13:K20)</f>
        <v>14.807692307692308</v>
      </c>
      <c r="L21" s="115" t="e">
        <f>SUM(L13:L20)</f>
        <v>#REF!</v>
      </c>
      <c r="M21" s="167"/>
      <c r="N21" s="41"/>
      <c r="EJ21" s="2"/>
    </row>
    <row r="22" spans="1:140">
      <c r="A22" s="36"/>
      <c r="B22" s="81"/>
      <c r="C22" s="45"/>
      <c r="D22" s="82" t="s">
        <v>42</v>
      </c>
      <c r="E22" s="45"/>
      <c r="F22" s="307"/>
      <c r="G22" s="36"/>
      <c r="H22" s="100" t="s">
        <v>15</v>
      </c>
      <c r="I22" s="72"/>
      <c r="J22" s="72"/>
      <c r="K22" s="4" t="s">
        <v>16</v>
      </c>
      <c r="L22" s="105"/>
      <c r="M22" s="167"/>
      <c r="N22" s="41"/>
      <c r="EJ22" s="2"/>
    </row>
    <row r="23" spans="1:140">
      <c r="A23" s="36"/>
      <c r="B23" s="81" t="s">
        <v>434</v>
      </c>
      <c r="C23" s="45"/>
      <c r="D23" s="88">
        <v>0.21493933013040212</v>
      </c>
      <c r="E23" s="50"/>
      <c r="F23" s="307" t="s">
        <v>373</v>
      </c>
      <c r="G23" s="36"/>
      <c r="H23" s="104" t="str">
        <f>B23</f>
        <v xml:space="preserve">  Tax and Fringe</v>
      </c>
      <c r="I23" s="72"/>
      <c r="J23" s="65">
        <f>D23</f>
        <v>0.21493933013040212</v>
      </c>
      <c r="K23" s="72"/>
      <c r="L23" s="117" t="e">
        <f>J23*L21</f>
        <v>#REF!</v>
      </c>
      <c r="M23" s="167"/>
      <c r="N23" s="41"/>
      <c r="EJ23" s="2"/>
    </row>
    <row r="24" spans="1:140">
      <c r="A24" s="36"/>
      <c r="B24" s="44"/>
      <c r="C24" s="52"/>
      <c r="D24" s="52"/>
      <c r="E24" s="52"/>
      <c r="F24" s="304"/>
      <c r="G24" s="36"/>
      <c r="H24" s="114" t="s">
        <v>18</v>
      </c>
      <c r="I24" s="3"/>
      <c r="J24" s="3"/>
      <c r="K24" s="63"/>
      <c r="L24" s="118" t="e">
        <f>L21+L23</f>
        <v>#REF!</v>
      </c>
      <c r="M24" s="167"/>
      <c r="N24" s="41"/>
      <c r="EJ24" s="2"/>
    </row>
    <row r="25" spans="1:140">
      <c r="A25" s="36"/>
      <c r="B25" s="48"/>
      <c r="C25" s="52"/>
      <c r="E25" s="52"/>
      <c r="F25" s="304"/>
      <c r="G25" s="36"/>
      <c r="H25" s="100"/>
      <c r="I25" s="4"/>
      <c r="J25" s="4"/>
      <c r="K25" s="66"/>
      <c r="L25" s="151"/>
      <c r="M25" s="167"/>
      <c r="N25" s="41"/>
      <c r="EJ25" s="2"/>
    </row>
    <row r="26" spans="1:140">
      <c r="A26" s="36"/>
      <c r="B26" s="48"/>
      <c r="C26" s="296"/>
      <c r="D26" s="294" t="s">
        <v>328</v>
      </c>
      <c r="E26" s="296"/>
      <c r="F26" s="306"/>
      <c r="G26" s="36"/>
      <c r="H26" s="106" t="s">
        <v>328</v>
      </c>
      <c r="I26" s="5"/>
      <c r="J26" s="54" t="s">
        <v>19</v>
      </c>
      <c r="K26" s="67" t="s">
        <v>20</v>
      </c>
      <c r="L26" s="120" t="s">
        <v>7</v>
      </c>
      <c r="M26" s="167"/>
      <c r="N26" s="41"/>
      <c r="EJ26" s="2"/>
    </row>
    <row r="27" spans="1:140">
      <c r="A27" s="36"/>
      <c r="B27" s="48" t="str">
        <f>[22]Int_Beh!B26</f>
        <v xml:space="preserve">  Psychologist</v>
      </c>
      <c r="C27" s="85">
        <v>0.625</v>
      </c>
      <c r="D27" s="263">
        <f>'Integrated Team (FY21)'!E35</f>
        <v>135.32</v>
      </c>
      <c r="E27" s="52"/>
      <c r="F27" s="321" t="s">
        <v>470</v>
      </c>
      <c r="G27" s="36"/>
      <c r="H27" s="109" t="str">
        <f>B27</f>
        <v xml:space="preserve">  Psychologist</v>
      </c>
      <c r="I27" s="4"/>
      <c r="J27" s="68">
        <f>D27</f>
        <v>135.32</v>
      </c>
      <c r="K27" s="69">
        <f>C52*52</f>
        <v>32.5</v>
      </c>
      <c r="L27" s="117">
        <f>J27*K27</f>
        <v>4397.8999999999996</v>
      </c>
      <c r="M27" s="167"/>
      <c r="N27" s="41"/>
      <c r="EJ27" s="2"/>
    </row>
    <row r="28" spans="1:140">
      <c r="A28" s="36"/>
      <c r="B28" s="48"/>
      <c r="C28" s="36"/>
      <c r="E28" s="52"/>
      <c r="F28" s="304"/>
      <c r="G28" s="36"/>
      <c r="H28" s="114" t="s">
        <v>21</v>
      </c>
      <c r="I28" s="70"/>
      <c r="J28" s="70"/>
      <c r="K28" s="70"/>
      <c r="L28" s="118">
        <f>SUM(L27:L27)</f>
        <v>4397.8999999999996</v>
      </c>
      <c r="M28" s="167"/>
      <c r="N28" s="41"/>
      <c r="EJ28" s="2"/>
    </row>
    <row r="29" spans="1:140">
      <c r="A29" s="36"/>
      <c r="B29" s="44"/>
      <c r="C29" s="52"/>
      <c r="D29" s="294" t="s">
        <v>367</v>
      </c>
      <c r="E29" s="52"/>
      <c r="F29" s="304"/>
      <c r="G29" s="36"/>
      <c r="H29" s="909" t="str">
        <f>B30</f>
        <v>Staff Training</v>
      </c>
      <c r="I29" s="933"/>
      <c r="J29" s="933"/>
      <c r="K29" s="899">
        <f>D30</f>
        <v>360</v>
      </c>
      <c r="L29" s="962">
        <f>K29*K21</f>
        <v>5330.7692307692314</v>
      </c>
      <c r="M29" s="167"/>
      <c r="N29" s="41"/>
      <c r="EJ29" s="2"/>
    </row>
    <row r="30" spans="1:140">
      <c r="A30" s="36"/>
      <c r="B30" s="893" t="s">
        <v>1043</v>
      </c>
      <c r="C30" s="972"/>
      <c r="D30" s="973">
        <f>Int_Beh!D29</f>
        <v>360</v>
      </c>
      <c r="E30" s="972"/>
      <c r="F30" s="974" t="s">
        <v>383</v>
      </c>
      <c r="G30" s="36"/>
      <c r="H30" s="81" t="str">
        <f>B32</f>
        <v xml:space="preserve">  Transportation</v>
      </c>
      <c r="I30" s="72"/>
      <c r="J30" s="72"/>
      <c r="K30" s="122"/>
      <c r="L30" s="123">
        <f>D32</f>
        <v>6191.6539525126345</v>
      </c>
      <c r="M30" s="167"/>
      <c r="N30" s="41"/>
      <c r="EJ30" s="2"/>
    </row>
    <row r="31" spans="1:140">
      <c r="A31" s="36"/>
      <c r="B31" s="368"/>
      <c r="C31" s="371"/>
      <c r="D31" s="369"/>
      <c r="E31" s="371"/>
      <c r="F31" s="388"/>
      <c r="G31" s="36"/>
      <c r="H31" s="81" t="str">
        <f>B33</f>
        <v xml:space="preserve">  Program Supplies &amp; Materials</v>
      </c>
      <c r="I31" s="72"/>
      <c r="J31" s="72"/>
      <c r="K31" s="122">
        <f>D33</f>
        <v>642.72053101483573</v>
      </c>
      <c r="L31" s="123">
        <f>K31*K21</f>
        <v>9517.2078631042987</v>
      </c>
      <c r="M31" s="167"/>
      <c r="N31" s="41"/>
      <c r="EJ31" s="2"/>
    </row>
    <row r="32" spans="1:140">
      <c r="A32" s="36"/>
      <c r="B32" s="81" t="s">
        <v>435</v>
      </c>
      <c r="C32" s="45"/>
      <c r="D32" s="90">
        <f>Med_Int_Spec!D33</f>
        <v>6191.6539525126345</v>
      </c>
      <c r="F32" s="308" t="str">
        <f>[22]GLE!G79</f>
        <v>Benchmark 101 CMR 420: allocation for van, 1 van / 2 GLEs</v>
      </c>
      <c r="G32" s="36"/>
      <c r="H32" s="100"/>
      <c r="I32" s="72"/>
      <c r="J32" s="72"/>
      <c r="K32" s="71">
        <f>SUM(K30:K31)</f>
        <v>642.72053101483573</v>
      </c>
      <c r="L32" s="124">
        <f>SUM(L29:L31)</f>
        <v>21039.631046386166</v>
      </c>
      <c r="M32" s="167"/>
      <c r="N32" s="41"/>
      <c r="EJ32" s="2"/>
    </row>
    <row r="33" spans="1:140">
      <c r="A33" s="36"/>
      <c r="B33" s="81" t="s">
        <v>454</v>
      </c>
      <c r="C33" s="45"/>
      <c r="D33" s="89">
        <f>Med_Int_Spec!D34</f>
        <v>642.72053101483573</v>
      </c>
      <c r="E33" s="45"/>
      <c r="F33" s="307" t="s">
        <v>419</v>
      </c>
      <c r="G33" s="36"/>
      <c r="H33" s="104"/>
      <c r="I33" s="72"/>
      <c r="J33" s="72"/>
      <c r="K33" s="66"/>
      <c r="L33" s="125"/>
      <c r="M33" s="167"/>
      <c r="N33" s="41"/>
      <c r="EJ33" s="2"/>
    </row>
    <row r="34" spans="1:140">
      <c r="A34" s="36"/>
      <c r="B34" s="582" t="s">
        <v>601</v>
      </c>
      <c r="C34" s="595"/>
      <c r="D34" s="617">
        <v>8.16</v>
      </c>
      <c r="F34" s="563" t="s">
        <v>599</v>
      </c>
      <c r="G34" s="36"/>
      <c r="H34" s="114" t="s">
        <v>23</v>
      </c>
      <c r="I34" s="3"/>
      <c r="J34" s="3"/>
      <c r="K34" s="3"/>
      <c r="L34" s="126" t="e">
        <f>SUM(L24,L28, L32)</f>
        <v>#REF!</v>
      </c>
      <c r="M34" s="167"/>
      <c r="N34" s="41"/>
      <c r="EJ34" s="2"/>
    </row>
    <row r="35" spans="1:140">
      <c r="A35" s="36"/>
      <c r="B35" s="81"/>
      <c r="C35" s="45"/>
      <c r="D35" s="45"/>
      <c r="E35" s="45"/>
      <c r="F35" s="307"/>
      <c r="G35" s="36"/>
      <c r="H35" s="104"/>
      <c r="I35" s="72"/>
      <c r="J35" s="72"/>
      <c r="K35" s="73"/>
      <c r="L35" s="127"/>
      <c r="M35" s="167"/>
      <c r="N35" s="41"/>
      <c r="EJ35" s="2"/>
    </row>
    <row r="36" spans="1:140">
      <c r="A36" s="36"/>
      <c r="B36" s="81" t="s">
        <v>437</v>
      </c>
      <c r="C36" s="45"/>
      <c r="D36" s="88">
        <v>0.12</v>
      </c>
      <c r="E36" s="45"/>
      <c r="F36" s="49" t="s">
        <v>472</v>
      </c>
      <c r="G36" s="36"/>
      <c r="H36" s="104" t="str">
        <f>B36</f>
        <v xml:space="preserve">  Admin. Allocation</v>
      </c>
      <c r="I36" s="72"/>
      <c r="J36" s="187">
        <f>D36</f>
        <v>0.12</v>
      </c>
      <c r="K36" s="72"/>
      <c r="L36" s="117" t="e">
        <f>J36*L34</f>
        <v>#REF!</v>
      </c>
      <c r="M36" s="167"/>
      <c r="N36" s="41"/>
      <c r="EJ36" s="2"/>
    </row>
    <row r="37" spans="1:140">
      <c r="A37" s="36"/>
      <c r="B37" s="865" t="s">
        <v>788</v>
      </c>
      <c r="C37" s="936"/>
      <c r="D37" s="949">
        <v>7.4999999999999997E-3</v>
      </c>
      <c r="E37" s="45"/>
      <c r="F37" s="303"/>
      <c r="G37" s="36"/>
      <c r="H37" s="104" t="str">
        <f>B37</f>
        <v>PFLMA Trust Contribution</v>
      </c>
      <c r="I37" s="72"/>
      <c r="J37" s="904">
        <f>D37</f>
        <v>7.4999999999999997E-3</v>
      </c>
      <c r="K37" s="72"/>
      <c r="L37" s="117" t="e">
        <f>J37*L21</f>
        <v>#REF!</v>
      </c>
      <c r="M37" s="167"/>
      <c r="N37" s="41"/>
      <c r="EJ37" s="2"/>
    </row>
    <row r="38" spans="1:140" ht="15.75" thickBot="1">
      <c r="A38" s="36"/>
      <c r="B38" s="81" t="s">
        <v>438</v>
      </c>
      <c r="C38" s="45"/>
      <c r="D38" s="389">
        <v>7.6809383045675458E-2</v>
      </c>
      <c r="E38" s="45"/>
      <c r="F38" s="302" t="s">
        <v>781</v>
      </c>
      <c r="G38" s="36"/>
      <c r="H38" s="129"/>
      <c r="I38" s="74"/>
      <c r="J38" s="74"/>
      <c r="K38" s="74"/>
      <c r="L38" s="130" t="e">
        <f>SUM(L34:L37)</f>
        <v>#REF!</v>
      </c>
      <c r="M38" s="167"/>
      <c r="N38" s="41"/>
      <c r="EJ38" s="2"/>
    </row>
    <row r="39" spans="1:140" ht="15.75" thickTop="1">
      <c r="A39" s="36"/>
      <c r="B39" s="859" t="s">
        <v>438</v>
      </c>
      <c r="C39" s="45"/>
      <c r="D39" s="975">
        <v>2.5000000000000001E-2</v>
      </c>
      <c r="E39" s="36"/>
      <c r="F39" s="401" t="s">
        <v>780</v>
      </c>
      <c r="G39" s="36"/>
      <c r="H39" s="104"/>
      <c r="I39" s="72"/>
      <c r="J39" s="72"/>
      <c r="K39" s="72"/>
      <c r="L39" s="105"/>
      <c r="M39" s="167"/>
      <c r="N39" s="41"/>
      <c r="EJ39" s="2"/>
    </row>
    <row r="40" spans="1:140">
      <c r="A40" s="36"/>
      <c r="B40" s="81"/>
      <c r="C40" s="45"/>
      <c r="D40" s="389"/>
      <c r="E40" s="36"/>
      <c r="F40" s="401"/>
      <c r="G40" s="36"/>
      <c r="H40" s="104" t="str">
        <f>B38</f>
        <v xml:space="preserve">  CAF</v>
      </c>
      <c r="I40" s="72"/>
      <c r="J40" s="131">
        <f>D39</f>
        <v>2.5000000000000001E-2</v>
      </c>
      <c r="K40" s="72"/>
      <c r="L40" s="132" t="e">
        <f>L38*(1+J40)</f>
        <v>#REF!</v>
      </c>
      <c r="M40" s="167"/>
      <c r="N40" s="41"/>
      <c r="EJ40" s="2"/>
    </row>
    <row r="41" spans="1:140" ht="15.75" thickBot="1">
      <c r="A41" s="36"/>
      <c r="B41" s="394" t="s">
        <v>35</v>
      </c>
      <c r="C41" s="390" t="s">
        <v>424</v>
      </c>
      <c r="D41" s="391" t="s">
        <v>425</v>
      </c>
      <c r="E41" s="391" t="s">
        <v>426</v>
      </c>
      <c r="F41" s="401"/>
      <c r="G41" s="36"/>
      <c r="H41" s="570" t="str">
        <f>B34</f>
        <v>Meals / Food***</v>
      </c>
      <c r="I41" s="571"/>
      <c r="J41" s="971">
        <f>D34</f>
        <v>8.16</v>
      </c>
      <c r="K41" s="571"/>
      <c r="L41" s="575">
        <f>J41*L10</f>
        <v>14892</v>
      </c>
      <c r="M41" s="167"/>
      <c r="N41" s="41"/>
      <c r="EJ41" s="2"/>
    </row>
    <row r="42" spans="1:140" ht="15.75" thickTop="1">
      <c r="A42" s="36"/>
      <c r="B42" s="44" t="str">
        <f t="shared" ref="B42:B50" si="1">B12</f>
        <v>Management</v>
      </c>
      <c r="C42" s="45"/>
      <c r="D42" s="36"/>
      <c r="E42" s="36"/>
      <c r="F42" s="401"/>
      <c r="G42" s="36"/>
      <c r="H42" s="104"/>
      <c r="I42" s="72"/>
      <c r="J42" s="131"/>
      <c r="K42" s="72"/>
      <c r="L42" s="132" t="e">
        <f>L40+L41</f>
        <v>#REF!</v>
      </c>
      <c r="M42" s="167"/>
      <c r="N42" s="41"/>
      <c r="EJ42" s="2"/>
    </row>
    <row r="43" spans="1:140">
      <c r="A43" s="36"/>
      <c r="B43" s="48" t="str">
        <f t="shared" si="1"/>
        <v xml:space="preserve">  Management Supervision</v>
      </c>
      <c r="C43" s="85">
        <v>0.1</v>
      </c>
      <c r="D43" s="85">
        <v>0.1</v>
      </c>
      <c r="E43" s="85">
        <v>0.1</v>
      </c>
      <c r="F43" s="401"/>
      <c r="G43" s="36"/>
      <c r="H43" s="104"/>
      <c r="I43" s="72"/>
      <c r="J43" s="72"/>
      <c r="K43" s="72"/>
      <c r="L43" s="136"/>
      <c r="M43" s="167"/>
      <c r="N43" s="41"/>
      <c r="EJ43" s="2"/>
    </row>
    <row r="44" spans="1:140" ht="15.75" thickBot="1">
      <c r="A44" s="36"/>
      <c r="B44" s="48" t="str">
        <f t="shared" si="1"/>
        <v xml:space="preserve">  Specialty Site Manager</v>
      </c>
      <c r="C44" s="85">
        <v>1</v>
      </c>
      <c r="D44" s="85">
        <v>2</v>
      </c>
      <c r="E44" s="85">
        <v>2</v>
      </c>
      <c r="F44" s="401"/>
      <c r="G44" s="36"/>
      <c r="H44" s="104" t="s">
        <v>28</v>
      </c>
      <c r="I44" s="72"/>
      <c r="J44" s="72"/>
      <c r="K44" s="73"/>
      <c r="L44" s="568"/>
      <c r="M44" s="167"/>
      <c r="N44" s="41"/>
      <c r="EJ44" s="2"/>
    </row>
    <row r="45" spans="1:140" ht="15.75" thickBot="1">
      <c r="A45" s="36"/>
      <c r="B45" s="44" t="str">
        <f t="shared" si="1"/>
        <v>Medical and Clinical</v>
      </c>
      <c r="C45" s="85"/>
      <c r="D45" s="85"/>
      <c r="E45" s="85"/>
      <c r="F45" s="401"/>
      <c r="G45" s="36"/>
      <c r="H45" s="584"/>
      <c r="I45" s="358"/>
      <c r="J45" s="359"/>
      <c r="K45" s="360"/>
      <c r="L45" s="577" t="e">
        <f>L42/L10</f>
        <v>#REF!</v>
      </c>
      <c r="M45" s="167"/>
      <c r="N45" s="41"/>
      <c r="EJ45" s="2"/>
    </row>
    <row r="46" spans="1:140">
      <c r="A46" s="36"/>
      <c r="B46" s="374" t="str">
        <f t="shared" si="1"/>
        <v xml:space="preserve">   LPHA</v>
      </c>
      <c r="C46" s="381">
        <v>1</v>
      </c>
      <c r="D46" s="381">
        <v>1</v>
      </c>
      <c r="E46" s="381">
        <v>1.5</v>
      </c>
      <c r="F46" s="302"/>
      <c r="G46" s="36"/>
      <c r="H46" s="50"/>
      <c r="I46" s="50"/>
      <c r="J46" s="50"/>
      <c r="K46" s="50" t="s">
        <v>783</v>
      </c>
      <c r="L46" s="50">
        <v>450.98</v>
      </c>
      <c r="M46" s="36"/>
      <c r="N46" s="41"/>
      <c r="EJ46" s="2"/>
    </row>
    <row r="47" spans="1:140" ht="26.25">
      <c r="A47" s="36"/>
      <c r="B47" s="78" t="str">
        <f t="shared" si="1"/>
        <v xml:space="preserve">  Certified Nursing Assistant (CNA)</v>
      </c>
      <c r="C47" s="85">
        <v>1.4</v>
      </c>
      <c r="D47" s="85">
        <v>1.4</v>
      </c>
      <c r="E47" s="85">
        <v>2.4</v>
      </c>
      <c r="F47" s="302"/>
      <c r="G47" s="36"/>
      <c r="H47" s="36"/>
      <c r="I47" s="36"/>
      <c r="J47" s="36"/>
      <c r="K47" s="36"/>
      <c r="L47" s="965" t="e">
        <f>L45-L46</f>
        <v>#REF!</v>
      </c>
      <c r="M47" s="966" t="e">
        <f>L47/L46</f>
        <v>#REF!</v>
      </c>
      <c r="N47" s="41"/>
      <c r="EJ47" s="2"/>
    </row>
    <row r="48" spans="1:140">
      <c r="A48" s="36"/>
      <c r="B48" s="44" t="str">
        <f t="shared" si="1"/>
        <v>Direct Care</v>
      </c>
      <c r="C48" s="85"/>
      <c r="D48" s="85"/>
      <c r="E48" s="85"/>
      <c r="F48" s="401"/>
      <c r="G48" s="36"/>
      <c r="H48" s="36"/>
      <c r="I48" s="36"/>
      <c r="J48" s="36"/>
      <c r="K48" s="36"/>
      <c r="L48" s="36"/>
      <c r="M48" s="36"/>
      <c r="N48" s="41"/>
      <c r="EJ48" s="2"/>
    </row>
    <row r="49" spans="1:140">
      <c r="A49" s="36"/>
      <c r="B49" s="48" t="str">
        <f t="shared" si="1"/>
        <v xml:space="preserve">    DC Blended (DC I + II + III)</v>
      </c>
      <c r="C49" s="85">
        <v>9.8000000000000007</v>
      </c>
      <c r="D49" s="85">
        <v>14.2</v>
      </c>
      <c r="E49" s="85">
        <v>17.399999999999999</v>
      </c>
      <c r="F49" s="401"/>
      <c r="G49" s="36"/>
      <c r="H49" s="36"/>
      <c r="I49" s="36"/>
      <c r="J49" s="36"/>
      <c r="K49" s="36"/>
      <c r="L49" s="36"/>
      <c r="M49" s="36"/>
      <c r="N49" s="41"/>
      <c r="EJ49" s="2"/>
    </row>
    <row r="50" spans="1:140">
      <c r="A50" s="36"/>
      <c r="B50" s="80" t="str">
        <f t="shared" si="1"/>
        <v xml:space="preserve">    Relief</v>
      </c>
      <c r="C50" s="85">
        <f>C49*D9</f>
        <v>1.5076923076923079</v>
      </c>
      <c r="D50" s="85">
        <f>D49*D9</f>
        <v>2.1846153846153848</v>
      </c>
      <c r="E50" s="85">
        <f>E49*D9</f>
        <v>2.6769230769230767</v>
      </c>
      <c r="F50" s="401"/>
      <c r="G50" s="36"/>
      <c r="H50" s="36"/>
      <c r="I50" s="36"/>
      <c r="J50" s="36"/>
      <c r="K50" s="36"/>
      <c r="L50" s="36"/>
      <c r="M50" s="36"/>
      <c r="N50" s="41"/>
      <c r="EJ50" s="2"/>
    </row>
    <row r="51" spans="1:140">
      <c r="A51" s="36"/>
      <c r="B51" s="400"/>
      <c r="C51" s="36"/>
      <c r="D51" s="36"/>
      <c r="E51" s="36"/>
      <c r="F51" s="401"/>
      <c r="G51" s="36"/>
      <c r="H51" s="36"/>
      <c r="I51" s="36"/>
      <c r="J51" s="36"/>
      <c r="K51" s="36"/>
      <c r="L51" s="36"/>
      <c r="M51" s="36"/>
      <c r="N51" s="41"/>
      <c r="EJ51" s="2"/>
    </row>
    <row r="52" spans="1:140" ht="15.75" thickBot="1">
      <c r="A52" s="36"/>
      <c r="B52" s="342" t="str">
        <f>B27</f>
        <v xml:space="preserve">  Psychologist</v>
      </c>
      <c r="C52" s="393">
        <v>0.625</v>
      </c>
      <c r="D52" s="393">
        <v>1</v>
      </c>
      <c r="E52" s="402">
        <v>1.625</v>
      </c>
      <c r="F52" s="403"/>
      <c r="G52" s="36"/>
      <c r="H52" s="36"/>
      <c r="I52" s="36"/>
      <c r="J52" s="36"/>
      <c r="K52" s="36"/>
      <c r="L52" s="36"/>
      <c r="M52" s="36"/>
      <c r="N52" s="41"/>
      <c r="EJ52" s="2"/>
    </row>
    <row r="53" spans="1:140">
      <c r="A53" s="36"/>
      <c r="B53" s="2617" t="s">
        <v>597</v>
      </c>
      <c r="C53" s="2617"/>
      <c r="D53" s="2617"/>
      <c r="E53" s="2617"/>
      <c r="F53" s="2617"/>
      <c r="G53" s="36"/>
      <c r="H53" s="36"/>
      <c r="I53" s="36"/>
      <c r="J53" s="36"/>
      <c r="K53" s="36"/>
      <c r="L53" s="36"/>
      <c r="M53" s="36"/>
    </row>
    <row r="54" spans="1:140" ht="15.75" thickBot="1">
      <c r="A54" s="36"/>
      <c r="B54" s="2620"/>
      <c r="C54" s="2620"/>
      <c r="D54" s="2620"/>
      <c r="E54" s="2620"/>
      <c r="F54" s="2620"/>
      <c r="G54" s="36"/>
      <c r="H54" s="36"/>
      <c r="I54" s="36"/>
      <c r="J54" s="36"/>
      <c r="K54" s="36"/>
      <c r="L54" s="36"/>
      <c r="M54" s="36"/>
    </row>
    <row r="55" spans="1:140" ht="15.75" thickBot="1">
      <c r="A55" s="36"/>
      <c r="B55" s="2613" t="s">
        <v>580</v>
      </c>
      <c r="C55" s="2614"/>
      <c r="D55" s="2614"/>
      <c r="E55" s="2614"/>
      <c r="F55" s="2615"/>
      <c r="G55" s="36"/>
      <c r="H55" s="36"/>
      <c r="I55" s="36"/>
      <c r="J55" s="36"/>
      <c r="K55" s="36"/>
      <c r="L55" s="36"/>
      <c r="M55" s="36"/>
    </row>
    <row r="56" spans="1:140" ht="15.75" thickBot="1">
      <c r="A56" s="36"/>
      <c r="B56" s="146" t="s">
        <v>277</v>
      </c>
      <c r="C56" s="147">
        <v>8</v>
      </c>
      <c r="D56" s="148"/>
      <c r="E56" s="149" t="s">
        <v>133</v>
      </c>
      <c r="F56" s="150">
        <f>C56*365</f>
        <v>2920</v>
      </c>
      <c r="G56" s="36"/>
      <c r="H56" s="36"/>
      <c r="I56" s="953" t="s">
        <v>581</v>
      </c>
      <c r="J56" s="954"/>
      <c r="K56" s="954"/>
      <c r="L56" s="954"/>
      <c r="M56" s="955"/>
    </row>
    <row r="57" spans="1:140">
      <c r="A57" s="36"/>
      <c r="B57" s="104"/>
      <c r="C57" s="72"/>
      <c r="D57" s="72"/>
      <c r="E57" s="72"/>
      <c r="F57" s="105"/>
      <c r="G57" s="36"/>
      <c r="H57" s="387"/>
      <c r="I57" s="146" t="s">
        <v>277</v>
      </c>
      <c r="J57" s="147">
        <v>11</v>
      </c>
      <c r="K57" s="148"/>
      <c r="L57" s="149" t="s">
        <v>133</v>
      </c>
      <c r="M57" s="150">
        <f>J57*365</f>
        <v>4015</v>
      </c>
      <c r="N57" s="167"/>
    </row>
    <row r="58" spans="1:140">
      <c r="A58" s="36"/>
      <c r="B58" s="106"/>
      <c r="C58" s="53"/>
      <c r="D58" s="54" t="s">
        <v>5</v>
      </c>
      <c r="E58" s="54" t="s">
        <v>6</v>
      </c>
      <c r="F58" s="107" t="s">
        <v>7</v>
      </c>
      <c r="G58" s="396"/>
      <c r="H58" s="36"/>
      <c r="I58" s="104"/>
      <c r="J58" s="72"/>
      <c r="K58" s="72"/>
      <c r="L58" s="72"/>
      <c r="M58" s="105"/>
      <c r="N58" s="167"/>
    </row>
    <row r="59" spans="1:140">
      <c r="A59" s="36"/>
      <c r="B59" s="100" t="str">
        <f t="shared" ref="B59:B67" si="2">B12</f>
        <v>Management</v>
      </c>
      <c r="C59" s="55"/>
      <c r="D59" s="56"/>
      <c r="E59" s="56"/>
      <c r="F59" s="108"/>
      <c r="G59" s="50"/>
      <c r="H59" s="36"/>
      <c r="I59" s="106"/>
      <c r="J59" s="53"/>
      <c r="K59" s="54" t="s">
        <v>5</v>
      </c>
      <c r="L59" s="54" t="s">
        <v>6</v>
      </c>
      <c r="M59" s="107" t="s">
        <v>7</v>
      </c>
      <c r="N59" s="167"/>
    </row>
    <row r="60" spans="1:140">
      <c r="A60" s="36"/>
      <c r="B60" s="104" t="str">
        <f t="shared" si="2"/>
        <v xml:space="preserve">  Management Supervision</v>
      </c>
      <c r="C60" s="57"/>
      <c r="D60" s="58">
        <f>'Integrated Team (FY21)'!E15</f>
        <v>92496.84919424048</v>
      </c>
      <c r="E60" s="59">
        <f>D43</f>
        <v>0.1</v>
      </c>
      <c r="F60" s="567">
        <f>D60*E60</f>
        <v>9249.6849194240476</v>
      </c>
      <c r="G60" s="339"/>
      <c r="H60" s="36"/>
      <c r="I60" s="100" t="str">
        <f t="shared" ref="I60:I68" si="3">B12</f>
        <v>Management</v>
      </c>
      <c r="J60" s="55"/>
      <c r="K60" s="56"/>
      <c r="L60" s="56"/>
      <c r="M60" s="108"/>
      <c r="N60" s="167"/>
    </row>
    <row r="61" spans="1:140">
      <c r="A61" s="36"/>
      <c r="B61" s="104" t="str">
        <f t="shared" si="2"/>
        <v xml:space="preserve">  Specialty Site Manager</v>
      </c>
      <c r="C61" s="57"/>
      <c r="D61" s="58" t="e">
        <f>'Integrated Team (FY21)'!#REF!</f>
        <v>#REF!</v>
      </c>
      <c r="E61" s="59">
        <f>D44</f>
        <v>2</v>
      </c>
      <c r="F61" s="567" t="e">
        <f>D61*E61</f>
        <v>#REF!</v>
      </c>
      <c r="G61" s="339"/>
      <c r="H61" s="36"/>
      <c r="I61" s="104" t="str">
        <f t="shared" si="3"/>
        <v xml:space="preserve">  Management Supervision</v>
      </c>
      <c r="J61" s="57"/>
      <c r="K61" s="58">
        <f>D13</f>
        <v>92496.84919424048</v>
      </c>
      <c r="L61" s="59">
        <f>E43</f>
        <v>0.1</v>
      </c>
      <c r="M61" s="110">
        <f>K61*L61</f>
        <v>9249.6849194240476</v>
      </c>
      <c r="N61" s="167"/>
    </row>
    <row r="62" spans="1:140">
      <c r="A62" s="36"/>
      <c r="B62" s="100" t="str">
        <f t="shared" si="2"/>
        <v>Medical and Clinical</v>
      </c>
      <c r="C62" s="57"/>
      <c r="D62" s="58"/>
      <c r="E62" s="59"/>
      <c r="F62" s="567"/>
      <c r="G62" s="339"/>
      <c r="H62" s="36"/>
      <c r="I62" s="104" t="str">
        <f t="shared" si="3"/>
        <v xml:space="preserve">  Specialty Site Manager</v>
      </c>
      <c r="J62" s="57"/>
      <c r="K62" s="58" t="e">
        <f>D14</f>
        <v>#REF!</v>
      </c>
      <c r="L62" s="59">
        <f>E44</f>
        <v>2</v>
      </c>
      <c r="M62" s="110" t="e">
        <f>K62*L62</f>
        <v>#REF!</v>
      </c>
      <c r="N62" s="167"/>
    </row>
    <row r="63" spans="1:140">
      <c r="A63" s="36"/>
      <c r="B63" s="104" t="str">
        <f t="shared" si="2"/>
        <v xml:space="preserve">   LPHA</v>
      </c>
      <c r="C63" s="377"/>
      <c r="D63" s="58" t="e">
        <f>D16</f>
        <v>#REF!</v>
      </c>
      <c r="E63" s="382">
        <f>D46</f>
        <v>1</v>
      </c>
      <c r="F63" s="619" t="e">
        <f>D63*E63</f>
        <v>#REF!</v>
      </c>
      <c r="G63" s="395"/>
      <c r="H63" s="36"/>
      <c r="I63" s="100" t="str">
        <f t="shared" si="3"/>
        <v>Medical and Clinical</v>
      </c>
      <c r="J63" s="57"/>
      <c r="K63" s="58"/>
      <c r="L63" s="59"/>
      <c r="M63" s="110"/>
      <c r="N63" s="167"/>
    </row>
    <row r="64" spans="1:140">
      <c r="A64" s="36"/>
      <c r="B64" s="104" t="str">
        <f t="shared" si="2"/>
        <v xml:space="preserve">  Certified Nursing Assistant (CNA)</v>
      </c>
      <c r="C64" s="57"/>
      <c r="D64" s="58">
        <f>D17</f>
        <v>39464.633164870786</v>
      </c>
      <c r="E64" s="59">
        <f>D47</f>
        <v>1.4</v>
      </c>
      <c r="F64" s="567">
        <f>D64*E64</f>
        <v>55250.486430819095</v>
      </c>
      <c r="G64" s="339"/>
      <c r="H64" s="36"/>
      <c r="I64" s="104" t="str">
        <f t="shared" si="3"/>
        <v xml:space="preserve">   LPHA</v>
      </c>
      <c r="J64" s="377"/>
      <c r="K64" s="58" t="e">
        <f>D16</f>
        <v>#REF!</v>
      </c>
      <c r="L64" s="382">
        <f>E46</f>
        <v>1.5</v>
      </c>
      <c r="M64" s="379" t="e">
        <f>K64*L64</f>
        <v>#REF!</v>
      </c>
      <c r="N64" s="167"/>
    </row>
    <row r="65" spans="1:14">
      <c r="A65" s="36"/>
      <c r="B65" s="100" t="str">
        <f t="shared" si="2"/>
        <v>Direct Care</v>
      </c>
      <c r="C65" s="57"/>
      <c r="D65" s="58"/>
      <c r="E65" s="59"/>
      <c r="F65" s="567"/>
      <c r="G65" s="339"/>
      <c r="H65" s="36"/>
      <c r="I65" s="104" t="str">
        <f t="shared" si="3"/>
        <v xml:space="preserve">  Certified Nursing Assistant (CNA)</v>
      </c>
      <c r="J65" s="57"/>
      <c r="K65" s="58">
        <f>D17</f>
        <v>39464.633164870786</v>
      </c>
      <c r="L65" s="59">
        <f>E47</f>
        <v>2.4</v>
      </c>
      <c r="M65" s="110">
        <f>K65*L65</f>
        <v>94715.119595689888</v>
      </c>
      <c r="N65" s="167"/>
    </row>
    <row r="66" spans="1:14">
      <c r="A66" s="36"/>
      <c r="B66" s="104" t="str">
        <f t="shared" si="2"/>
        <v xml:space="preserve">    DC Blended (DC I + II + III)</v>
      </c>
      <c r="C66" s="57"/>
      <c r="D66" s="58">
        <f>D19</f>
        <v>35063.449294968901</v>
      </c>
      <c r="E66" s="59">
        <f>D49</f>
        <v>14.2</v>
      </c>
      <c r="F66" s="567">
        <f>D66*E66</f>
        <v>497900.97998855839</v>
      </c>
      <c r="G66" s="339"/>
      <c r="H66" s="36"/>
      <c r="I66" s="100" t="str">
        <f t="shared" si="3"/>
        <v>Direct Care</v>
      </c>
      <c r="J66" s="57"/>
      <c r="K66" s="58"/>
      <c r="L66" s="59"/>
      <c r="M66" s="110"/>
      <c r="N66" s="167"/>
    </row>
    <row r="67" spans="1:14">
      <c r="A67" s="36"/>
      <c r="B67" s="104" t="str">
        <f t="shared" si="2"/>
        <v xml:space="preserve">    Relief</v>
      </c>
      <c r="C67" s="57"/>
      <c r="D67" s="58">
        <f>D20</f>
        <v>35063.449294968901</v>
      </c>
      <c r="E67" s="59">
        <f>D50</f>
        <v>2.1846153846153848</v>
      </c>
      <c r="F67" s="567">
        <f>D67*E67</f>
        <v>76600.150767470535</v>
      </c>
      <c r="G67" s="339"/>
      <c r="H67" s="36"/>
      <c r="I67" s="104" t="str">
        <f t="shared" si="3"/>
        <v xml:space="preserve">    DC Blended (DC I + II + III)</v>
      </c>
      <c r="J67" s="57"/>
      <c r="K67" s="58">
        <f>D19</f>
        <v>35063.449294968901</v>
      </c>
      <c r="L67" s="59">
        <f>E49</f>
        <v>17.399999999999999</v>
      </c>
      <c r="M67" s="110">
        <f>K67*L67</f>
        <v>610104.01773245877</v>
      </c>
      <c r="N67" s="167"/>
    </row>
    <row r="68" spans="1:14">
      <c r="A68" s="36"/>
      <c r="B68" s="114" t="s">
        <v>13</v>
      </c>
      <c r="C68" s="3"/>
      <c r="D68" s="3"/>
      <c r="E68" s="64">
        <f>SUM(E60:E67)</f>
        <v>20.884615384615383</v>
      </c>
      <c r="F68" s="620" t="e">
        <f>SUM(F60:F67)</f>
        <v>#REF!</v>
      </c>
      <c r="G68" s="339"/>
      <c r="H68" s="36"/>
      <c r="I68" s="104" t="str">
        <f t="shared" si="3"/>
        <v xml:space="preserve">    Relief</v>
      </c>
      <c r="J68" s="57"/>
      <c r="K68" s="58">
        <f>D20</f>
        <v>35063.449294968901</v>
      </c>
      <c r="L68" s="59">
        <f>E50</f>
        <v>2.6769230769230767</v>
      </c>
      <c r="M68" s="110">
        <f>K68*L68</f>
        <v>93862.156574224442</v>
      </c>
      <c r="N68" s="167"/>
    </row>
    <row r="69" spans="1:14">
      <c r="A69" s="36"/>
      <c r="B69" s="104"/>
      <c r="C69" s="72"/>
      <c r="D69" s="72"/>
      <c r="E69" s="72"/>
      <c r="F69" s="621"/>
      <c r="G69" s="339"/>
      <c r="H69" s="36"/>
      <c r="I69" s="114" t="s">
        <v>13</v>
      </c>
      <c r="J69" s="3"/>
      <c r="K69" s="3"/>
      <c r="L69" s="64">
        <f>SUM(L61:L68)</f>
        <v>26.076923076923077</v>
      </c>
      <c r="M69" s="115" t="e">
        <f>SUM(M61:M68)</f>
        <v>#REF!</v>
      </c>
      <c r="N69" s="167"/>
    </row>
    <row r="70" spans="1:14">
      <c r="A70" s="36"/>
      <c r="B70" s="100" t="s">
        <v>15</v>
      </c>
      <c r="C70" s="72"/>
      <c r="D70" s="72"/>
      <c r="E70" s="4" t="s">
        <v>16</v>
      </c>
      <c r="F70" s="567"/>
      <c r="G70" s="397"/>
      <c r="H70" s="36"/>
      <c r="I70" s="104"/>
      <c r="J70" s="72"/>
      <c r="K70" s="72"/>
      <c r="L70" s="72"/>
      <c r="M70" s="116"/>
      <c r="N70" s="167"/>
    </row>
    <row r="71" spans="1:14">
      <c r="A71" s="36"/>
      <c r="B71" s="104" t="str">
        <f>B23</f>
        <v xml:space="preserve">  Tax and Fringe</v>
      </c>
      <c r="C71" s="72"/>
      <c r="D71" s="65">
        <f>D23</f>
        <v>0.21493933013040212</v>
      </c>
      <c r="E71" s="72"/>
      <c r="F71" s="622" t="e">
        <f>D71*F68</f>
        <v>#REF!</v>
      </c>
      <c r="G71" s="397"/>
      <c r="H71" s="36"/>
      <c r="I71" s="100" t="s">
        <v>15</v>
      </c>
      <c r="J71" s="72"/>
      <c r="K71" s="72"/>
      <c r="L71" s="4" t="s">
        <v>16</v>
      </c>
      <c r="M71" s="105"/>
      <c r="N71" s="167"/>
    </row>
    <row r="72" spans="1:14">
      <c r="A72" s="36"/>
      <c r="B72" s="114" t="s">
        <v>18</v>
      </c>
      <c r="C72" s="3"/>
      <c r="D72" s="3"/>
      <c r="E72" s="63"/>
      <c r="F72" s="623" t="e">
        <f>F68+F71</f>
        <v>#REF!</v>
      </c>
      <c r="G72" s="339"/>
      <c r="H72" s="36"/>
      <c r="I72" s="104" t="str">
        <f>B23</f>
        <v xml:space="preserve">  Tax and Fringe</v>
      </c>
      <c r="J72" s="72"/>
      <c r="K72" s="65">
        <f>D23</f>
        <v>0.21493933013040212</v>
      </c>
      <c r="L72" s="72"/>
      <c r="M72" s="117" t="e">
        <f>K72*M69</f>
        <v>#REF!</v>
      </c>
      <c r="N72" s="167"/>
    </row>
    <row r="73" spans="1:14">
      <c r="A73" s="36"/>
      <c r="B73" s="100"/>
      <c r="C73" s="4"/>
      <c r="D73" s="4"/>
      <c r="E73" s="66"/>
      <c r="F73" s="624"/>
      <c r="G73" s="339"/>
      <c r="H73" s="36"/>
      <c r="I73" s="114" t="s">
        <v>18</v>
      </c>
      <c r="J73" s="3"/>
      <c r="K73" s="3"/>
      <c r="L73" s="63"/>
      <c r="M73" s="118" t="e">
        <f>M69+M72</f>
        <v>#REF!</v>
      </c>
      <c r="N73" s="167"/>
    </row>
    <row r="74" spans="1:14">
      <c r="A74" s="36"/>
      <c r="B74" s="106" t="s">
        <v>328</v>
      </c>
      <c r="C74" s="5"/>
      <c r="D74" s="54" t="s">
        <v>19</v>
      </c>
      <c r="E74" s="67" t="s">
        <v>20</v>
      </c>
      <c r="F74" s="625" t="s">
        <v>7</v>
      </c>
      <c r="G74" s="398"/>
      <c r="H74" s="36"/>
      <c r="I74" s="100"/>
      <c r="J74" s="4"/>
      <c r="K74" s="4"/>
      <c r="L74" s="66"/>
      <c r="M74" s="151"/>
      <c r="N74" s="167"/>
    </row>
    <row r="75" spans="1:14">
      <c r="A75" s="36"/>
      <c r="B75" s="109" t="str">
        <f>B52</f>
        <v xml:space="preserve">  Psychologist</v>
      </c>
      <c r="C75" s="4"/>
      <c r="D75" s="68">
        <f>D27</f>
        <v>135.32</v>
      </c>
      <c r="E75" s="69">
        <f>D52*52</f>
        <v>52</v>
      </c>
      <c r="F75" s="622">
        <f>D75*E75</f>
        <v>7036.6399999999994</v>
      </c>
      <c r="G75" s="274"/>
      <c r="H75" s="36"/>
      <c r="I75" s="106" t="s">
        <v>328</v>
      </c>
      <c r="J75" s="5"/>
      <c r="K75" s="54" t="s">
        <v>19</v>
      </c>
      <c r="L75" s="67" t="s">
        <v>2</v>
      </c>
      <c r="M75" s="120" t="s">
        <v>7</v>
      </c>
      <c r="N75" s="167"/>
    </row>
    <row r="76" spans="1:14">
      <c r="A76" s="36"/>
      <c r="B76" s="114" t="s">
        <v>21</v>
      </c>
      <c r="C76" s="70"/>
      <c r="D76" s="70"/>
      <c r="E76" s="70"/>
      <c r="F76" s="623">
        <f>SUM(F75:F75)</f>
        <v>7036.6399999999994</v>
      </c>
      <c r="G76" s="339"/>
      <c r="H76" s="36"/>
      <c r="I76" s="109" t="str">
        <f>B52</f>
        <v xml:space="preserve">  Psychologist</v>
      </c>
      <c r="J76" s="4"/>
      <c r="K76" s="68">
        <f>D27</f>
        <v>135.32</v>
      </c>
      <c r="L76" s="69">
        <f>E52*52</f>
        <v>84.5</v>
      </c>
      <c r="M76" s="117">
        <f>K76*L76</f>
        <v>11434.539999999999</v>
      </c>
      <c r="N76" s="167"/>
    </row>
    <row r="77" spans="1:14">
      <c r="A77" s="36"/>
      <c r="B77" s="909" t="str">
        <f>B30</f>
        <v>Staff Training</v>
      </c>
      <c r="C77" s="933"/>
      <c r="E77" s="899">
        <f>D30</f>
        <v>360</v>
      </c>
      <c r="F77" s="970">
        <f>E77*E68</f>
        <v>7518.4615384615381</v>
      </c>
      <c r="G77" s="339"/>
      <c r="H77" s="36"/>
      <c r="I77" s="114" t="s">
        <v>21</v>
      </c>
      <c r="J77" s="70"/>
      <c r="K77" s="70"/>
      <c r="L77" s="70"/>
      <c r="M77" s="118">
        <f>SUM(M76:M76)</f>
        <v>11434.539999999999</v>
      </c>
      <c r="N77" s="167"/>
    </row>
    <row r="78" spans="1:14">
      <c r="A78" s="36"/>
      <c r="B78" s="81" t="str">
        <f>B32</f>
        <v xml:space="preserve">  Transportation</v>
      </c>
      <c r="C78" s="72"/>
      <c r="D78" s="72"/>
      <c r="E78" s="122"/>
      <c r="F78" s="626">
        <f>D32</f>
        <v>6191.6539525126345</v>
      </c>
      <c r="G78" s="370"/>
      <c r="H78" s="36"/>
      <c r="I78" s="909" t="str">
        <f>B77</f>
        <v>Staff Training</v>
      </c>
      <c r="J78" s="933"/>
      <c r="K78" s="933"/>
      <c r="L78" s="899">
        <f>E77</f>
        <v>360</v>
      </c>
      <c r="M78" s="962">
        <f>L78*L69</f>
        <v>9387.6923076923067</v>
      </c>
      <c r="N78" s="167"/>
    </row>
    <row r="79" spans="1:14">
      <c r="A79" s="36"/>
      <c r="B79" s="81" t="str">
        <f>B33</f>
        <v xml:space="preserve">  Program Supplies &amp; Materials</v>
      </c>
      <c r="C79" s="72"/>
      <c r="D79" s="72"/>
      <c r="E79" s="122">
        <f>D33</f>
        <v>642.72053101483573</v>
      </c>
      <c r="F79" s="626">
        <f>E79*$E$68</f>
        <v>13422.971090040606</v>
      </c>
      <c r="G79" s="370"/>
      <c r="H79" s="36"/>
      <c r="I79" s="81" t="str">
        <f>B32</f>
        <v xml:space="preserve">  Transportation</v>
      </c>
      <c r="J79" s="72"/>
      <c r="K79" s="72"/>
      <c r="L79" s="122"/>
      <c r="M79" s="123">
        <f>D32</f>
        <v>6191.6539525126345</v>
      </c>
      <c r="N79" s="167"/>
    </row>
    <row r="80" spans="1:14">
      <c r="A80" s="36"/>
      <c r="B80" s="100"/>
      <c r="C80" s="72"/>
      <c r="D80" s="72"/>
      <c r="E80" s="71">
        <f>SUM(E78:E79)</f>
        <v>642.72053101483573</v>
      </c>
      <c r="F80" s="627">
        <f>SUM(F77:F79)</f>
        <v>27133.086581014781</v>
      </c>
      <c r="G80" s="399"/>
      <c r="H80" s="36"/>
      <c r="I80" s="81" t="str">
        <f>B33</f>
        <v xml:space="preserve">  Program Supplies &amp; Materials</v>
      </c>
      <c r="J80" s="72"/>
      <c r="K80" s="72"/>
      <c r="L80" s="122">
        <f>D33</f>
        <v>642.72053101483573</v>
      </c>
      <c r="M80" s="123">
        <f>L80*$L69</f>
        <v>16760.173847233025</v>
      </c>
      <c r="N80" s="167"/>
    </row>
    <row r="81" spans="1:14">
      <c r="A81" s="36"/>
      <c r="B81" s="104"/>
      <c r="C81" s="72"/>
      <c r="D81" s="72"/>
      <c r="E81" s="66"/>
      <c r="F81" s="628"/>
      <c r="G81" s="397"/>
      <c r="H81" s="36"/>
      <c r="I81" s="100"/>
      <c r="J81" s="72"/>
      <c r="K81" s="72"/>
      <c r="L81" s="71">
        <f>SUM(L79:L80)</f>
        <v>642.72053101483573</v>
      </c>
      <c r="M81" s="124">
        <f>SUM(M78:M80)</f>
        <v>32339.520107437966</v>
      </c>
      <c r="N81" s="167"/>
    </row>
    <row r="82" spans="1:14">
      <c r="A82" s="36"/>
      <c r="B82" s="114" t="s">
        <v>23</v>
      </c>
      <c r="C82" s="3"/>
      <c r="D82" s="3"/>
      <c r="E82" s="3"/>
      <c r="F82" s="629" t="e">
        <f>SUM(F72,F76, F80)</f>
        <v>#REF!</v>
      </c>
      <c r="G82" s="397"/>
      <c r="H82" s="36"/>
      <c r="I82" s="104"/>
      <c r="J82" s="72"/>
      <c r="K82" s="72"/>
      <c r="L82" s="66"/>
      <c r="M82" s="125"/>
      <c r="N82" s="167"/>
    </row>
    <row r="83" spans="1:14">
      <c r="A83" s="36"/>
      <c r="B83" s="104"/>
      <c r="C83" s="72"/>
      <c r="D83" s="72"/>
      <c r="E83" s="73"/>
      <c r="F83" s="630"/>
      <c r="G83" s="397"/>
      <c r="H83" s="36"/>
      <c r="I83" s="114" t="s">
        <v>23</v>
      </c>
      <c r="J83" s="3"/>
      <c r="K83" s="3"/>
      <c r="L83" s="3"/>
      <c r="M83" s="126" t="e">
        <f>SUM(M73,M77, M81)</f>
        <v>#REF!</v>
      </c>
      <c r="N83" s="167"/>
    </row>
    <row r="84" spans="1:14">
      <c r="A84" s="36"/>
      <c r="B84" s="104" t="str">
        <f>B36</f>
        <v xml:space="preserve">  Admin. Allocation</v>
      </c>
      <c r="C84" s="72"/>
      <c r="D84" s="187">
        <f>D36</f>
        <v>0.12</v>
      </c>
      <c r="E84" s="72"/>
      <c r="F84" s="622" t="e">
        <f>D84*F82</f>
        <v>#REF!</v>
      </c>
      <c r="G84" s="338"/>
      <c r="H84" s="36"/>
      <c r="I84" s="104"/>
      <c r="J84" s="72"/>
      <c r="K84" s="72"/>
      <c r="L84" s="73"/>
      <c r="M84" s="127"/>
      <c r="N84" s="167"/>
    </row>
    <row r="85" spans="1:14">
      <c r="A85" s="36"/>
      <c r="B85" s="865" t="s">
        <v>788</v>
      </c>
      <c r="C85" s="72"/>
      <c r="D85" s="908">
        <f>D37</f>
        <v>7.4999999999999997E-3</v>
      </c>
      <c r="E85" s="72"/>
      <c r="F85" s="117">
        <v>4315.7154687861721</v>
      </c>
      <c r="G85" s="52"/>
      <c r="H85" s="36"/>
      <c r="I85" s="104" t="str">
        <f>B36</f>
        <v xml:space="preserve">  Admin. Allocation</v>
      </c>
      <c r="J85" s="72"/>
      <c r="K85" s="187">
        <f>D36</f>
        <v>0.12</v>
      </c>
      <c r="L85" s="72"/>
      <c r="M85" s="117" t="e">
        <f>K85*M83</f>
        <v>#REF!</v>
      </c>
    </row>
    <row r="86" spans="1:14">
      <c r="A86" s="36"/>
      <c r="B86" s="104"/>
      <c r="C86" s="72"/>
      <c r="D86" s="72"/>
      <c r="E86" s="72"/>
      <c r="F86" s="622"/>
      <c r="G86" s="45"/>
      <c r="H86" s="36"/>
      <c r="I86" s="865" t="s">
        <v>788</v>
      </c>
      <c r="J86" s="72"/>
      <c r="K86" s="908">
        <f>D37</f>
        <v>7.4999999999999997E-3</v>
      </c>
      <c r="L86" s="72"/>
      <c r="M86" s="117">
        <v>4315.7154687861721</v>
      </c>
    </row>
    <row r="87" spans="1:14" ht="15.75" thickBot="1">
      <c r="A87" s="36"/>
      <c r="B87" s="129" t="s">
        <v>25</v>
      </c>
      <c r="C87" s="74"/>
      <c r="D87" s="74"/>
      <c r="E87" s="74"/>
      <c r="F87" s="631" t="e">
        <f>SUM(F82:F84)</f>
        <v>#REF!</v>
      </c>
      <c r="G87" s="36"/>
      <c r="H87" s="36"/>
      <c r="I87" s="104"/>
      <c r="J87" s="72"/>
      <c r="K87" s="72"/>
      <c r="L87" s="72"/>
      <c r="M87" s="128"/>
    </row>
    <row r="88" spans="1:14" ht="16.5" thickTop="1" thickBot="1">
      <c r="A88" s="36"/>
      <c r="B88" s="104"/>
      <c r="C88" s="72"/>
      <c r="D88" s="72"/>
      <c r="E88" s="72"/>
      <c r="F88" s="567"/>
      <c r="G88" s="36"/>
      <c r="H88" s="36"/>
      <c r="I88" s="129" t="s">
        <v>25</v>
      </c>
      <c r="J88" s="74"/>
      <c r="K88" s="74"/>
      <c r="L88" s="74"/>
      <c r="M88" s="130" t="e">
        <f>SUM(M83:M85)</f>
        <v>#REF!</v>
      </c>
    </row>
    <row r="89" spans="1:14" ht="15.75" thickTop="1">
      <c r="A89" s="36"/>
      <c r="B89" s="104" t="str">
        <f>B38</f>
        <v xml:space="preserve">  CAF</v>
      </c>
      <c r="C89" s="72"/>
      <c r="D89" s="131">
        <f>D39</f>
        <v>2.5000000000000001E-2</v>
      </c>
      <c r="E89" s="72"/>
      <c r="F89" s="632" t="e">
        <f>F87*(1+D89)</f>
        <v>#REF!</v>
      </c>
      <c r="G89" s="36"/>
      <c r="H89" s="36"/>
      <c r="I89" s="104"/>
      <c r="J89" s="72"/>
      <c r="K89" s="72"/>
      <c r="L89" s="72"/>
      <c r="M89" s="105"/>
    </row>
    <row r="90" spans="1:14" ht="15.75" thickBot="1">
      <c r="A90" s="36"/>
      <c r="B90" s="570" t="str">
        <f>B34</f>
        <v>Meals / Food***</v>
      </c>
      <c r="C90" s="571"/>
      <c r="D90" s="971">
        <f>D34</f>
        <v>8.16</v>
      </c>
      <c r="E90" s="571"/>
      <c r="F90" s="635">
        <f>D90*F56</f>
        <v>23827.200000000001</v>
      </c>
      <c r="G90" s="36"/>
      <c r="H90" s="36"/>
      <c r="I90" s="104" t="str">
        <f>B38</f>
        <v xml:space="preserve">  CAF</v>
      </c>
      <c r="J90" s="72"/>
      <c r="K90" s="131">
        <f>D39</f>
        <v>2.5000000000000001E-2</v>
      </c>
      <c r="L90" s="72"/>
      <c r="M90" s="132" t="e">
        <f>M88*(1+K90)</f>
        <v>#REF!</v>
      </c>
    </row>
    <row r="91" spans="1:14" ht="16.5" thickTop="1" thickBot="1">
      <c r="A91" s="36"/>
      <c r="B91" s="104"/>
      <c r="C91" s="72"/>
      <c r="D91" s="131"/>
      <c r="E91" s="72"/>
      <c r="F91" s="632" t="e">
        <f>F89+F90</f>
        <v>#REF!</v>
      </c>
      <c r="G91" s="36"/>
      <c r="H91" s="36"/>
      <c r="I91" s="570" t="str">
        <f>B34</f>
        <v>Meals / Food***</v>
      </c>
      <c r="J91" s="571"/>
      <c r="K91" s="618">
        <f>D34</f>
        <v>8.16</v>
      </c>
      <c r="L91" s="571"/>
      <c r="M91" s="575">
        <f>K91*M57</f>
        <v>32762.400000000001</v>
      </c>
    </row>
    <row r="92" spans="1:14" ht="15.75" thickTop="1">
      <c r="A92" s="36"/>
      <c r="B92" s="104"/>
      <c r="C92" s="72"/>
      <c r="D92" s="72"/>
      <c r="E92" s="72"/>
      <c r="F92" s="633"/>
      <c r="G92" s="52"/>
      <c r="H92" s="36"/>
      <c r="I92" s="104"/>
      <c r="J92" s="72"/>
      <c r="K92" s="131"/>
      <c r="L92" s="72"/>
      <c r="M92" s="132" t="e">
        <f>M90+M91</f>
        <v>#REF!</v>
      </c>
    </row>
    <row r="93" spans="1:14" s="41" customFormat="1" ht="15.75" thickBot="1">
      <c r="A93" s="36"/>
      <c r="B93" s="104" t="s">
        <v>28</v>
      </c>
      <c r="C93" s="72"/>
      <c r="D93" s="72"/>
      <c r="E93" s="73"/>
      <c r="F93" s="614"/>
      <c r="G93" s="36"/>
      <c r="H93" s="36"/>
      <c r="I93" s="104"/>
      <c r="J93" s="72"/>
      <c r="K93" s="72"/>
      <c r="L93" s="72"/>
      <c r="M93" s="136"/>
      <c r="N93" s="36"/>
    </row>
    <row r="94" spans="1:14" s="41" customFormat="1" ht="15.75" thickBot="1">
      <c r="A94" s="36"/>
      <c r="B94" s="584" t="s">
        <v>600</v>
      </c>
      <c r="C94" s="358"/>
      <c r="D94" s="359"/>
      <c r="E94" s="360"/>
      <c r="F94" s="634" t="e">
        <f>F91/F56</f>
        <v>#REF!</v>
      </c>
      <c r="G94" s="36"/>
      <c r="H94" s="36"/>
      <c r="I94" s="104" t="s">
        <v>28</v>
      </c>
      <c r="J94" s="72"/>
      <c r="K94" s="72"/>
      <c r="L94" s="73"/>
      <c r="M94" s="125"/>
      <c r="N94" s="36"/>
    </row>
    <row r="95" spans="1:14" s="41" customFormat="1" ht="15.75" thickBot="1">
      <c r="A95" s="36"/>
      <c r="B95" s="36"/>
      <c r="C95" s="45"/>
      <c r="D95" s="45"/>
      <c r="E95" s="50" t="s">
        <v>783</v>
      </c>
      <c r="F95" s="50">
        <v>395.72</v>
      </c>
      <c r="G95" s="966" t="e">
        <f>F96/F95</f>
        <v>#REF!</v>
      </c>
      <c r="H95" s="36"/>
      <c r="I95" s="584" t="s">
        <v>600</v>
      </c>
      <c r="J95" s="358"/>
      <c r="K95" s="359"/>
      <c r="L95" s="360"/>
      <c r="M95" s="592" t="e">
        <f>M92/M57</f>
        <v>#REF!</v>
      </c>
      <c r="N95" s="36"/>
    </row>
    <row r="96" spans="1:14" s="41" customFormat="1">
      <c r="A96" s="36"/>
      <c r="B96" s="36"/>
      <c r="C96" s="36"/>
      <c r="D96" s="36"/>
      <c r="E96" s="36"/>
      <c r="F96" s="976" t="e">
        <f>F94-F95</f>
        <v>#REF!</v>
      </c>
      <c r="G96" s="36"/>
      <c r="H96" s="36"/>
      <c r="I96" s="36"/>
      <c r="J96" s="36"/>
      <c r="K96" s="36"/>
      <c r="L96" s="50" t="s">
        <v>783</v>
      </c>
      <c r="M96" s="977">
        <v>359.61</v>
      </c>
      <c r="N96" s="966" t="e">
        <f>M97/M96</f>
        <v>#REF!</v>
      </c>
    </row>
    <row r="97" spans="1:14" s="41" customFormat="1">
      <c r="A97" s="36"/>
      <c r="B97" s="36"/>
      <c r="C97" s="36"/>
      <c r="D97" s="36"/>
      <c r="E97" s="36"/>
      <c r="F97" s="36"/>
      <c r="G97" s="36"/>
      <c r="I97" s="36"/>
      <c r="J97" s="36"/>
      <c r="K97" s="36"/>
      <c r="L97" s="36"/>
      <c r="M97" s="965" t="e">
        <f>M95-M96</f>
        <v>#REF!</v>
      </c>
      <c r="N97" s="36"/>
    </row>
    <row r="98" spans="1:14" s="41" customFormat="1">
      <c r="A98" s="36"/>
      <c r="B98" s="36"/>
      <c r="C98" s="36"/>
      <c r="D98" s="36"/>
      <c r="E98" s="36"/>
      <c r="F98" s="36"/>
      <c r="G98" s="36"/>
      <c r="I98" s="36"/>
      <c r="J98" s="36"/>
      <c r="K98" s="36"/>
      <c r="L98" s="36"/>
      <c r="M98" s="36"/>
      <c r="N98" s="36"/>
    </row>
    <row r="99" spans="1:14" s="41" customFormat="1">
      <c r="B99" s="36"/>
      <c r="C99" s="36"/>
      <c r="D99" s="36"/>
      <c r="E99" s="36"/>
      <c r="F99" s="36"/>
    </row>
    <row r="100" spans="1:14" s="41" customFormat="1"/>
    <row r="101" spans="1:14" s="41" customFormat="1"/>
    <row r="102" spans="1:14" s="41" customFormat="1"/>
    <row r="103" spans="1:14" s="41" customFormat="1"/>
    <row r="104" spans="1:14" s="41" customFormat="1"/>
    <row r="105" spans="1:14" s="41" customFormat="1"/>
    <row r="106" spans="1:14" s="41" customFormat="1"/>
    <row r="107" spans="1:14" s="41" customFormat="1"/>
    <row r="108" spans="1:14" s="41" customFormat="1"/>
    <row r="109" spans="1:14" s="41" customFormat="1"/>
    <row r="110" spans="1:14" s="41" customFormat="1"/>
    <row r="111" spans="1:14" s="41" customFormat="1"/>
    <row r="112" spans="1:14" s="41" customFormat="1"/>
    <row r="113" s="41" customFormat="1"/>
    <row r="114" s="41" customFormat="1"/>
    <row r="115" s="41" customFormat="1"/>
    <row r="116" s="41" customFormat="1"/>
    <row r="117" s="41" customFormat="1"/>
    <row r="118" s="41" customFormat="1"/>
    <row r="119" s="41" customFormat="1"/>
    <row r="120" s="41" customFormat="1"/>
    <row r="121" s="41" customFormat="1"/>
    <row r="122" s="41" customFormat="1"/>
    <row r="123" s="41" customFormat="1"/>
    <row r="124" s="41" customFormat="1"/>
    <row r="125" s="41" customFormat="1"/>
    <row r="126" s="41" customFormat="1"/>
    <row r="127" s="41" customFormat="1"/>
    <row r="128" s="41" customFormat="1"/>
    <row r="129" s="41" customFormat="1"/>
    <row r="130" s="41" customFormat="1"/>
    <row r="131" s="41" customFormat="1"/>
    <row r="132" s="41" customFormat="1"/>
    <row r="133" s="41" customFormat="1"/>
    <row r="134" s="41" customFormat="1"/>
    <row r="135" s="41" customFormat="1"/>
    <row r="136" s="41" customFormat="1"/>
    <row r="137" s="41" customFormat="1"/>
    <row r="138" s="41" customFormat="1"/>
    <row r="139" s="41" customFormat="1"/>
    <row r="140" s="41" customFormat="1"/>
    <row r="141" s="41" customFormat="1"/>
    <row r="142" s="41" customFormat="1"/>
    <row r="143" s="41" customFormat="1"/>
    <row r="144" s="41" customFormat="1"/>
    <row r="145" s="41" customFormat="1"/>
    <row r="146" s="41" customFormat="1"/>
    <row r="147" s="41" customFormat="1"/>
    <row r="148" s="41" customFormat="1"/>
    <row r="149" s="41" customFormat="1"/>
    <row r="150" s="41" customFormat="1"/>
    <row r="151" s="41" customFormat="1"/>
    <row r="152" s="41" customFormat="1"/>
    <row r="153" s="41" customFormat="1"/>
    <row r="154" s="41" customFormat="1"/>
    <row r="155" s="41" customFormat="1"/>
    <row r="156" s="41" customFormat="1"/>
    <row r="157" s="41" customFormat="1"/>
    <row r="158" s="41" customFormat="1"/>
    <row r="159" s="41" customFormat="1"/>
    <row r="160" s="41" customFormat="1"/>
    <row r="161" s="41" customFormat="1"/>
    <row r="162" s="41" customFormat="1"/>
    <row r="163" s="41" customFormat="1"/>
    <row r="164" s="41" customFormat="1"/>
    <row r="165" s="41" customFormat="1"/>
    <row r="166" s="41" customFormat="1"/>
    <row r="167" s="41" customFormat="1"/>
    <row r="168" s="41" customFormat="1"/>
    <row r="169" s="41" customFormat="1"/>
    <row r="170" s="41" customFormat="1"/>
    <row r="171" s="41" customFormat="1"/>
    <row r="172" s="41" customFormat="1"/>
    <row r="173" s="41" customFormat="1"/>
    <row r="174" s="41" customFormat="1"/>
    <row r="175" s="41" customFormat="1"/>
    <row r="176" s="41" customFormat="1"/>
    <row r="177" s="41" customFormat="1"/>
    <row r="178" s="41" customFormat="1"/>
    <row r="179" s="41" customFormat="1"/>
    <row r="180" s="41" customFormat="1"/>
    <row r="181" s="41" customFormat="1"/>
    <row r="182" s="41" customFormat="1"/>
    <row r="183" s="41" customFormat="1"/>
    <row r="184" s="41" customFormat="1"/>
    <row r="185" s="41" customFormat="1"/>
    <row r="186" s="41" customFormat="1"/>
    <row r="187" s="41" customFormat="1"/>
    <row r="188" s="41" customFormat="1"/>
    <row r="189" s="41" customFormat="1"/>
    <row r="190" s="41" customFormat="1"/>
    <row r="191" s="41" customFormat="1"/>
    <row r="192" s="41" customFormat="1"/>
    <row r="193" s="41" customFormat="1"/>
    <row r="194" s="41" customFormat="1"/>
    <row r="195" s="41" customFormat="1"/>
    <row r="196" s="41" customFormat="1"/>
    <row r="197" s="41" customFormat="1"/>
    <row r="198" s="41" customFormat="1"/>
    <row r="199" s="41" customFormat="1"/>
    <row r="200" s="41" customFormat="1"/>
    <row r="201" s="41" customFormat="1"/>
    <row r="202" s="41" customFormat="1"/>
    <row r="203" s="41" customFormat="1"/>
    <row r="204" s="41" customFormat="1"/>
    <row r="205" s="41" customFormat="1"/>
    <row r="206" s="41" customFormat="1"/>
    <row r="207" s="41" customFormat="1"/>
    <row r="208" s="41" customFormat="1"/>
    <row r="209" s="41" customFormat="1"/>
    <row r="210" s="41" customFormat="1"/>
    <row r="211" s="41" customFormat="1"/>
    <row r="212" s="41" customFormat="1"/>
    <row r="213" s="41" customFormat="1"/>
    <row r="214" s="41" customFormat="1"/>
    <row r="215" s="41" customFormat="1"/>
    <row r="216" s="41" customFormat="1"/>
    <row r="217" s="41" customFormat="1"/>
    <row r="218" s="41" customFormat="1"/>
    <row r="219" s="41" customFormat="1"/>
    <row r="220" s="41" customFormat="1"/>
    <row r="221" s="41" customFormat="1"/>
    <row r="222" s="41" customFormat="1"/>
    <row r="223" s="41" customFormat="1"/>
    <row r="224" s="41" customFormat="1"/>
    <row r="225" s="41" customFormat="1"/>
    <row r="226" s="41" customFormat="1"/>
    <row r="227" s="41" customFormat="1"/>
    <row r="228" s="41" customFormat="1"/>
    <row r="229" s="41" customFormat="1"/>
    <row r="230" s="41" customFormat="1"/>
    <row r="231" s="41" customFormat="1"/>
    <row r="232" s="41" customFormat="1"/>
    <row r="233" s="41" customFormat="1"/>
    <row r="234" s="41" customFormat="1"/>
    <row r="235" s="41" customFormat="1"/>
    <row r="236" s="41" customFormat="1"/>
    <row r="237" s="41" customFormat="1"/>
    <row r="238" s="41" customFormat="1"/>
    <row r="239" s="41" customFormat="1"/>
    <row r="240" s="41" customFormat="1"/>
    <row r="241" s="41" customFormat="1"/>
    <row r="242" s="41" customFormat="1"/>
    <row r="243" s="41" customFormat="1"/>
    <row r="244" s="41" customFormat="1"/>
    <row r="245" s="41" customFormat="1"/>
    <row r="246" s="41" customFormat="1"/>
    <row r="247" s="41" customFormat="1"/>
    <row r="248" s="41" customFormat="1"/>
    <row r="249" s="41" customFormat="1"/>
    <row r="250" s="41" customFormat="1"/>
    <row r="251" s="41" customFormat="1"/>
    <row r="252" s="41" customFormat="1"/>
    <row r="253" s="41" customFormat="1"/>
    <row r="254" s="41" customFormat="1"/>
    <row r="255" s="41" customFormat="1"/>
    <row r="256" s="41" customFormat="1"/>
    <row r="257" s="41" customFormat="1"/>
    <row r="258" s="41" customFormat="1"/>
    <row r="259" s="41" customFormat="1"/>
    <row r="260" s="41" customFormat="1"/>
    <row r="261" s="41" customFormat="1"/>
    <row r="262" s="41" customFormat="1"/>
    <row r="263" s="41" customFormat="1"/>
    <row r="264" s="41" customFormat="1"/>
    <row r="265" s="41" customFormat="1"/>
    <row r="266" s="41" customFormat="1"/>
    <row r="267" s="41" customFormat="1"/>
    <row r="268" s="41" customFormat="1"/>
    <row r="269" s="41" customFormat="1"/>
    <row r="270" s="41" customFormat="1"/>
    <row r="271" s="41" customFormat="1"/>
    <row r="272" s="41" customFormat="1"/>
    <row r="273" s="41" customFormat="1"/>
    <row r="274" s="41" customFormat="1"/>
    <row r="275" s="41" customFormat="1"/>
    <row r="276" s="41" customFormat="1"/>
    <row r="277" s="41" customFormat="1"/>
    <row r="278" s="41" customFormat="1"/>
    <row r="279" s="41" customFormat="1"/>
    <row r="280" s="41" customFormat="1"/>
    <row r="281" s="41" customFormat="1"/>
    <row r="282" s="41" customFormat="1"/>
    <row r="283" s="41" customFormat="1"/>
    <row r="284" s="41" customFormat="1"/>
    <row r="285" s="41" customFormat="1"/>
    <row r="286" s="41" customFormat="1"/>
    <row r="287" s="41" customFormat="1"/>
    <row r="288" s="41" customFormat="1"/>
    <row r="289" s="41" customFormat="1"/>
    <row r="290" s="41" customFormat="1"/>
    <row r="291" s="41" customFormat="1"/>
    <row r="292" s="41" customFormat="1"/>
    <row r="293" s="41" customFormat="1"/>
    <row r="294" s="41" customFormat="1"/>
    <row r="295" s="41" customFormat="1"/>
    <row r="296" s="41" customFormat="1"/>
    <row r="297" s="41" customFormat="1"/>
    <row r="298" s="41" customFormat="1"/>
    <row r="299" s="41" customFormat="1"/>
    <row r="300" s="41" customFormat="1"/>
    <row r="301" s="41" customFormat="1"/>
    <row r="302" s="41" customFormat="1"/>
    <row r="303" s="41" customFormat="1"/>
    <row r="304" s="41" customFormat="1"/>
    <row r="305" s="41" customFormat="1"/>
    <row r="306" s="41" customFormat="1"/>
    <row r="307" s="41" customFormat="1"/>
    <row r="308" s="41" customFormat="1"/>
    <row r="309" s="41" customFormat="1"/>
    <row r="310" s="41" customFormat="1"/>
    <row r="311" s="41" customFormat="1"/>
    <row r="312" s="41" customFormat="1"/>
    <row r="313" s="41" customFormat="1"/>
    <row r="314" s="41" customFormat="1"/>
    <row r="315" s="41" customFormat="1"/>
    <row r="316" s="41" customFormat="1"/>
    <row r="317" s="41" customFormat="1"/>
    <row r="318" s="41" customFormat="1"/>
    <row r="319" s="41" customFormat="1"/>
    <row r="320" s="41" customFormat="1"/>
    <row r="321" s="41" customFormat="1"/>
    <row r="322" s="41" customFormat="1"/>
    <row r="323" s="41" customFormat="1"/>
    <row r="324" s="41" customFormat="1"/>
    <row r="325" s="41" customFormat="1"/>
    <row r="326" s="41" customFormat="1"/>
    <row r="327" s="41" customFormat="1"/>
    <row r="328" s="41" customFormat="1"/>
    <row r="329" s="41" customFormat="1"/>
    <row r="330" s="41" customFormat="1"/>
    <row r="331" s="41" customFormat="1"/>
    <row r="332" s="41" customFormat="1"/>
    <row r="333" s="41" customFormat="1"/>
    <row r="334" s="41" customFormat="1"/>
    <row r="335" s="41" customFormat="1"/>
    <row r="336" s="41" customFormat="1"/>
    <row r="337" s="41" customFormat="1"/>
    <row r="338" s="41" customFormat="1"/>
    <row r="339" s="41" customFormat="1"/>
    <row r="340" s="41" customFormat="1"/>
    <row r="341" s="41" customFormat="1"/>
    <row r="342" s="41" customFormat="1"/>
    <row r="343" s="41" customFormat="1"/>
    <row r="344" s="41" customFormat="1"/>
    <row r="345" s="41" customFormat="1"/>
    <row r="346" s="41" customFormat="1"/>
    <row r="347" s="41" customFormat="1"/>
    <row r="348" s="41" customFormat="1"/>
    <row r="349" s="41" customFormat="1"/>
    <row r="350" s="41" customFormat="1"/>
    <row r="351" s="41" customFormat="1"/>
    <row r="352" s="41" customFormat="1"/>
    <row r="353" s="41" customFormat="1"/>
    <row r="354" s="41" customFormat="1"/>
    <row r="355" s="41" customFormat="1"/>
    <row r="356" s="41" customFormat="1"/>
    <row r="357" s="41" customFormat="1"/>
    <row r="358" s="41" customFormat="1"/>
    <row r="359" s="41" customFormat="1"/>
    <row r="360" s="41" customFormat="1"/>
    <row r="361" s="41" customFormat="1"/>
    <row r="362" s="41" customFormat="1"/>
    <row r="363" s="41" customFormat="1"/>
    <row r="364" s="41" customFormat="1"/>
    <row r="365" s="41" customFormat="1"/>
    <row r="366" s="41" customFormat="1"/>
    <row r="367" s="41" customFormat="1"/>
    <row r="368" s="41" customFormat="1"/>
    <row r="369" s="41" customFormat="1"/>
    <row r="370" s="41" customFormat="1"/>
    <row r="371" s="41" customFormat="1"/>
    <row r="372" s="41" customFormat="1"/>
    <row r="373" s="41" customFormat="1"/>
    <row r="374" s="41" customFormat="1"/>
    <row r="375" s="41" customFormat="1"/>
    <row r="376" s="41" customFormat="1"/>
    <row r="377" s="41" customFormat="1"/>
    <row r="378" s="41" customFormat="1"/>
    <row r="379" s="41" customFormat="1"/>
    <row r="380" s="41" customFormat="1"/>
    <row r="381" s="41" customFormat="1"/>
    <row r="382" s="41" customFormat="1"/>
    <row r="383" s="41" customFormat="1"/>
    <row r="384" s="41" customFormat="1"/>
    <row r="385" s="41" customFormat="1"/>
    <row r="386" s="41" customFormat="1"/>
    <row r="387" s="41" customFormat="1"/>
    <row r="388" s="41" customFormat="1"/>
    <row r="389" s="41" customFormat="1"/>
    <row r="390" s="41" customFormat="1"/>
    <row r="391" s="41" customFormat="1"/>
    <row r="392" s="41" customFormat="1"/>
    <row r="393" s="41" customFormat="1"/>
    <row r="394" s="41" customFormat="1"/>
    <row r="395" s="41" customFormat="1"/>
    <row r="396" s="41" customFormat="1"/>
    <row r="397" s="41" customFormat="1"/>
    <row r="398" s="41" customFormat="1"/>
    <row r="399" s="41" customFormat="1"/>
    <row r="400" s="41" customFormat="1"/>
    <row r="401" s="41" customFormat="1"/>
    <row r="402" s="41" customFormat="1"/>
    <row r="403" s="41" customFormat="1"/>
    <row r="404" s="41" customFormat="1"/>
    <row r="405" s="41" customFormat="1"/>
    <row r="406" s="41" customFormat="1"/>
    <row r="407" s="41" customFormat="1"/>
    <row r="408" s="41" customFormat="1"/>
    <row r="409" s="41" customFormat="1"/>
    <row r="410" s="41" customFormat="1"/>
    <row r="411" s="41" customFormat="1"/>
    <row r="412" s="41" customFormat="1"/>
    <row r="413" s="41" customFormat="1"/>
    <row r="414" s="41" customFormat="1"/>
    <row r="415" s="41" customFormat="1"/>
    <row r="416" s="41" customFormat="1"/>
    <row r="417" s="41" customFormat="1"/>
    <row r="418" s="41" customFormat="1"/>
    <row r="419" s="41" customFormat="1"/>
    <row r="420" s="41" customFormat="1"/>
    <row r="421" s="41" customFormat="1"/>
    <row r="422" s="41" customFormat="1"/>
    <row r="423" s="41" customFormat="1"/>
    <row r="424" s="41" customFormat="1"/>
    <row r="425" s="41" customFormat="1"/>
    <row r="426" s="41" customFormat="1"/>
    <row r="427" s="41" customFormat="1"/>
    <row r="428" s="41" customFormat="1"/>
    <row r="429" s="41" customFormat="1"/>
    <row r="430" s="41" customFormat="1"/>
    <row r="431" s="41" customFormat="1"/>
    <row r="432" s="41" customFormat="1"/>
    <row r="433" s="41" customFormat="1"/>
    <row r="434" s="41" customFormat="1"/>
    <row r="435" s="41" customFormat="1"/>
    <row r="436" s="41" customFormat="1"/>
    <row r="437" s="41" customFormat="1"/>
    <row r="438" s="41" customFormat="1"/>
    <row r="439" s="41" customFormat="1"/>
    <row r="440" s="41" customFormat="1"/>
    <row r="441" s="41" customFormat="1"/>
    <row r="442" s="41" customFormat="1"/>
    <row r="443" s="41" customFormat="1"/>
    <row r="444" s="41" customFormat="1"/>
    <row r="445" s="41" customFormat="1"/>
    <row r="446" s="41" customFormat="1"/>
    <row r="447" s="41" customFormat="1"/>
    <row r="448" s="41" customFormat="1"/>
    <row r="449" s="41" customFormat="1"/>
    <row r="450" s="41" customFormat="1"/>
    <row r="451" s="41" customFormat="1"/>
    <row r="452" s="41" customFormat="1"/>
    <row r="453" s="41" customFormat="1"/>
    <row r="454" s="41" customFormat="1"/>
    <row r="455" s="41" customFormat="1"/>
    <row r="456" s="41" customFormat="1"/>
    <row r="457" s="41" customFormat="1"/>
    <row r="458" s="41" customFormat="1"/>
    <row r="459" s="41" customFormat="1"/>
    <row r="460" s="41" customFormat="1"/>
    <row r="461" s="41" customFormat="1"/>
    <row r="462" s="41" customFormat="1"/>
    <row r="463" s="41" customFormat="1"/>
    <row r="464" s="41" customFormat="1"/>
    <row r="465" spans="2:13" s="41" customFormat="1"/>
    <row r="466" spans="2:13" s="41" customFormat="1"/>
    <row r="467" spans="2:13" s="41" customFormat="1"/>
    <row r="468" spans="2:13" s="41" customFormat="1"/>
    <row r="469" spans="2:13" s="41" customFormat="1"/>
    <row r="470" spans="2:13" s="41" customFormat="1"/>
    <row r="471" spans="2:13" s="41" customFormat="1"/>
    <row r="472" spans="2:13" s="41" customFormat="1"/>
    <row r="473" spans="2:13" s="41" customFormat="1"/>
    <row r="474" spans="2:13" s="41" customFormat="1"/>
    <row r="475" spans="2:13" s="41" customFormat="1"/>
    <row r="476" spans="2:13" s="41" customFormat="1"/>
    <row r="477" spans="2:13">
      <c r="B477" s="41"/>
      <c r="C477" s="41"/>
      <c r="D477" s="41"/>
      <c r="E477" s="41"/>
      <c r="F477" s="41"/>
      <c r="I477" s="41"/>
      <c r="J477" s="41"/>
      <c r="K477" s="41"/>
      <c r="L477" s="41"/>
      <c r="M477" s="41"/>
    </row>
    <row r="478" spans="2:13">
      <c r="B478" s="41"/>
      <c r="C478" s="41"/>
      <c r="D478" s="41"/>
      <c r="E478" s="41"/>
      <c r="F478" s="41"/>
      <c r="I478" s="41"/>
      <c r="J478" s="41"/>
      <c r="K478" s="41"/>
      <c r="L478" s="41"/>
      <c r="M478" s="41"/>
    </row>
    <row r="479" spans="2:13">
      <c r="B479" s="41"/>
      <c r="C479" s="41"/>
      <c r="D479" s="41"/>
      <c r="E479" s="41"/>
      <c r="F479" s="41"/>
      <c r="I479" s="41"/>
      <c r="J479" s="41"/>
      <c r="K479" s="41"/>
      <c r="L479" s="41"/>
      <c r="M479" s="41"/>
    </row>
    <row r="480" spans="2:13">
      <c r="I480" s="41"/>
      <c r="J480" s="41"/>
      <c r="K480" s="41"/>
      <c r="L480" s="41"/>
      <c r="M480" s="41"/>
    </row>
  </sheetData>
  <mergeCells count="5">
    <mergeCell ref="B1:F1"/>
    <mergeCell ref="H1:L1"/>
    <mergeCell ref="H9:L9"/>
    <mergeCell ref="B53:F54"/>
    <mergeCell ref="B55:F55"/>
  </mergeCells>
  <pageMargins left="0.25" right="0.25" top="0.25" bottom="0.25" header="0.3" footer="0.3"/>
  <pageSetup scale="69" fitToHeight="3" orientation="portrait" r:id="rId1"/>
  <headerFooter>
    <oddFooter>&amp;R&amp;P of &amp;N</oddFooter>
  </headerFooter>
  <rowBreaks count="1" manualBreakCount="1">
    <brk id="52" min="7" max="12"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C082-DB08-46E6-907E-398462ADA108}">
  <sheetPr>
    <pageSetUpPr fitToPage="1"/>
  </sheetPr>
  <dimension ref="A1:LX320"/>
  <sheetViews>
    <sheetView showGridLines="0" topLeftCell="A9" zoomScale="90" zoomScaleNormal="90" workbookViewId="0">
      <selection activeCell="L36" sqref="L36"/>
    </sheetView>
  </sheetViews>
  <sheetFormatPr defaultColWidth="9.42578125" defaultRowHeight="12.75"/>
  <cols>
    <col min="1" max="1" width="3" style="985" customWidth="1"/>
    <col min="2" max="2" width="25.5703125" style="985" customWidth="1"/>
    <col min="3" max="3" width="10.42578125" style="985" customWidth="1"/>
    <col min="4" max="4" width="14" style="985" customWidth="1"/>
    <col min="5" max="5" width="10.42578125" style="985" customWidth="1"/>
    <col min="6" max="6" width="10.42578125" style="985" hidden="1" customWidth="1"/>
    <col min="7" max="7" width="2" style="985" customWidth="1"/>
    <col min="8" max="8" width="2.5703125" style="985" customWidth="1"/>
    <col min="9" max="9" width="22.140625" style="985" customWidth="1"/>
    <col min="10" max="10" width="2" style="985" bestFit="1" customWidth="1"/>
    <col min="11" max="11" width="9.85546875" style="985" customWidth="1"/>
    <col min="12" max="12" width="8.7109375" style="985" customWidth="1"/>
    <col min="13" max="13" width="10.85546875" style="985" customWidth="1"/>
    <col min="14" max="14" width="5.140625" style="985" customWidth="1"/>
    <col min="15" max="15" width="22.140625" style="985" customWidth="1"/>
    <col min="16" max="16" width="2" style="985" bestFit="1" customWidth="1"/>
    <col min="17" max="17" width="10.28515625" style="985" customWidth="1"/>
    <col min="18" max="18" width="9.42578125" style="985" customWidth="1"/>
    <col min="19" max="19" width="12" style="985" customWidth="1"/>
    <col min="20" max="20" width="4.42578125" style="985" customWidth="1"/>
    <col min="21" max="21" width="22.140625" style="985" customWidth="1"/>
    <col min="22" max="22" width="3.140625" style="985" bestFit="1" customWidth="1"/>
    <col min="23" max="23" width="11.85546875" style="985" customWidth="1"/>
    <col min="24" max="24" width="9" style="985" customWidth="1"/>
    <col min="25" max="25" width="11.7109375" style="985" customWidth="1"/>
    <col min="26" max="26" width="6" style="985" customWidth="1"/>
    <col min="27" max="332" width="9.42578125" style="984"/>
    <col min="333" max="16384" width="9.42578125" style="985"/>
  </cols>
  <sheetData>
    <row r="1" spans="1:26" ht="15.75" customHeight="1" thickBot="1">
      <c r="A1" s="156"/>
      <c r="B1" s="2622"/>
      <c r="C1" s="2622"/>
      <c r="D1" s="2622"/>
      <c r="E1" s="2622"/>
      <c r="F1" s="2622"/>
      <c r="G1" s="2622"/>
      <c r="H1" s="156"/>
      <c r="I1" s="2554" t="s">
        <v>1421</v>
      </c>
      <c r="J1" s="2554"/>
      <c r="K1" s="2554"/>
      <c r="L1" s="2554"/>
      <c r="M1" s="2554"/>
      <c r="N1" s="2554"/>
      <c r="O1" s="2554"/>
      <c r="P1" s="2554"/>
      <c r="Q1" s="2554"/>
      <c r="R1" s="2554"/>
      <c r="S1" s="2554"/>
      <c r="T1" s="2554"/>
      <c r="U1" s="2554"/>
      <c r="V1" s="2554"/>
      <c r="W1" s="2554"/>
      <c r="X1" s="2554"/>
      <c r="Y1" s="2554"/>
      <c r="Z1" s="156"/>
    </row>
    <row r="2" spans="1:26" ht="16.5" customHeight="1" thickBot="1">
      <c r="A2" s="156"/>
      <c r="B2" s="1398" t="s">
        <v>1434</v>
      </c>
      <c r="C2" s="35"/>
      <c r="D2" s="35"/>
      <c r="E2" s="35"/>
      <c r="F2" s="35"/>
      <c r="G2" s="35"/>
      <c r="H2" s="156"/>
      <c r="I2" s="35"/>
      <c r="J2" s="35"/>
      <c r="K2" s="35"/>
      <c r="L2" s="35"/>
      <c r="M2" s="35"/>
      <c r="N2" s="35"/>
      <c r="O2" s="35"/>
      <c r="P2" s="35"/>
      <c r="Q2" s="35"/>
      <c r="R2" s="35"/>
      <c r="S2" s="35"/>
      <c r="T2" s="35"/>
      <c r="U2" s="35"/>
      <c r="V2" s="35"/>
      <c r="W2" s="35"/>
      <c r="X2" s="35"/>
      <c r="Y2" s="35"/>
      <c r="Z2" s="156"/>
    </row>
    <row r="3" spans="1:26">
      <c r="A3" s="156"/>
      <c r="B3" s="138"/>
      <c r="C3" s="139" t="s">
        <v>1</v>
      </c>
      <c r="D3" s="163" t="s">
        <v>2</v>
      </c>
      <c r="E3" s="156"/>
      <c r="F3" s="156"/>
      <c r="G3" s="156"/>
      <c r="H3" s="156"/>
      <c r="I3" s="986"/>
      <c r="J3" s="156"/>
      <c r="K3" s="156"/>
      <c r="L3" s="156"/>
      <c r="M3" s="156"/>
      <c r="N3" s="156"/>
      <c r="O3" s="156"/>
      <c r="P3" s="156"/>
      <c r="Q3" s="156"/>
      <c r="R3" s="156"/>
      <c r="S3" s="156"/>
      <c r="T3" s="156"/>
      <c r="U3" s="156"/>
      <c r="V3" s="156"/>
      <c r="W3" s="156"/>
      <c r="X3" s="1180"/>
      <c r="Y3" s="2292"/>
      <c r="Z3" s="156"/>
    </row>
    <row r="4" spans="1:26">
      <c r="A4" s="156"/>
      <c r="B4" s="140" t="s">
        <v>370</v>
      </c>
      <c r="C4" s="854">
        <v>15</v>
      </c>
      <c r="D4" s="164">
        <f>C4*8</f>
        <v>120</v>
      </c>
      <c r="E4" s="38"/>
      <c r="F4" s="38"/>
      <c r="G4" s="38"/>
      <c r="H4" s="156"/>
      <c r="I4" s="156"/>
      <c r="J4" s="156"/>
      <c r="K4" s="156"/>
      <c r="L4" s="156"/>
      <c r="M4" s="156"/>
      <c r="N4" s="156"/>
      <c r="O4" s="156"/>
      <c r="P4" s="156"/>
      <c r="Q4" s="156"/>
      <c r="R4" s="156"/>
      <c r="S4" s="156"/>
      <c r="T4" s="156"/>
      <c r="U4" s="156"/>
      <c r="V4" s="156"/>
      <c r="W4" s="156"/>
      <c r="X4" s="156"/>
      <c r="Y4" s="156"/>
      <c r="Z4" s="156"/>
    </row>
    <row r="5" spans="1:26">
      <c r="A5" s="156"/>
      <c r="B5" s="140" t="s">
        <v>378</v>
      </c>
      <c r="C5" s="854">
        <v>10</v>
      </c>
      <c r="D5" s="164">
        <f>C5*8</f>
        <v>80</v>
      </c>
      <c r="E5" s="39"/>
      <c r="F5" s="39"/>
      <c r="G5" s="39"/>
      <c r="H5" s="156"/>
      <c r="I5" s="156"/>
      <c r="J5" s="156"/>
      <c r="K5" s="156"/>
      <c r="L5" s="156"/>
      <c r="M5" s="156"/>
      <c r="N5" s="156"/>
      <c r="O5" s="156"/>
      <c r="P5" s="156"/>
      <c r="Q5" s="156"/>
      <c r="R5" s="156"/>
      <c r="S5" s="156"/>
      <c r="T5" s="156"/>
      <c r="U5" s="156"/>
      <c r="V5" s="156"/>
      <c r="W5" s="156"/>
      <c r="X5" s="156"/>
      <c r="Y5" s="156"/>
      <c r="Z5" s="156"/>
    </row>
    <row r="6" spans="1:26">
      <c r="A6" s="156"/>
      <c r="B6" s="140" t="s">
        <v>372</v>
      </c>
      <c r="C6" s="854">
        <v>11</v>
      </c>
      <c r="D6" s="164">
        <f>C6*8</f>
        <v>88</v>
      </c>
      <c r="E6" s="39"/>
      <c r="F6" s="39"/>
      <c r="G6" s="39"/>
      <c r="H6" s="156"/>
      <c r="I6" s="156"/>
      <c r="J6" s="156"/>
      <c r="K6" s="156"/>
      <c r="L6" s="156"/>
      <c r="M6" s="156"/>
      <c r="N6" s="156"/>
      <c r="O6" s="156"/>
      <c r="P6" s="156"/>
      <c r="Q6" s="156"/>
      <c r="R6" s="156"/>
      <c r="S6" s="156"/>
      <c r="T6" s="156"/>
      <c r="U6" s="156"/>
      <c r="V6" s="156"/>
      <c r="W6" s="156"/>
      <c r="X6" s="156"/>
      <c r="Y6" s="156"/>
      <c r="Z6" s="156"/>
    </row>
    <row r="7" spans="1:26">
      <c r="A7" s="156"/>
      <c r="B7" s="142" t="s">
        <v>902</v>
      </c>
      <c r="C7" s="854">
        <v>5</v>
      </c>
      <c r="D7" s="165">
        <f>C7*8</f>
        <v>40</v>
      </c>
      <c r="E7" s="39"/>
      <c r="F7" s="39"/>
      <c r="G7" s="39"/>
      <c r="H7" s="156"/>
      <c r="I7" s="156"/>
      <c r="J7" s="156"/>
      <c r="K7" s="156"/>
      <c r="L7" s="156"/>
      <c r="M7" s="156"/>
      <c r="N7" s="156"/>
      <c r="O7" s="156"/>
      <c r="P7" s="156"/>
      <c r="Q7" s="156"/>
      <c r="R7" s="156"/>
      <c r="S7" s="156"/>
      <c r="T7" s="156"/>
      <c r="U7" s="156"/>
      <c r="V7" s="156"/>
      <c r="W7" s="156"/>
      <c r="X7" s="156"/>
      <c r="Y7" s="156"/>
      <c r="Z7" s="156"/>
    </row>
    <row r="8" spans="1:26">
      <c r="A8" s="156"/>
      <c r="B8" s="140"/>
      <c r="C8" s="143" t="s">
        <v>3</v>
      </c>
      <c r="D8" s="164">
        <f>SUM(D4:D7)</f>
        <v>328</v>
      </c>
      <c r="E8" s="39"/>
      <c r="F8" s="39"/>
      <c r="G8" s="39"/>
      <c r="H8" s="156"/>
      <c r="I8" s="156"/>
      <c r="J8" s="156"/>
      <c r="K8" s="156"/>
      <c r="L8" s="156"/>
      <c r="M8" s="156"/>
      <c r="N8" s="156"/>
      <c r="O8" s="156"/>
      <c r="P8" s="156"/>
      <c r="Q8" s="156"/>
      <c r="R8" s="156"/>
      <c r="S8" s="156"/>
      <c r="T8" s="156"/>
      <c r="U8" s="156"/>
      <c r="V8" s="156"/>
      <c r="W8" s="156"/>
      <c r="X8" s="156"/>
      <c r="Y8" s="156"/>
      <c r="Z8" s="156"/>
    </row>
    <row r="9" spans="1:26" ht="13.5" customHeight="1" thickBot="1">
      <c r="A9" s="156"/>
      <c r="B9" s="144"/>
      <c r="C9" s="145" t="s">
        <v>4</v>
      </c>
      <c r="D9" s="166">
        <f>D8/(52*40)</f>
        <v>0.15769230769230769</v>
      </c>
      <c r="E9" s="39"/>
      <c r="F9" s="39"/>
      <c r="G9" s="39"/>
      <c r="H9" s="156"/>
      <c r="I9" s="156"/>
      <c r="J9" s="156"/>
      <c r="K9" s="156"/>
      <c r="L9" s="156"/>
      <c r="M9" s="156"/>
      <c r="N9" s="156"/>
      <c r="O9" s="156"/>
      <c r="P9" s="156"/>
      <c r="Q9" s="156"/>
      <c r="R9" s="156"/>
      <c r="S9" s="156"/>
      <c r="T9" s="156"/>
      <c r="U9" s="156"/>
      <c r="V9" s="156"/>
      <c r="W9" s="156"/>
      <c r="X9" s="156"/>
      <c r="Y9" s="156"/>
      <c r="Z9" s="156"/>
    </row>
    <row r="10" spans="1:26">
      <c r="A10" s="156"/>
      <c r="B10" s="156"/>
      <c r="C10" s="156"/>
      <c r="D10" s="156"/>
      <c r="E10" s="2293"/>
      <c r="F10" s="2293"/>
      <c r="G10" s="2293"/>
      <c r="H10" s="156"/>
      <c r="I10" s="269"/>
      <c r="J10" s="156"/>
      <c r="K10" s="156"/>
      <c r="L10" s="156"/>
      <c r="M10" s="156"/>
      <c r="N10" s="156"/>
      <c r="O10" s="156"/>
      <c r="P10" s="156"/>
      <c r="Q10" s="156"/>
      <c r="R10" s="156"/>
      <c r="S10" s="156"/>
      <c r="T10" s="156"/>
      <c r="U10" s="156"/>
      <c r="V10" s="156"/>
      <c r="W10" s="156"/>
      <c r="X10" s="156"/>
      <c r="Y10" s="156"/>
      <c r="Z10" s="156"/>
    </row>
    <row r="11" spans="1:26" ht="13.5" thickBot="1">
      <c r="A11" s="156"/>
      <c r="B11" s="269" t="s">
        <v>1435</v>
      </c>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row>
    <row r="12" spans="1:26" ht="13.5" thickBot="1">
      <c r="A12" s="156"/>
      <c r="B12" s="2294" t="s">
        <v>356</v>
      </c>
      <c r="C12" s="2295" t="s">
        <v>118</v>
      </c>
      <c r="D12" s="2295" t="s">
        <v>119</v>
      </c>
      <c r="E12" s="2295" t="s">
        <v>120</v>
      </c>
      <c r="F12" s="2296" t="s">
        <v>1164</v>
      </c>
      <c r="G12" s="2297"/>
      <c r="H12" s="156"/>
      <c r="I12" s="2623" t="s">
        <v>1422</v>
      </c>
      <c r="J12" s="2624"/>
      <c r="K12" s="2624"/>
      <c r="L12" s="2624"/>
      <c r="M12" s="2625"/>
      <c r="O12" s="2623" t="s">
        <v>1423</v>
      </c>
      <c r="P12" s="2624"/>
      <c r="Q12" s="2624"/>
      <c r="R12" s="2624"/>
      <c r="S12" s="2625"/>
      <c r="U12" s="2623" t="s">
        <v>1424</v>
      </c>
      <c r="V12" s="2624"/>
      <c r="W12" s="2624"/>
      <c r="X12" s="2624"/>
      <c r="Y12" s="2625"/>
      <c r="Z12" s="156"/>
    </row>
    <row r="13" spans="1:26">
      <c r="A13" s="156"/>
      <c r="B13" s="2298" t="s">
        <v>1425</v>
      </c>
      <c r="C13" s="2299">
        <v>0.1</v>
      </c>
      <c r="D13" s="2299">
        <v>0.1</v>
      </c>
      <c r="E13" s="2299">
        <v>0.1</v>
      </c>
      <c r="F13" s="2300"/>
      <c r="G13" s="2301"/>
      <c r="H13" s="156"/>
      <c r="I13" s="987" t="s">
        <v>277</v>
      </c>
      <c r="J13" s="147">
        <v>5</v>
      </c>
      <c r="K13" s="988"/>
      <c r="L13" s="989" t="s">
        <v>133</v>
      </c>
      <c r="M13" s="990">
        <f>J13*365</f>
        <v>1825</v>
      </c>
      <c r="N13" s="156"/>
      <c r="O13" s="987" t="s">
        <v>277</v>
      </c>
      <c r="P13" s="147">
        <v>8</v>
      </c>
      <c r="Q13" s="988"/>
      <c r="R13" s="989" t="s">
        <v>133</v>
      </c>
      <c r="S13" s="990">
        <f>P13*365</f>
        <v>2920</v>
      </c>
      <c r="T13" s="156"/>
      <c r="U13" s="987" t="s">
        <v>36</v>
      </c>
      <c r="V13" s="147">
        <v>11</v>
      </c>
      <c r="W13" s="988"/>
      <c r="X13" s="989" t="s">
        <v>133</v>
      </c>
      <c r="Y13" s="990">
        <f>V13*365</f>
        <v>4015</v>
      </c>
      <c r="Z13" s="156"/>
    </row>
    <row r="14" spans="1:26">
      <c r="A14" s="156"/>
      <c r="B14" s="2298" t="s">
        <v>1331</v>
      </c>
      <c r="C14" s="2299">
        <v>1</v>
      </c>
      <c r="D14" s="2299">
        <v>1</v>
      </c>
      <c r="E14" s="2299">
        <v>1</v>
      </c>
      <c r="F14" s="2302">
        <v>92496.84919424048</v>
      </c>
      <c r="G14" s="2301"/>
      <c r="H14" s="156"/>
      <c r="I14" s="109"/>
      <c r="J14" s="156"/>
      <c r="K14" s="156"/>
      <c r="L14" s="156"/>
      <c r="M14" s="991" t="s">
        <v>1262</v>
      </c>
      <c r="N14" s="156"/>
      <c r="O14" s="109"/>
      <c r="P14" s="156"/>
      <c r="Q14" s="156"/>
      <c r="R14" s="156"/>
      <c r="S14" s="991"/>
      <c r="T14" s="156"/>
      <c r="U14" s="109"/>
      <c r="V14" s="156"/>
      <c r="W14" s="156"/>
      <c r="X14" s="156"/>
      <c r="Y14" s="991"/>
      <c r="Z14" s="156"/>
    </row>
    <row r="15" spans="1:26" ht="12.95" customHeight="1">
      <c r="A15" s="156"/>
      <c r="B15" s="2298" t="s">
        <v>1436</v>
      </c>
      <c r="C15" s="2299">
        <v>0.5</v>
      </c>
      <c r="D15" s="2299">
        <v>0.5</v>
      </c>
      <c r="E15" s="2299">
        <v>0.75</v>
      </c>
      <c r="F15" s="2302">
        <v>45124.774005912077</v>
      </c>
      <c r="G15" s="2303"/>
      <c r="H15" s="156"/>
      <c r="I15" s="995" t="s">
        <v>825</v>
      </c>
      <c r="J15" s="996"/>
      <c r="K15" s="997" t="s">
        <v>5</v>
      </c>
      <c r="L15" s="2255" t="s">
        <v>6</v>
      </c>
      <c r="M15" s="2256" t="s">
        <v>7</v>
      </c>
      <c r="N15" s="156"/>
      <c r="O15" s="995" t="s">
        <v>825</v>
      </c>
      <c r="P15" s="996"/>
      <c r="Q15" s="997" t="s">
        <v>5</v>
      </c>
      <c r="R15" s="2255" t="s">
        <v>6</v>
      </c>
      <c r="S15" s="2256" t="s">
        <v>7</v>
      </c>
      <c r="T15" s="156"/>
      <c r="U15" s="995" t="s">
        <v>825</v>
      </c>
      <c r="V15" s="996"/>
      <c r="W15" s="997" t="s">
        <v>5</v>
      </c>
      <c r="X15" s="997" t="s">
        <v>6</v>
      </c>
      <c r="Y15" s="998" t="s">
        <v>7</v>
      </c>
      <c r="Z15" s="156"/>
    </row>
    <row r="16" spans="1:26" ht="12.95" customHeight="1">
      <c r="A16" s="156"/>
      <c r="B16" s="2298" t="s">
        <v>1437</v>
      </c>
      <c r="C16" s="2299">
        <v>3</v>
      </c>
      <c r="D16" s="2299">
        <v>4.2</v>
      </c>
      <c r="E16" s="2299">
        <v>5.4</v>
      </c>
      <c r="F16" s="2302"/>
      <c r="G16" s="2303"/>
      <c r="H16" s="156"/>
      <c r="I16" s="48" t="str">
        <f t="shared" ref="I16:I22" si="0">B13</f>
        <v xml:space="preserve">Management </v>
      </c>
      <c r="J16" s="1123"/>
      <c r="K16" s="2257">
        <f>'[23]M2021 BLS  SALARY CHART'!C22</f>
        <v>72000</v>
      </c>
      <c r="L16" s="2258">
        <f t="shared" ref="L16:L22" si="1">C13</f>
        <v>0.1</v>
      </c>
      <c r="M16" s="2082">
        <f t="shared" ref="M16:M21" si="2">L16*K16</f>
        <v>7200</v>
      </c>
      <c r="N16" s="156"/>
      <c r="O16" s="48" t="str">
        <f>I16</f>
        <v xml:space="preserve">Management </v>
      </c>
      <c r="P16" s="1123"/>
      <c r="Q16" s="2257">
        <f t="shared" ref="Q16:Q21" si="3">K16</f>
        <v>72000</v>
      </c>
      <c r="R16" s="2258">
        <f t="shared" ref="R16:R22" si="4">D13</f>
        <v>0.1</v>
      </c>
      <c r="S16" s="2082">
        <f t="shared" ref="S16:S21" si="5">R16*Q16</f>
        <v>7200</v>
      </c>
      <c r="T16" s="156"/>
      <c r="U16" s="48" t="str">
        <f>O16</f>
        <v xml:space="preserve">Management </v>
      </c>
      <c r="V16" s="1000"/>
      <c r="W16" s="2257">
        <f t="shared" ref="W16:W21" si="6">Q16</f>
        <v>72000</v>
      </c>
      <c r="X16" s="2259">
        <f t="shared" ref="X16:X22" si="7">E13</f>
        <v>0.1</v>
      </c>
      <c r="Y16" s="2304">
        <f>X16*W16</f>
        <v>7200</v>
      </c>
      <c r="Z16" s="156"/>
    </row>
    <row r="17" spans="1:336">
      <c r="A17" s="156"/>
      <c r="B17" s="2298" t="s">
        <v>881</v>
      </c>
      <c r="C17" s="2299">
        <v>6</v>
      </c>
      <c r="D17" s="2299">
        <v>8.4</v>
      </c>
      <c r="E17" s="2299">
        <v>10.6</v>
      </c>
      <c r="F17" s="2302">
        <v>32198.400000000001</v>
      </c>
      <c r="G17" s="2301"/>
      <c r="H17" s="156"/>
      <c r="I17" s="48" t="str">
        <f t="shared" si="0"/>
        <v>Specialty Site Manager</v>
      </c>
      <c r="J17" s="1002"/>
      <c r="K17" s="2257">
        <f>'M2022 BLS SALARY CHART (53_PCT)'!C18</f>
        <v>80606.448000000004</v>
      </c>
      <c r="L17" s="2258">
        <f t="shared" si="1"/>
        <v>1</v>
      </c>
      <c r="M17" s="2082">
        <f t="shared" si="2"/>
        <v>80606.448000000004</v>
      </c>
      <c r="N17" s="1006"/>
      <c r="O17" s="48" t="str">
        <f t="shared" ref="O17:O22" si="8">I17</f>
        <v>Specialty Site Manager</v>
      </c>
      <c r="P17" s="1002"/>
      <c r="Q17" s="2257">
        <f t="shared" si="3"/>
        <v>80606.448000000004</v>
      </c>
      <c r="R17" s="2258">
        <f t="shared" si="4"/>
        <v>1</v>
      </c>
      <c r="S17" s="2082">
        <f t="shared" si="5"/>
        <v>80606.448000000004</v>
      </c>
      <c r="T17" s="156"/>
      <c r="U17" s="48" t="str">
        <f t="shared" ref="U17:U22" si="9">O17</f>
        <v>Specialty Site Manager</v>
      </c>
      <c r="V17" s="1002"/>
      <c r="W17" s="2257">
        <f t="shared" si="6"/>
        <v>80606.448000000004</v>
      </c>
      <c r="X17" s="2259">
        <f t="shared" si="7"/>
        <v>1</v>
      </c>
      <c r="Y17" s="2304">
        <f t="shared" ref="Y17:Y22" si="10">X17*W17</f>
        <v>80606.448000000004</v>
      </c>
      <c r="Z17" s="156"/>
    </row>
    <row r="18" spans="1:336">
      <c r="A18" s="156"/>
      <c r="B18" s="2298" t="s">
        <v>1438</v>
      </c>
      <c r="C18" s="2299">
        <v>0.5</v>
      </c>
      <c r="D18" s="2299">
        <v>0.5</v>
      </c>
      <c r="E18" s="2299">
        <v>1</v>
      </c>
      <c r="F18" s="2302">
        <v>32198.400000000001</v>
      </c>
      <c r="G18" s="2301"/>
      <c r="H18" s="156"/>
      <c r="I18" s="48" t="str">
        <f t="shared" si="0"/>
        <v>Registered Nurse</v>
      </c>
      <c r="J18" s="1002"/>
      <c r="K18" s="2257">
        <f>'M2022 BLS SALARY CHART (53_PCT)'!C32</f>
        <v>102258.624</v>
      </c>
      <c r="L18" s="2258">
        <f t="shared" si="1"/>
        <v>0.5</v>
      </c>
      <c r="M18" s="2082">
        <f t="shared" si="2"/>
        <v>51129.311999999998</v>
      </c>
      <c r="N18" s="1006"/>
      <c r="O18" s="48" t="str">
        <f t="shared" si="8"/>
        <v>Registered Nurse</v>
      </c>
      <c r="P18" s="1002"/>
      <c r="Q18" s="2257">
        <f t="shared" si="3"/>
        <v>102258.624</v>
      </c>
      <c r="R18" s="2258">
        <f t="shared" si="4"/>
        <v>0.5</v>
      </c>
      <c r="S18" s="2082">
        <f t="shared" si="5"/>
        <v>51129.311999999998</v>
      </c>
      <c r="T18" s="156"/>
      <c r="U18" s="48" t="str">
        <f t="shared" si="9"/>
        <v>Registered Nurse</v>
      </c>
      <c r="V18" s="1002"/>
      <c r="W18" s="2257">
        <f t="shared" si="6"/>
        <v>102258.624</v>
      </c>
      <c r="X18" s="2259">
        <f t="shared" si="7"/>
        <v>0.75</v>
      </c>
      <c r="Y18" s="2304">
        <f t="shared" si="10"/>
        <v>76693.967999999993</v>
      </c>
      <c r="Z18" s="156"/>
    </row>
    <row r="19" spans="1:336" s="984" customFormat="1">
      <c r="A19" s="156"/>
      <c r="B19" s="2298" t="s">
        <v>12</v>
      </c>
      <c r="C19" s="2305">
        <f>SUM(C14:C18)*$D$9</f>
        <v>1.7346153846153847</v>
      </c>
      <c r="D19" s="2305">
        <f>SUM(D14:D18)*$D$9</f>
        <v>2.3023076923076924</v>
      </c>
      <c r="E19" s="2305">
        <f>SUM(E14:E18)*$D$9</f>
        <v>2.9567307692307692</v>
      </c>
      <c r="F19" s="2300"/>
      <c r="G19" s="2301"/>
      <c r="H19" s="156"/>
      <c r="I19" s="48" t="str">
        <f t="shared" si="0"/>
        <v>Licensed Practical Nurse</v>
      </c>
      <c r="J19" s="1410"/>
      <c r="K19" s="2306">
        <f>'M2022 BLS SALARY CHART (53_PCT)'!C16</f>
        <v>65676.416000000012</v>
      </c>
      <c r="L19" s="2258">
        <f t="shared" si="1"/>
        <v>3</v>
      </c>
      <c r="M19" s="2082">
        <f t="shared" si="2"/>
        <v>197029.24800000002</v>
      </c>
      <c r="N19" s="2263"/>
      <c r="O19" s="48" t="str">
        <f t="shared" si="8"/>
        <v>Licensed Practical Nurse</v>
      </c>
      <c r="P19" s="1410"/>
      <c r="Q19" s="2257">
        <f t="shared" si="3"/>
        <v>65676.416000000012</v>
      </c>
      <c r="R19" s="2258">
        <f t="shared" si="4"/>
        <v>4.2</v>
      </c>
      <c r="S19" s="2082">
        <f t="shared" si="5"/>
        <v>275840.94720000005</v>
      </c>
      <c r="T19" s="985"/>
      <c r="U19" s="48" t="str">
        <f t="shared" si="9"/>
        <v>Licensed Practical Nurse</v>
      </c>
      <c r="V19" s="1410"/>
      <c r="W19" s="2257">
        <f t="shared" si="6"/>
        <v>65676.416000000012</v>
      </c>
      <c r="X19" s="2259">
        <f t="shared" si="7"/>
        <v>5.4</v>
      </c>
      <c r="Y19" s="2304">
        <f t="shared" si="10"/>
        <v>354652.64640000009</v>
      </c>
      <c r="Z19" s="156"/>
      <c r="LU19" s="985"/>
      <c r="LV19" s="985"/>
      <c r="LW19" s="985"/>
      <c r="LX19" s="985"/>
    </row>
    <row r="20" spans="1:336" s="984" customFormat="1" ht="13.5" thickBot="1">
      <c r="A20" s="156"/>
      <c r="B20" s="2307"/>
      <c r="C20" s="2308"/>
      <c r="D20" s="2308"/>
      <c r="E20" s="2308"/>
      <c r="F20" s="2309"/>
      <c r="G20" s="2310"/>
      <c r="H20" s="156"/>
      <c r="I20" s="48" t="str">
        <f t="shared" si="0"/>
        <v>Certified Nursing Assistant</v>
      </c>
      <c r="J20" s="1410"/>
      <c r="K20" s="2306">
        <f>'M2022 BLS SALARY CHART (53_PCT)'!C10</f>
        <v>41600</v>
      </c>
      <c r="L20" s="2258">
        <f t="shared" si="1"/>
        <v>6</v>
      </c>
      <c r="M20" s="2082">
        <f t="shared" si="2"/>
        <v>249600</v>
      </c>
      <c r="N20" s="2263"/>
      <c r="O20" s="48" t="str">
        <f t="shared" si="8"/>
        <v>Certified Nursing Assistant</v>
      </c>
      <c r="P20" s="1410"/>
      <c r="Q20" s="2257">
        <f t="shared" si="3"/>
        <v>41600</v>
      </c>
      <c r="R20" s="2258">
        <f t="shared" si="4"/>
        <v>8.4</v>
      </c>
      <c r="S20" s="2082">
        <f t="shared" si="5"/>
        <v>349440</v>
      </c>
      <c r="T20" s="985"/>
      <c r="U20" s="48" t="str">
        <f t="shared" si="9"/>
        <v>Certified Nursing Assistant</v>
      </c>
      <c r="V20" s="1410"/>
      <c r="W20" s="2257">
        <f t="shared" si="6"/>
        <v>41600</v>
      </c>
      <c r="X20" s="2259">
        <f t="shared" si="7"/>
        <v>10.6</v>
      </c>
      <c r="Y20" s="2304">
        <f t="shared" si="10"/>
        <v>440960</v>
      </c>
      <c r="Z20" s="156"/>
      <c r="LU20" s="985"/>
      <c r="LV20" s="985"/>
      <c r="LW20" s="985"/>
      <c r="LX20" s="985"/>
    </row>
    <row r="21" spans="1:336" s="984" customFormat="1">
      <c r="A21" s="156"/>
      <c r="B21" s="2311" t="s">
        <v>1439</v>
      </c>
      <c r="C21" s="2299"/>
      <c r="D21" s="2299"/>
      <c r="E21" s="2312"/>
      <c r="F21" s="2300"/>
      <c r="G21" s="2301"/>
      <c r="H21" s="156"/>
      <c r="I21" s="48" t="str">
        <f t="shared" si="0"/>
        <v>OT</v>
      </c>
      <c r="J21" s="1410"/>
      <c r="K21" s="2306">
        <f>D32</f>
        <v>41600</v>
      </c>
      <c r="L21" s="2258">
        <f t="shared" si="1"/>
        <v>0.5</v>
      </c>
      <c r="M21" s="2082">
        <f t="shared" si="2"/>
        <v>20800</v>
      </c>
      <c r="N21" s="2263"/>
      <c r="O21" s="48" t="str">
        <f t="shared" si="8"/>
        <v>OT</v>
      </c>
      <c r="P21" s="1410"/>
      <c r="Q21" s="2257">
        <f t="shared" si="3"/>
        <v>41600</v>
      </c>
      <c r="R21" s="2258">
        <f t="shared" si="4"/>
        <v>0.5</v>
      </c>
      <c r="S21" s="2082">
        <f t="shared" si="5"/>
        <v>20800</v>
      </c>
      <c r="T21" s="985"/>
      <c r="U21" s="48" t="str">
        <f t="shared" si="9"/>
        <v>OT</v>
      </c>
      <c r="V21" s="1410"/>
      <c r="W21" s="2257">
        <f t="shared" si="6"/>
        <v>41600</v>
      </c>
      <c r="X21" s="2259">
        <f t="shared" si="7"/>
        <v>1</v>
      </c>
      <c r="Y21" s="2304">
        <f t="shared" si="10"/>
        <v>41600</v>
      </c>
      <c r="Z21" s="156"/>
      <c r="LU21" s="985"/>
      <c r="LV21" s="985"/>
      <c r="LW21" s="985"/>
      <c r="LX21" s="985"/>
    </row>
    <row r="22" spans="1:336" s="984" customFormat="1" ht="13.5" thickBot="1">
      <c r="A22" s="156"/>
      <c r="B22" s="2313" t="s">
        <v>1440</v>
      </c>
      <c r="C22" s="2314">
        <v>52</v>
      </c>
      <c r="D22" s="2314">
        <v>78</v>
      </c>
      <c r="E22" s="2299">
        <v>104</v>
      </c>
      <c r="F22" s="2300"/>
      <c r="G22" s="2301"/>
      <c r="H22" s="156"/>
      <c r="I22" s="2260" t="str">
        <f t="shared" si="0"/>
        <v>Relief</v>
      </c>
      <c r="J22" s="2315"/>
      <c r="K22" s="2264">
        <f>SUM(M17:M21)/11.65</f>
        <v>51430.472789699576</v>
      </c>
      <c r="L22" s="2316">
        <f t="shared" si="1"/>
        <v>1.7346153846153847</v>
      </c>
      <c r="M22" s="2317">
        <f>K22*L22</f>
        <v>89212.089339055805</v>
      </c>
      <c r="N22" s="1006"/>
      <c r="O22" s="2260" t="str">
        <f t="shared" si="8"/>
        <v>Relief</v>
      </c>
      <c r="P22" s="2315"/>
      <c r="Q22" s="2264">
        <f>SUM(S17:S21)/15.9</f>
        <v>48919.289761006294</v>
      </c>
      <c r="R22" s="2261">
        <f t="shared" si="4"/>
        <v>2.3023076923076924</v>
      </c>
      <c r="S22" s="2317">
        <f>Q22*R22</f>
        <v>112627.25711899373</v>
      </c>
      <c r="T22" s="156"/>
      <c r="U22" s="2260" t="str">
        <f t="shared" si="9"/>
        <v>Relief</v>
      </c>
      <c r="V22" s="2315"/>
      <c r="W22" s="2264">
        <f>SUM(Y17:Y21)/20.7</f>
        <v>48044.109294685994</v>
      </c>
      <c r="X22" s="2265">
        <f t="shared" si="7"/>
        <v>2.9567307692307692</v>
      </c>
      <c r="Y22" s="2318">
        <f t="shared" si="10"/>
        <v>142053.49623188406</v>
      </c>
      <c r="Z22" s="156"/>
      <c r="LU22" s="985"/>
      <c r="LV22" s="985"/>
      <c r="LW22" s="985"/>
      <c r="LX22" s="985"/>
    </row>
    <row r="23" spans="1:336" s="984" customFormat="1" ht="14.25" thickTop="1" thickBot="1">
      <c r="A23" s="156"/>
      <c r="B23" s="2319" t="s">
        <v>1441</v>
      </c>
      <c r="C23" s="2320">
        <v>26</v>
      </c>
      <c r="D23" s="2320">
        <v>52</v>
      </c>
      <c r="E23" s="2320">
        <v>78</v>
      </c>
      <c r="F23" s="2309"/>
      <c r="G23" s="2321"/>
      <c r="H23" s="156"/>
      <c r="I23" s="1097" t="s">
        <v>13</v>
      </c>
      <c r="J23" s="1316"/>
      <c r="K23" s="1347"/>
      <c r="L23" s="1010">
        <f>SUM(L16:L22)</f>
        <v>12.834615384615384</v>
      </c>
      <c r="M23" s="2266">
        <f>SUM(M16:M22)</f>
        <v>695577.09733905585</v>
      </c>
      <c r="N23" s="1006"/>
      <c r="O23" s="1097" t="s">
        <v>13</v>
      </c>
      <c r="P23" s="1316"/>
      <c r="Q23" s="1347"/>
      <c r="R23" s="1010">
        <f>SUM(R16:R22)</f>
        <v>17.002307692307692</v>
      </c>
      <c r="S23" s="2266">
        <f>SUM(S16:S22)</f>
        <v>897643.96431899373</v>
      </c>
      <c r="T23" s="156"/>
      <c r="U23" s="1097" t="s">
        <v>13</v>
      </c>
      <c r="V23" s="1316"/>
      <c r="W23" s="1347"/>
      <c r="X23" s="1010">
        <f>SUM(X16:X22)</f>
        <v>21.806730769230771</v>
      </c>
      <c r="Y23" s="2266">
        <f>SUM(Y16:Y22)</f>
        <v>1143766.5586318842</v>
      </c>
      <c r="Z23" s="156"/>
      <c r="LU23" s="985"/>
      <c r="LV23" s="985"/>
      <c r="LW23" s="985"/>
      <c r="LX23" s="985"/>
    </row>
    <row r="24" spans="1:336" s="984" customFormat="1" ht="13.5" thickBot="1">
      <c r="A24" s="156"/>
      <c r="B24" s="339"/>
      <c r="C24" s="297"/>
      <c r="D24" s="297"/>
      <c r="E24" s="297"/>
      <c r="F24" s="2322"/>
      <c r="G24" s="297"/>
      <c r="H24" s="156"/>
      <c r="I24" s="109" t="s">
        <v>17</v>
      </c>
      <c r="J24" s="156"/>
      <c r="K24" s="1811">
        <f>'[23]M2021 BLS  SALARY CHART'!C37</f>
        <v>0.2422</v>
      </c>
      <c r="L24" s="156"/>
      <c r="M24" s="2082">
        <f>K24*M23</f>
        <v>168468.77297551933</v>
      </c>
      <c r="N24" s="1006"/>
      <c r="O24" s="109" t="s">
        <v>17</v>
      </c>
      <c r="P24" s="156"/>
      <c r="Q24" s="1811">
        <f>K24</f>
        <v>0.2422</v>
      </c>
      <c r="R24" s="156"/>
      <c r="S24" s="2082">
        <f>Q24*S23</f>
        <v>217409.36815806027</v>
      </c>
      <c r="T24" s="156"/>
      <c r="U24" s="109" t="s">
        <v>17</v>
      </c>
      <c r="V24" s="156"/>
      <c r="W24" s="1811">
        <f>Q24</f>
        <v>0.2422</v>
      </c>
      <c r="X24" s="156"/>
      <c r="Y24" s="2082">
        <f>W24*Y23</f>
        <v>277020.26050064235</v>
      </c>
      <c r="Z24" s="156"/>
      <c r="LU24" s="985"/>
      <c r="LV24" s="985"/>
      <c r="LW24" s="985"/>
      <c r="LX24" s="985"/>
    </row>
    <row r="25" spans="1:336" s="984" customFormat="1" ht="13.5" thickBot="1">
      <c r="A25" s="156"/>
      <c r="B25" s="545"/>
      <c r="C25" s="1039"/>
      <c r="D25" s="1039"/>
      <c r="E25" s="1039"/>
      <c r="F25" s="1039"/>
      <c r="G25" s="1039"/>
      <c r="H25" s="156"/>
      <c r="I25" s="1329" t="s">
        <v>18</v>
      </c>
      <c r="J25" s="1330"/>
      <c r="K25" s="1330"/>
      <c r="L25" s="2267"/>
      <c r="M25" s="2268">
        <f>M23+M24</f>
        <v>864045.87031457515</v>
      </c>
      <c r="N25" s="1006"/>
      <c r="O25" s="1329" t="s">
        <v>18</v>
      </c>
      <c r="P25" s="1330"/>
      <c r="Q25" s="1330"/>
      <c r="R25" s="2267"/>
      <c r="S25" s="2268">
        <f>S23+S24</f>
        <v>1115053.3324770541</v>
      </c>
      <c r="T25" s="156"/>
      <c r="U25" s="1329" t="s">
        <v>18</v>
      </c>
      <c r="V25" s="1330"/>
      <c r="W25" s="1330"/>
      <c r="X25" s="2267"/>
      <c r="Y25" s="2268">
        <f>Y23+Y24</f>
        <v>1420786.8191325264</v>
      </c>
      <c r="Z25" s="156"/>
      <c r="LU25" s="985"/>
      <c r="LV25" s="985"/>
      <c r="LW25" s="985"/>
      <c r="LX25" s="985"/>
    </row>
    <row r="26" spans="1:336" s="984" customFormat="1" ht="13.5" thickBot="1">
      <c r="A26" s="156"/>
      <c r="B26" s="269" t="s">
        <v>825</v>
      </c>
      <c r="C26" s="1039"/>
      <c r="D26" s="269" t="s">
        <v>5</v>
      </c>
      <c r="E26" s="1039"/>
      <c r="F26" s="1039"/>
      <c r="G26" s="1039"/>
      <c r="H26" s="156"/>
      <c r="I26" s="2269"/>
      <c r="J26" s="2269"/>
      <c r="K26" s="2269"/>
      <c r="L26" s="2270"/>
      <c r="M26" s="2271"/>
      <c r="N26" s="1006"/>
      <c r="O26" s="2269"/>
      <c r="P26" s="2269"/>
      <c r="Q26" s="2269"/>
      <c r="R26" s="2270"/>
      <c r="S26" s="2271"/>
      <c r="T26" s="156"/>
      <c r="U26" s="2269"/>
      <c r="V26" s="2269"/>
      <c r="W26" s="2269"/>
      <c r="X26" s="2270"/>
      <c r="Y26" s="2271"/>
      <c r="Z26" s="156"/>
      <c r="LU26" s="985"/>
      <c r="LV26" s="985"/>
      <c r="LW26" s="985"/>
      <c r="LX26" s="985"/>
    </row>
    <row r="27" spans="1:336" s="984" customFormat="1">
      <c r="A27" s="156"/>
      <c r="B27" s="1331" t="s">
        <v>1425</v>
      </c>
      <c r="C27" s="2370"/>
      <c r="D27" s="2371">
        <f>'M2022 BLS SALARY CHART (53_PCT)'!C22</f>
        <v>79415.232000000018</v>
      </c>
      <c r="E27" s="156"/>
      <c r="F27" s="156"/>
      <c r="G27" s="156"/>
      <c r="H27" s="156"/>
      <c r="I27" s="2323" t="s">
        <v>1426</v>
      </c>
      <c r="J27" s="988"/>
      <c r="K27" s="988"/>
      <c r="L27" s="2272" t="s">
        <v>1427</v>
      </c>
      <c r="M27" s="2273" t="s">
        <v>7</v>
      </c>
      <c r="N27" s="2274"/>
      <c r="O27" s="987" t="s">
        <v>1426</v>
      </c>
      <c r="P27" s="988"/>
      <c r="Q27" s="988"/>
      <c r="R27" s="2272" t="s">
        <v>1427</v>
      </c>
      <c r="S27" s="2273" t="s">
        <v>7</v>
      </c>
      <c r="T27" s="156"/>
      <c r="U27" s="987" t="s">
        <v>1426</v>
      </c>
      <c r="V27" s="988"/>
      <c r="W27" s="988"/>
      <c r="X27" s="2272" t="s">
        <v>1427</v>
      </c>
      <c r="Y27" s="2273" t="s">
        <v>7</v>
      </c>
      <c r="Z27" s="156"/>
      <c r="LU27" s="985"/>
      <c r="LV27" s="985"/>
      <c r="LW27" s="985"/>
      <c r="LX27" s="985"/>
    </row>
    <row r="28" spans="1:336" s="984" customFormat="1" ht="12.75" customHeight="1">
      <c r="A28" s="156"/>
      <c r="B28" s="140" t="s">
        <v>1331</v>
      </c>
      <c r="C28" s="541"/>
      <c r="D28" s="2372">
        <f>'M2022 BLS SALARY CHART (53_PCT)'!C18</f>
        <v>80606.448000000004</v>
      </c>
      <c r="E28" s="156"/>
      <c r="F28" s="156"/>
      <c r="G28" s="156"/>
      <c r="H28" s="156"/>
      <c r="I28" s="48" t="s">
        <v>1428</v>
      </c>
      <c r="J28" s="2275"/>
      <c r="K28" s="2276"/>
      <c r="L28" s="2277">
        <f>'[23]M2021 BLS  SALARY CHART'!H42</f>
        <v>98.801442307692312</v>
      </c>
      <c r="M28" s="2278">
        <f>L28*C22</f>
        <v>5137.6750000000002</v>
      </c>
      <c r="N28" s="1006"/>
      <c r="O28" s="48" t="s">
        <v>1428</v>
      </c>
      <c r="P28" s="2275"/>
      <c r="Q28" s="2276"/>
      <c r="R28" s="2277">
        <f t="shared" ref="R28:R33" si="11">L28</f>
        <v>98.801442307692312</v>
      </c>
      <c r="S28" s="2278">
        <f>R28*D22</f>
        <v>7706.5125000000007</v>
      </c>
      <c r="T28" s="156"/>
      <c r="U28" s="48" t="s">
        <v>1428</v>
      </c>
      <c r="V28" s="2275"/>
      <c r="W28" s="2276"/>
      <c r="X28" s="2277">
        <f>R28</f>
        <v>98.801442307692312</v>
      </c>
      <c r="Y28" s="2278">
        <f>X28*E22</f>
        <v>10275.35</v>
      </c>
      <c r="Z28" s="156"/>
      <c r="LU28" s="985"/>
      <c r="LV28" s="985"/>
      <c r="LW28" s="985"/>
      <c r="LX28" s="985"/>
    </row>
    <row r="29" spans="1:336" s="984" customFormat="1" ht="12.75" customHeight="1">
      <c r="A29" s="156"/>
      <c r="B29" s="140" t="s">
        <v>1436</v>
      </c>
      <c r="C29" s="541"/>
      <c r="D29" s="2372">
        <f>'M2022 BLS SALARY CHART (53_PCT)'!C32</f>
        <v>102258.624</v>
      </c>
      <c r="E29" s="156"/>
      <c r="F29" s="156"/>
      <c r="G29" s="156"/>
      <c r="H29" s="156"/>
      <c r="I29" s="48" t="s">
        <v>1429</v>
      </c>
      <c r="J29" s="156"/>
      <c r="K29" s="884"/>
      <c r="L29" s="2279">
        <f>'[23]M2021 BLS  SALARY CHART'!H43</f>
        <v>39.756</v>
      </c>
      <c r="M29" s="2280">
        <f>L29*C23</f>
        <v>1033.6559999999999</v>
      </c>
      <c r="N29" s="1006"/>
      <c r="O29" s="48" t="s">
        <v>1429</v>
      </c>
      <c r="P29" s="156"/>
      <c r="Q29" s="884"/>
      <c r="R29" s="2279">
        <f t="shared" si="11"/>
        <v>39.756</v>
      </c>
      <c r="S29" s="2280">
        <f>R29*D23</f>
        <v>2067.3119999999999</v>
      </c>
      <c r="T29" s="156"/>
      <c r="U29" s="48" t="s">
        <v>1429</v>
      </c>
      <c r="V29" s="156"/>
      <c r="W29" s="884"/>
      <c r="X29" s="2279">
        <f>L29</f>
        <v>39.756</v>
      </c>
      <c r="Y29" s="2280">
        <f>X29*E23</f>
        <v>3100.9679999999998</v>
      </c>
      <c r="Z29" s="156"/>
      <c r="LU29" s="985"/>
      <c r="LV29" s="985"/>
      <c r="LW29" s="985"/>
      <c r="LX29" s="985"/>
    </row>
    <row r="30" spans="1:336" s="984" customFormat="1">
      <c r="A30" s="156"/>
      <c r="B30" s="140" t="s">
        <v>1437</v>
      </c>
      <c r="C30" s="541"/>
      <c r="D30" s="2372">
        <f>'M2022 BLS SALARY CHART (53_PCT)'!C16</f>
        <v>65676.416000000012</v>
      </c>
      <c r="E30" s="156"/>
      <c r="F30" s="156"/>
      <c r="G30" s="156"/>
      <c r="H30" s="156"/>
      <c r="I30" s="109" t="s">
        <v>1043</v>
      </c>
      <c r="J30" s="156"/>
      <c r="K30" s="1215"/>
      <c r="L30" s="888">
        <f>'[23]M2021 BLS  SALARY CHART'!H44</f>
        <v>196.547741</v>
      </c>
      <c r="M30" s="2280">
        <f>L30*L23</f>
        <v>2522.61466045</v>
      </c>
      <c r="N30" s="1006"/>
      <c r="O30" s="109" t="s">
        <v>1043</v>
      </c>
      <c r="P30" s="156"/>
      <c r="Q30" s="1215"/>
      <c r="R30" s="2279">
        <f t="shared" si="11"/>
        <v>196.547741</v>
      </c>
      <c r="S30" s="2280">
        <f>R30*R23</f>
        <v>3341.7651687100001</v>
      </c>
      <c r="T30" s="156"/>
      <c r="U30" s="109" t="s">
        <v>1043</v>
      </c>
      <c r="V30" s="156"/>
      <c r="W30" s="1215"/>
      <c r="X30" s="2279">
        <f>R30</f>
        <v>196.547741</v>
      </c>
      <c r="Y30" s="2280">
        <f>X30*X23</f>
        <v>4286.0636712875003</v>
      </c>
      <c r="Z30" s="156"/>
      <c r="LU30" s="985"/>
      <c r="LV30" s="985"/>
      <c r="LW30" s="985"/>
      <c r="LX30" s="985"/>
    </row>
    <row r="31" spans="1:336" s="984" customFormat="1">
      <c r="A31" s="156"/>
      <c r="B31" s="140" t="s">
        <v>881</v>
      </c>
      <c r="C31" s="541"/>
      <c r="D31" s="2372">
        <f>'M2022 BLS SALARY CHART (53_PCT)'!C10</f>
        <v>41600</v>
      </c>
      <c r="E31" s="156"/>
      <c r="F31" s="156"/>
      <c r="G31" s="156"/>
      <c r="H31" s="156"/>
      <c r="I31" s="109" t="s">
        <v>22</v>
      </c>
      <c r="J31" s="156"/>
      <c r="K31" s="1215"/>
      <c r="L31" s="888">
        <f>'[23]M2021 BLS  SALARY CHART'!H45</f>
        <v>2.066662</v>
      </c>
      <c r="M31" s="2280">
        <f>L31*M13</f>
        <v>3771.6581500000002</v>
      </c>
      <c r="N31" s="1006"/>
      <c r="O31" s="109" t="s">
        <v>22</v>
      </c>
      <c r="P31" s="156"/>
      <c r="Q31" s="1215"/>
      <c r="R31" s="2279">
        <f t="shared" si="11"/>
        <v>2.066662</v>
      </c>
      <c r="S31" s="2280">
        <f>R31*S13</f>
        <v>6034.6530400000001</v>
      </c>
      <c r="T31" s="156"/>
      <c r="U31" s="109" t="s">
        <v>22</v>
      </c>
      <c r="V31" s="156"/>
      <c r="W31" s="1215"/>
      <c r="X31" s="2279">
        <f>R31</f>
        <v>2.066662</v>
      </c>
      <c r="Y31" s="2280">
        <f>X31*Y13</f>
        <v>8297.6479299999992</v>
      </c>
      <c r="Z31" s="156"/>
      <c r="LU31" s="985"/>
      <c r="LV31" s="985"/>
      <c r="LW31" s="985"/>
      <c r="LX31" s="985"/>
    </row>
    <row r="32" spans="1:336" s="984" customFormat="1">
      <c r="A32" s="156"/>
      <c r="B32" s="140" t="s">
        <v>1438</v>
      </c>
      <c r="C32" s="541"/>
      <c r="D32" s="2372">
        <f>'M2022 BLS SALARY CHART (53_PCT)'!C6</f>
        <v>41600</v>
      </c>
      <c r="E32" s="156"/>
      <c r="F32" s="156"/>
      <c r="G32" s="156"/>
      <c r="H32" s="156"/>
      <c r="I32" s="109" t="s">
        <v>1430</v>
      </c>
      <c r="J32" s="156"/>
      <c r="K32" s="156"/>
      <c r="L32" s="888">
        <f>'[23]M2021 BLS  SALARY CHART'!H46</f>
        <v>709.73470099999997</v>
      </c>
      <c r="M32" s="2281">
        <f>L32*L23</f>
        <v>9109.1719124499996</v>
      </c>
      <c r="N32" s="1006"/>
      <c r="O32" s="109" t="s">
        <v>1430</v>
      </c>
      <c r="P32" s="156"/>
      <c r="Q32" s="156"/>
      <c r="R32" s="2279">
        <f t="shared" si="11"/>
        <v>709.73470099999997</v>
      </c>
      <c r="S32" s="2281">
        <f>R32*R23</f>
        <v>12067.127766309999</v>
      </c>
      <c r="T32" s="156"/>
      <c r="U32" s="109" t="s">
        <v>1430</v>
      </c>
      <c r="V32" s="156"/>
      <c r="W32" s="156"/>
      <c r="X32" s="2279">
        <f>R32</f>
        <v>709.73470099999997</v>
      </c>
      <c r="Y32" s="2281">
        <f>X32*X23</f>
        <v>15476.993542287501</v>
      </c>
      <c r="Z32" s="156"/>
      <c r="LU32" s="985"/>
      <c r="LV32" s="985"/>
      <c r="LW32" s="985"/>
      <c r="LX32" s="985"/>
    </row>
    <row r="33" spans="1:336" s="984" customFormat="1" ht="13.5" thickBot="1">
      <c r="A33" s="156"/>
      <c r="B33" s="144" t="s">
        <v>12</v>
      </c>
      <c r="C33" s="543"/>
      <c r="D33" s="2373">
        <f>'M2022 BLS SALARY CHART (53_PCT)'!C6</f>
        <v>41600</v>
      </c>
      <c r="E33" s="156"/>
      <c r="F33" s="156"/>
      <c r="G33" s="156"/>
      <c r="H33" s="156"/>
      <c r="I33" s="1349" t="s">
        <v>1103</v>
      </c>
      <c r="J33" s="1043"/>
      <c r="K33" s="1043"/>
      <c r="L33" s="2282">
        <f>'[23]M2021 BLS  SALARY CHART'!H47</f>
        <v>8.5224229999999999</v>
      </c>
      <c r="M33" s="2283">
        <f>L33*M13</f>
        <v>15553.421974999999</v>
      </c>
      <c r="N33" s="1006"/>
      <c r="O33" s="1349" t="s">
        <v>1103</v>
      </c>
      <c r="P33" s="1043"/>
      <c r="Q33" s="1043"/>
      <c r="R33" s="2284">
        <f t="shared" si="11"/>
        <v>8.5224229999999999</v>
      </c>
      <c r="S33" s="2283">
        <f>R33*S13</f>
        <v>24885.475159999998</v>
      </c>
      <c r="T33" s="156"/>
      <c r="U33" s="1349" t="s">
        <v>1103</v>
      </c>
      <c r="V33" s="1043"/>
      <c r="W33" s="1043"/>
      <c r="X33" s="2284">
        <f>R33</f>
        <v>8.5224229999999999</v>
      </c>
      <c r="Y33" s="2283">
        <f>X33*Y13</f>
        <v>34217.528344999999</v>
      </c>
      <c r="Z33" s="156"/>
      <c r="LU33" s="985"/>
      <c r="LV33" s="985"/>
      <c r="LW33" s="985"/>
      <c r="LX33" s="985"/>
    </row>
    <row r="34" spans="1:336" s="984" customFormat="1" ht="13.5" thickBot="1">
      <c r="A34" s="156"/>
      <c r="B34" s="156"/>
      <c r="C34" s="156"/>
      <c r="D34" s="156"/>
      <c r="E34" s="156"/>
      <c r="F34" s="156"/>
      <c r="G34" s="156"/>
      <c r="H34" s="156"/>
      <c r="I34" s="1165" t="s">
        <v>1431</v>
      </c>
      <c r="J34" s="1612"/>
      <c r="K34" s="1612"/>
      <c r="L34" s="1612"/>
      <c r="M34" s="2285">
        <f>SUM(M25:M33)</f>
        <v>901174.06801247515</v>
      </c>
      <c r="N34" s="1006"/>
      <c r="O34" s="1165" t="s">
        <v>1431</v>
      </c>
      <c r="P34" s="1612"/>
      <c r="Q34" s="1612"/>
      <c r="R34" s="1612"/>
      <c r="S34" s="2285">
        <f>SUM(S25:S33)</f>
        <v>1171156.1781120738</v>
      </c>
      <c r="T34" s="156"/>
      <c r="U34" s="1165" t="s">
        <v>1431</v>
      </c>
      <c r="V34" s="1612"/>
      <c r="W34" s="1612"/>
      <c r="X34" s="1612"/>
      <c r="Y34" s="2285">
        <f>SUM(Y25:Y33)</f>
        <v>1496441.3706211017</v>
      </c>
      <c r="Z34" s="156"/>
      <c r="LU34" s="985"/>
      <c r="LV34" s="985"/>
      <c r="LW34" s="985"/>
      <c r="LX34" s="985"/>
    </row>
    <row r="35" spans="1:336" s="984" customFormat="1">
      <c r="A35" s="156"/>
      <c r="B35" s="156"/>
      <c r="C35" s="156"/>
      <c r="D35" s="156"/>
      <c r="E35" s="156"/>
      <c r="F35" s="156"/>
      <c r="G35" s="156"/>
      <c r="H35" s="156"/>
      <c r="I35" s="109" t="s">
        <v>1432</v>
      </c>
      <c r="J35" s="156"/>
      <c r="K35" s="156"/>
      <c r="L35" s="2286">
        <f>'Fall CAF 2023'!CR28</f>
        <v>2.5758086673353865E-2</v>
      </c>
      <c r="M35" s="2281">
        <f>M34*L35</f>
        <v>23212.519751644228</v>
      </c>
      <c r="N35" s="1006"/>
      <c r="O35" s="109" t="s">
        <v>1432</v>
      </c>
      <c r="P35" s="156"/>
      <c r="Q35" s="156"/>
      <c r="R35" s="2286">
        <f>L35</f>
        <v>2.5758086673353865E-2</v>
      </c>
      <c r="S35" s="2281">
        <f>S34*R35</f>
        <v>30166.742343844653</v>
      </c>
      <c r="T35" s="156"/>
      <c r="U35" s="109" t="s">
        <v>1432</v>
      </c>
      <c r="V35" s="156"/>
      <c r="W35" s="156"/>
      <c r="X35" s="2286">
        <f>R35</f>
        <v>2.5758086673353865E-2</v>
      </c>
      <c r="Y35" s="2281">
        <f>Y34*X35</f>
        <v>38545.46652605079</v>
      </c>
      <c r="Z35" s="156"/>
      <c r="LU35" s="985"/>
      <c r="LV35" s="985"/>
      <c r="LW35" s="985"/>
      <c r="LX35" s="985"/>
    </row>
    <row r="36" spans="1:336" s="984" customFormat="1" ht="13.5" thickBot="1">
      <c r="A36" s="156"/>
      <c r="B36" s="156"/>
      <c r="C36" s="156"/>
      <c r="D36" s="156"/>
      <c r="E36" s="156"/>
      <c r="F36" s="156"/>
      <c r="G36" s="156"/>
      <c r="H36" s="156"/>
      <c r="I36" s="1349" t="s">
        <v>24</v>
      </c>
      <c r="J36" s="1043"/>
      <c r="K36" s="2287"/>
      <c r="L36" s="2288">
        <f>'[23]M2021 BLS  SALARY CHART'!C39</f>
        <v>0.12</v>
      </c>
      <c r="M36" s="2262">
        <f>M34*L36</f>
        <v>108140.88816149702</v>
      </c>
      <c r="N36" s="1006"/>
      <c r="O36" s="1349" t="s">
        <v>24</v>
      </c>
      <c r="P36" s="1043"/>
      <c r="Q36" s="2287"/>
      <c r="R36" s="2288">
        <f>L36</f>
        <v>0.12</v>
      </c>
      <c r="S36" s="2262">
        <f>S34*R36</f>
        <v>140538.74137344887</v>
      </c>
      <c r="T36" s="156"/>
      <c r="U36" s="1349" t="s">
        <v>24</v>
      </c>
      <c r="V36" s="1043"/>
      <c r="W36" s="2287"/>
      <c r="X36" s="2288">
        <f>R36</f>
        <v>0.12</v>
      </c>
      <c r="Y36" s="2262">
        <f>Y34*X36</f>
        <v>179572.9644745322</v>
      </c>
      <c r="Z36" s="156"/>
      <c r="LU36" s="985"/>
      <c r="LV36" s="985"/>
      <c r="LW36" s="985"/>
      <c r="LX36" s="985"/>
    </row>
    <row r="37" spans="1:336" s="984" customFormat="1" ht="14.25" thickTop="1" thickBot="1">
      <c r="A37" s="156"/>
      <c r="B37" s="156"/>
      <c r="C37" s="156"/>
      <c r="D37" s="156"/>
      <c r="E37" s="156"/>
      <c r="F37" s="156"/>
      <c r="G37" s="156"/>
      <c r="H37" s="156"/>
      <c r="I37" s="1042" t="s">
        <v>25</v>
      </c>
      <c r="J37" s="1043"/>
      <c r="K37" s="1043"/>
      <c r="L37" s="1043"/>
      <c r="M37" s="2085">
        <f>M36+M35+M34</f>
        <v>1032527.4759256165</v>
      </c>
      <c r="N37" s="1006"/>
      <c r="O37" s="1042" t="s">
        <v>25</v>
      </c>
      <c r="P37" s="1043"/>
      <c r="Q37" s="1043"/>
      <c r="R37" s="1043"/>
      <c r="S37" s="2085">
        <f>S36+S35+S34</f>
        <v>1341861.6618293673</v>
      </c>
      <c r="T37" s="156"/>
      <c r="U37" s="1042" t="s">
        <v>25</v>
      </c>
      <c r="V37" s="1043"/>
      <c r="W37" s="1043"/>
      <c r="X37" s="1043"/>
      <c r="Y37" s="2085">
        <f>Y36+Y35+Y34</f>
        <v>1714559.8016216848</v>
      </c>
      <c r="Z37" s="156"/>
      <c r="LU37" s="985"/>
      <c r="LV37" s="985"/>
      <c r="LW37" s="985"/>
      <c r="LX37" s="985"/>
    </row>
    <row r="38" spans="1:336" s="984" customFormat="1" ht="14.25" thickTop="1" thickBot="1">
      <c r="A38" s="156"/>
      <c r="B38" s="156"/>
      <c r="C38" s="156"/>
      <c r="D38" s="156"/>
      <c r="E38" s="156"/>
      <c r="F38" s="156"/>
      <c r="G38" s="156"/>
      <c r="H38" s="156"/>
      <c r="I38" s="2289" t="s">
        <v>1433</v>
      </c>
      <c r="J38" s="1052"/>
      <c r="K38" s="1053"/>
      <c r="L38" s="1054"/>
      <c r="M38" s="1760">
        <f>M37/M13</f>
        <v>565.76847995924186</v>
      </c>
      <c r="N38" s="156"/>
      <c r="O38" s="2289" t="s">
        <v>1433</v>
      </c>
      <c r="P38" s="1052"/>
      <c r="Q38" s="1053"/>
      <c r="R38" s="1054"/>
      <c r="S38" s="1760">
        <f>S37/S13</f>
        <v>459.54166501005727</v>
      </c>
      <c r="T38" s="156"/>
      <c r="U38" s="2289" t="s">
        <v>1433</v>
      </c>
      <c r="V38" s="1052"/>
      <c r="W38" s="1053"/>
      <c r="X38" s="1054"/>
      <c r="Y38" s="1760">
        <f>Y37/Y13</f>
        <v>427.03855582109213</v>
      </c>
      <c r="Z38" s="156"/>
      <c r="LU38" s="985"/>
      <c r="LV38" s="985"/>
      <c r="LW38" s="985"/>
      <c r="LX38" s="985"/>
    </row>
    <row r="39" spans="1:336" s="984" customFormat="1">
      <c r="A39" s="156"/>
      <c r="B39" s="156"/>
      <c r="C39" s="156"/>
      <c r="D39" s="156"/>
      <c r="E39" s="156"/>
      <c r="F39" s="156"/>
      <c r="G39" s="156"/>
      <c r="H39" s="156"/>
      <c r="I39" s="363"/>
      <c r="J39" s="75"/>
      <c r="K39" s="156"/>
      <c r="L39" s="2290"/>
      <c r="M39" s="2291">
        <v>529.80999999999995</v>
      </c>
      <c r="N39" s="156"/>
      <c r="O39" s="363"/>
      <c r="P39" s="75"/>
      <c r="Q39" s="156"/>
      <c r="R39" s="2290"/>
      <c r="S39" s="2291">
        <v>427.2</v>
      </c>
      <c r="T39" s="156"/>
      <c r="U39" s="363"/>
      <c r="V39" s="75"/>
      <c r="W39" s="156"/>
      <c r="X39" s="2290"/>
      <c r="Y39" s="2291">
        <v>403.27</v>
      </c>
      <c r="Z39" s="156"/>
      <c r="LU39" s="985"/>
      <c r="LV39" s="985"/>
      <c r="LW39" s="985"/>
      <c r="LX39" s="985"/>
    </row>
    <row r="40" spans="1:336" s="984" customFormat="1">
      <c r="A40" s="156"/>
      <c r="B40" s="156"/>
      <c r="C40" s="156"/>
      <c r="D40" s="156"/>
      <c r="E40" s="156"/>
      <c r="F40" s="156"/>
      <c r="G40" s="156"/>
      <c r="H40" s="156"/>
      <c r="I40" s="156"/>
      <c r="J40" s="156"/>
      <c r="K40" s="156"/>
      <c r="L40" s="156"/>
      <c r="M40" s="1084">
        <f>(M38-M39)/M39</f>
        <v>6.7870519543311594E-2</v>
      </c>
      <c r="N40" s="1084"/>
      <c r="O40" s="1084"/>
      <c r="P40" s="1084"/>
      <c r="Q40" s="1084"/>
      <c r="R40" s="1084"/>
      <c r="S40" s="1084">
        <f>(S38-S39)/S39</f>
        <v>7.5706144686463681E-2</v>
      </c>
      <c r="T40" s="1084"/>
      <c r="U40" s="1084"/>
      <c r="V40" s="1084"/>
      <c r="W40" s="1084"/>
      <c r="X40" s="1084"/>
      <c r="Y40" s="1084">
        <f>(Y38-Y39)/Y39</f>
        <v>5.8939558660679327E-2</v>
      </c>
      <c r="Z40" s="156"/>
      <c r="LU40" s="985"/>
      <c r="LV40" s="985"/>
      <c r="LW40" s="985"/>
      <c r="LX40" s="985"/>
    </row>
    <row r="41" spans="1:336" s="984" customFormat="1">
      <c r="A41" s="156"/>
      <c r="B41" s="156"/>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LU41" s="985"/>
      <c r="LV41" s="985"/>
      <c r="LW41" s="985"/>
      <c r="LX41" s="985"/>
    </row>
    <row r="42" spans="1:336" s="984" customFormat="1">
      <c r="A42" s="156"/>
      <c r="B42" s="156"/>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row>
    <row r="43" spans="1:336" s="984" customFormat="1">
      <c r="A43" s="156"/>
      <c r="B43" s="2324" t="s">
        <v>1442</v>
      </c>
      <c r="C43" s="2324"/>
      <c r="D43" s="2324"/>
      <c r="E43" s="2324"/>
      <c r="F43" s="2324"/>
      <c r="G43" s="2324"/>
      <c r="H43" s="2324"/>
      <c r="I43" s="2324"/>
      <c r="J43" s="2324"/>
      <c r="K43" s="2324"/>
      <c r="L43" s="2324"/>
      <c r="M43" s="2325">
        <v>437.99</v>
      </c>
      <c r="N43" s="2325"/>
      <c r="O43" s="2325"/>
      <c r="P43" s="2325"/>
      <c r="Q43" s="2325"/>
      <c r="R43" s="2325"/>
      <c r="S43" s="2325">
        <v>365</v>
      </c>
      <c r="T43" s="2325"/>
      <c r="U43" s="2325"/>
      <c r="V43" s="2325"/>
      <c r="W43" s="2325"/>
      <c r="X43" s="2325"/>
      <c r="Y43" s="2325">
        <v>328.56</v>
      </c>
      <c r="Z43" s="156"/>
    </row>
    <row r="44" spans="1:336" s="984" customFormat="1">
      <c r="A44" s="156"/>
      <c r="B44" s="2324"/>
      <c r="C44" s="2324"/>
      <c r="D44" s="2324"/>
      <c r="E44" s="2324"/>
      <c r="F44" s="2324"/>
      <c r="G44" s="2324"/>
      <c r="H44" s="2324"/>
      <c r="I44" s="2324"/>
      <c r="J44" s="2324"/>
      <c r="K44" s="2324"/>
      <c r="L44" s="2324"/>
      <c r="M44" s="2324"/>
      <c r="N44" s="2324"/>
      <c r="O44" s="2324"/>
      <c r="P44" s="2324"/>
      <c r="Q44" s="2324"/>
      <c r="R44" s="2324"/>
      <c r="S44" s="2324"/>
      <c r="T44" s="2324"/>
      <c r="U44" s="2324"/>
      <c r="V44" s="2324"/>
      <c r="W44" s="2324"/>
      <c r="X44" s="2324"/>
      <c r="Y44" s="2324"/>
      <c r="Z44" s="156"/>
    </row>
    <row r="45" spans="1:336" s="984" customFormat="1">
      <c r="A45" s="156"/>
      <c r="B45" s="2324"/>
      <c r="C45" s="2324"/>
      <c r="D45" s="2324"/>
      <c r="E45" s="2324"/>
      <c r="F45" s="2324"/>
      <c r="G45" s="2324"/>
      <c r="H45" s="2324"/>
      <c r="I45" s="2324"/>
      <c r="J45" s="2324"/>
      <c r="K45" s="2324"/>
      <c r="L45" s="2324" t="s">
        <v>987</v>
      </c>
      <c r="M45" s="2325">
        <f>M38-M43</f>
        <v>127.77847995924185</v>
      </c>
      <c r="N45" s="2324"/>
      <c r="O45" s="2324"/>
      <c r="P45" s="2324"/>
      <c r="Q45" s="2324"/>
      <c r="R45" s="2324" t="s">
        <v>987</v>
      </c>
      <c r="S45" s="2325">
        <f>S38-S43</f>
        <v>94.541665010057272</v>
      </c>
      <c r="T45" s="2324"/>
      <c r="U45" s="2324"/>
      <c r="V45" s="2324"/>
      <c r="W45" s="2324"/>
      <c r="X45" s="2324" t="s">
        <v>987</v>
      </c>
      <c r="Y45" s="2325">
        <f>Y38-Y43</f>
        <v>98.478555821092129</v>
      </c>
      <c r="Z45" s="156"/>
    </row>
    <row r="46" spans="1:336" s="984" customFormat="1">
      <c r="A46" s="156"/>
      <c r="B46" s="2324"/>
      <c r="C46" s="2324"/>
      <c r="D46" s="2324"/>
      <c r="E46" s="2324"/>
      <c r="F46" s="2324"/>
      <c r="G46" s="2324"/>
      <c r="H46" s="2324"/>
      <c r="I46" s="2324"/>
      <c r="J46" s="2324"/>
      <c r="K46" s="2324"/>
      <c r="L46" s="2324"/>
      <c r="M46" s="2324"/>
      <c r="N46" s="2324"/>
      <c r="O46" s="2324"/>
      <c r="P46" s="2324"/>
      <c r="Q46" s="2324"/>
      <c r="R46" s="2324"/>
      <c r="S46" s="2324"/>
      <c r="T46" s="2324"/>
      <c r="U46" s="2324"/>
      <c r="V46" s="2324"/>
      <c r="W46" s="2324"/>
      <c r="X46" s="2324"/>
      <c r="Y46" s="2324"/>
      <c r="Z46" s="156"/>
    </row>
    <row r="47" spans="1:336" s="984" customFormat="1">
      <c r="A47" s="156"/>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row>
    <row r="48" spans="1:336" s="984" customFormat="1">
      <c r="A48" s="156"/>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row>
    <row r="49" spans="1:26" s="984" customFormat="1">
      <c r="A49" s="156"/>
      <c r="B49" s="156"/>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row>
    <row r="50" spans="1:26" s="984" customFormat="1"/>
    <row r="51" spans="1:26" s="984" customFormat="1"/>
    <row r="52" spans="1:26" s="984" customFormat="1"/>
    <row r="53" spans="1:26" s="984" customFormat="1"/>
    <row r="54" spans="1:26" s="984" customFormat="1"/>
    <row r="55" spans="1:26" s="984" customFormat="1"/>
    <row r="56" spans="1:26" s="984" customFormat="1"/>
    <row r="57" spans="1:26" s="984" customFormat="1"/>
    <row r="58" spans="1:26" s="984" customFormat="1"/>
    <row r="59" spans="1:26" s="984" customFormat="1"/>
    <row r="60" spans="1:26" s="984" customFormat="1"/>
    <row r="61" spans="1:26" s="984" customFormat="1"/>
    <row r="62" spans="1:26" s="984" customFormat="1"/>
    <row r="63" spans="1:26" s="984" customFormat="1"/>
    <row r="64" spans="1:26" s="984" customFormat="1"/>
    <row r="65" s="984" customFormat="1"/>
    <row r="66" s="984" customFormat="1"/>
    <row r="67" s="984" customFormat="1"/>
    <row r="68" s="984" customFormat="1"/>
    <row r="69" s="984" customFormat="1"/>
    <row r="70" s="984" customFormat="1"/>
    <row r="71" s="984" customFormat="1"/>
    <row r="72" s="984" customFormat="1"/>
    <row r="73" s="984" customFormat="1"/>
    <row r="74" s="984" customFormat="1"/>
    <row r="75" s="984" customFormat="1"/>
    <row r="76" s="984" customFormat="1"/>
    <row r="77" s="984" customFormat="1"/>
    <row r="78" s="984" customFormat="1"/>
    <row r="79" s="984" customFormat="1"/>
    <row r="80" s="984" customFormat="1"/>
    <row r="81" s="984" customFormat="1"/>
    <row r="82" s="984" customFormat="1"/>
    <row r="83" s="984" customFormat="1"/>
    <row r="84" s="984" customFormat="1"/>
    <row r="85" s="984" customFormat="1"/>
    <row r="86" s="984" customFormat="1"/>
    <row r="87" s="984" customFormat="1"/>
    <row r="88" s="984" customFormat="1"/>
    <row r="89" s="984" customFormat="1"/>
    <row r="90" s="984" customFormat="1"/>
    <row r="91" s="984" customFormat="1"/>
    <row r="92" s="984" customFormat="1"/>
    <row r="93" s="984" customFormat="1"/>
    <row r="94" s="984" customFormat="1"/>
    <row r="95" s="984" customFormat="1"/>
    <row r="96" s="984" customFormat="1"/>
    <row r="97" s="984" customFormat="1"/>
    <row r="98" s="984" customFormat="1"/>
    <row r="99" s="984" customFormat="1"/>
    <row r="100" s="984" customFormat="1"/>
    <row r="101" s="984" customFormat="1"/>
    <row r="102" s="984" customFormat="1"/>
    <row r="103" s="984" customFormat="1"/>
    <row r="104" s="984" customFormat="1"/>
    <row r="105" s="984" customFormat="1"/>
    <row r="106" s="984" customFormat="1"/>
    <row r="107" s="984" customFormat="1"/>
    <row r="108" s="984" customFormat="1"/>
    <row r="109" s="984" customFormat="1"/>
    <row r="110" s="984" customFormat="1"/>
    <row r="111" s="984" customFormat="1"/>
    <row r="112" s="984" customFormat="1"/>
    <row r="113" s="984" customFormat="1"/>
    <row r="114" s="984" customFormat="1"/>
    <row r="115" s="984" customFormat="1"/>
    <row r="116" s="984" customFormat="1"/>
    <row r="117" s="984" customFormat="1"/>
    <row r="118" s="984" customFormat="1"/>
    <row r="119" s="984" customFormat="1"/>
    <row r="120" s="984" customFormat="1"/>
    <row r="121" s="984" customFormat="1"/>
    <row r="122" s="984" customFormat="1"/>
    <row r="123" s="984" customFormat="1"/>
    <row r="124" s="984" customFormat="1"/>
    <row r="125" s="984" customFormat="1"/>
    <row r="126" s="984" customFormat="1"/>
    <row r="127" s="984" customFormat="1"/>
    <row r="128" s="984" customFormat="1"/>
    <row r="129" s="984" customFormat="1"/>
    <row r="130" s="984" customFormat="1"/>
    <row r="131" s="984" customFormat="1"/>
    <row r="132" s="984" customFormat="1"/>
    <row r="133" s="984" customFormat="1"/>
    <row r="134" s="984" customFormat="1"/>
    <row r="135" s="984" customFormat="1"/>
    <row r="136" s="984" customFormat="1"/>
    <row r="137" s="984" customFormat="1"/>
    <row r="138" s="984" customFormat="1"/>
    <row r="139" s="984" customFormat="1"/>
    <row r="140" s="984" customFormat="1"/>
    <row r="141" s="984" customFormat="1"/>
    <row r="142" s="984" customFormat="1"/>
    <row r="143" s="984" customFormat="1"/>
    <row r="144" s="984" customFormat="1"/>
    <row r="145" s="984" customFormat="1"/>
    <row r="146" s="984" customFormat="1"/>
    <row r="147" s="984" customFormat="1"/>
    <row r="148" s="984" customFormat="1"/>
    <row r="149" s="984" customFormat="1"/>
    <row r="150" s="984" customFormat="1"/>
    <row r="151" s="984" customFormat="1"/>
    <row r="152" s="984" customFormat="1"/>
    <row r="153" s="984" customFormat="1"/>
    <row r="154" s="984" customFormat="1"/>
    <row r="155" s="984" customFormat="1"/>
    <row r="156" s="984" customFormat="1"/>
    <row r="157" s="984" customFormat="1"/>
    <row r="158" s="984" customFormat="1"/>
    <row r="159" s="984" customFormat="1"/>
    <row r="160" s="984" customFormat="1"/>
    <row r="161" s="984" customFormat="1"/>
    <row r="162" s="984" customFormat="1"/>
    <row r="163" s="984" customFormat="1"/>
    <row r="164" s="984" customFormat="1"/>
    <row r="165" s="984" customFormat="1"/>
    <row r="166" s="984" customFormat="1"/>
    <row r="167" s="984" customFormat="1"/>
    <row r="168" s="984" customFormat="1"/>
    <row r="169" s="984" customFormat="1"/>
    <row r="170" s="984" customFormat="1"/>
    <row r="171" s="984" customFormat="1"/>
    <row r="172" s="984" customFormat="1"/>
    <row r="173" s="984" customFormat="1"/>
    <row r="174" s="984" customFormat="1"/>
    <row r="175" s="984" customFormat="1"/>
    <row r="176" s="984" customFormat="1"/>
    <row r="177" s="984" customFormat="1"/>
    <row r="178" s="984" customFormat="1"/>
    <row r="179" s="984" customFormat="1"/>
    <row r="180" s="984" customFormat="1"/>
    <row r="181" s="984" customFormat="1"/>
    <row r="182" s="984" customFormat="1"/>
    <row r="183" s="984" customFormat="1"/>
    <row r="184" s="984" customFormat="1"/>
    <row r="185" s="984" customFormat="1"/>
    <row r="186" s="984" customFormat="1"/>
    <row r="187" s="984" customFormat="1"/>
    <row r="188" s="984" customFormat="1"/>
    <row r="189" s="984" customFormat="1"/>
    <row r="190" s="984" customFormat="1"/>
    <row r="191" s="984" customFormat="1"/>
    <row r="192" s="984" customFormat="1"/>
    <row r="193" s="984" customFormat="1"/>
    <row r="194" s="984" customFormat="1"/>
    <row r="195" s="984" customFormat="1"/>
    <row r="196" s="984" customFormat="1"/>
    <row r="197" s="984" customFormat="1"/>
    <row r="198" s="984" customFormat="1"/>
    <row r="199" s="984" customFormat="1"/>
    <row r="200" s="984" customFormat="1"/>
    <row r="201" s="984" customFormat="1"/>
    <row r="202" s="984" customFormat="1"/>
    <row r="203" s="984" customFormat="1"/>
    <row r="204" s="984" customFormat="1"/>
    <row r="205" s="984" customFormat="1"/>
    <row r="206" s="984" customFormat="1"/>
    <row r="207" s="984" customFormat="1"/>
    <row r="208" s="984" customFormat="1"/>
    <row r="209" s="984" customFormat="1"/>
    <row r="210" s="984" customFormat="1"/>
    <row r="211" s="984" customFormat="1"/>
    <row r="212" s="984" customFormat="1"/>
    <row r="213" s="984" customFormat="1"/>
    <row r="214" s="984" customFormat="1"/>
    <row r="215" s="984" customFormat="1"/>
    <row r="216" s="984" customFormat="1"/>
    <row r="217" s="984" customFormat="1"/>
    <row r="218" s="984" customFormat="1"/>
    <row r="219" s="984" customFormat="1"/>
    <row r="220" s="984" customFormat="1"/>
    <row r="221" s="984" customFormat="1"/>
    <row r="222" s="984" customFormat="1"/>
    <row r="223" s="984" customFormat="1"/>
    <row r="224" s="984" customFormat="1"/>
    <row r="225" s="984" customFormat="1"/>
    <row r="226" s="984" customFormat="1"/>
    <row r="227" s="984" customFormat="1"/>
    <row r="228" s="984" customFormat="1"/>
    <row r="229" s="984" customFormat="1"/>
    <row r="230" s="984" customFormat="1"/>
    <row r="231" s="984" customFormat="1"/>
    <row r="232" s="984" customFormat="1"/>
    <row r="233" s="984" customFormat="1"/>
    <row r="234" s="984" customFormat="1"/>
    <row r="235" s="984" customFormat="1"/>
    <row r="236" s="984" customFormat="1"/>
    <row r="237" s="984" customFormat="1"/>
    <row r="238" s="984" customFormat="1"/>
    <row r="239" s="984" customFormat="1"/>
    <row r="240" s="984" customFormat="1"/>
    <row r="241" s="984" customFormat="1"/>
    <row r="242" s="984" customFormat="1"/>
    <row r="243" s="984" customFormat="1"/>
    <row r="244" s="984" customFormat="1"/>
    <row r="245" s="984" customFormat="1"/>
    <row r="246" s="984" customFormat="1"/>
    <row r="247" s="984" customFormat="1"/>
    <row r="248" s="984" customFormat="1"/>
    <row r="249" s="984" customFormat="1"/>
    <row r="250" s="984" customFormat="1"/>
    <row r="251" s="984" customFormat="1"/>
    <row r="252" s="984" customFormat="1"/>
    <row r="253" s="984" customFormat="1"/>
    <row r="254" s="984" customFormat="1"/>
    <row r="255" s="984" customFormat="1"/>
    <row r="256" s="984" customFormat="1"/>
    <row r="257" s="984" customFormat="1"/>
    <row r="258" s="984" customFormat="1"/>
    <row r="259" s="984" customFormat="1"/>
    <row r="260" s="984" customFormat="1"/>
    <row r="261" s="984" customFormat="1"/>
    <row r="262" s="984" customFormat="1"/>
    <row r="263" s="984" customFormat="1"/>
    <row r="264" s="984" customFormat="1"/>
    <row r="265" s="984" customFormat="1"/>
    <row r="266" s="984" customFormat="1"/>
    <row r="267" s="984" customFormat="1"/>
    <row r="268" s="984" customFormat="1"/>
    <row r="269" s="984" customFormat="1"/>
    <row r="270" s="984" customFormat="1"/>
    <row r="271" s="984" customFormat="1"/>
    <row r="272" s="984" customFormat="1"/>
    <row r="273" spans="8:8" s="984" customFormat="1"/>
    <row r="274" spans="8:8" s="984" customFormat="1"/>
    <row r="275" spans="8:8" s="984" customFormat="1"/>
    <row r="276" spans="8:8" s="984" customFormat="1"/>
    <row r="277" spans="8:8" s="984" customFormat="1"/>
    <row r="278" spans="8:8" s="984" customFormat="1"/>
    <row r="279" spans="8:8" s="984" customFormat="1"/>
    <row r="280" spans="8:8" s="984" customFormat="1"/>
    <row r="281" spans="8:8" s="984" customFormat="1"/>
    <row r="282" spans="8:8" s="984" customFormat="1"/>
    <row r="283" spans="8:8" s="984" customFormat="1"/>
    <row r="284" spans="8:8" s="984" customFormat="1">
      <c r="H284" s="985"/>
    </row>
    <row r="285" spans="8:8" s="984" customFormat="1">
      <c r="H285" s="985"/>
    </row>
    <row r="286" spans="8:8" s="984" customFormat="1">
      <c r="H286" s="985"/>
    </row>
    <row r="287" spans="8:8" s="984" customFormat="1">
      <c r="H287" s="985"/>
    </row>
    <row r="288" spans="8:8" s="984" customFormat="1">
      <c r="H288" s="985"/>
    </row>
    <row r="289" spans="2:26" s="984" customFormat="1">
      <c r="H289" s="985"/>
    </row>
    <row r="290" spans="2:26" s="984" customFormat="1">
      <c r="H290" s="985"/>
    </row>
    <row r="291" spans="2:26" s="984" customFormat="1">
      <c r="H291" s="985"/>
    </row>
    <row r="292" spans="2:26" s="984" customFormat="1">
      <c r="H292" s="985"/>
      <c r="I292" s="985"/>
      <c r="J292" s="985"/>
      <c r="K292" s="985"/>
      <c r="L292" s="985"/>
      <c r="M292" s="985"/>
      <c r="O292" s="985"/>
      <c r="P292" s="985"/>
      <c r="Q292" s="985"/>
      <c r="R292" s="985"/>
      <c r="S292" s="985"/>
      <c r="U292" s="985"/>
      <c r="V292" s="985"/>
      <c r="W292" s="985"/>
      <c r="X292" s="985"/>
      <c r="Y292" s="985"/>
      <c r="Z292" s="985"/>
    </row>
    <row r="293" spans="2:26" s="984" customFormat="1">
      <c r="H293" s="985"/>
      <c r="I293" s="985"/>
      <c r="J293" s="985"/>
      <c r="K293" s="985"/>
      <c r="L293" s="985"/>
      <c r="M293" s="985"/>
      <c r="O293" s="985"/>
      <c r="P293" s="985"/>
      <c r="Q293" s="985"/>
      <c r="R293" s="985"/>
      <c r="S293" s="985"/>
      <c r="U293" s="985"/>
      <c r="V293" s="985"/>
      <c r="W293" s="985"/>
      <c r="X293" s="985"/>
      <c r="Y293" s="985"/>
      <c r="Z293" s="985"/>
    </row>
    <row r="294" spans="2:26" s="984" customFormat="1">
      <c r="H294" s="985"/>
      <c r="I294" s="985"/>
      <c r="J294" s="985"/>
      <c r="K294" s="985"/>
      <c r="L294" s="985"/>
      <c r="M294" s="985"/>
      <c r="O294" s="985"/>
      <c r="P294" s="985"/>
      <c r="Q294" s="985"/>
      <c r="R294" s="985"/>
      <c r="S294" s="985"/>
      <c r="U294" s="985"/>
      <c r="V294" s="985"/>
      <c r="W294" s="985"/>
      <c r="X294" s="985"/>
      <c r="Y294" s="985"/>
      <c r="Z294" s="985"/>
    </row>
    <row r="295" spans="2:26" s="984" customFormat="1">
      <c r="H295" s="985"/>
      <c r="I295" s="985"/>
      <c r="J295" s="985"/>
      <c r="K295" s="985"/>
      <c r="L295" s="985"/>
      <c r="M295" s="985"/>
      <c r="O295" s="985"/>
      <c r="P295" s="985"/>
      <c r="Q295" s="985"/>
      <c r="R295" s="985"/>
      <c r="S295" s="985"/>
      <c r="T295" s="985"/>
      <c r="U295" s="985"/>
      <c r="V295" s="985"/>
      <c r="W295" s="985"/>
      <c r="X295" s="985"/>
      <c r="Y295" s="985"/>
      <c r="Z295" s="985"/>
    </row>
    <row r="296" spans="2:26" s="984" customFormat="1">
      <c r="H296" s="985"/>
      <c r="I296" s="985"/>
      <c r="J296" s="985"/>
      <c r="K296" s="985"/>
      <c r="L296" s="985"/>
      <c r="M296" s="985"/>
      <c r="O296" s="985"/>
      <c r="P296" s="985"/>
      <c r="Q296" s="985"/>
      <c r="R296" s="985"/>
      <c r="S296" s="985"/>
      <c r="T296" s="985"/>
      <c r="U296" s="985"/>
      <c r="V296" s="985"/>
      <c r="W296" s="985"/>
      <c r="X296" s="985"/>
      <c r="Y296" s="985"/>
      <c r="Z296" s="985"/>
    </row>
    <row r="297" spans="2:26" s="984" customFormat="1">
      <c r="H297" s="985"/>
      <c r="I297" s="985"/>
      <c r="J297" s="985"/>
      <c r="K297" s="985"/>
      <c r="L297" s="985"/>
      <c r="M297" s="985"/>
      <c r="O297" s="985"/>
      <c r="P297" s="985"/>
      <c r="Q297" s="985"/>
      <c r="R297" s="985"/>
      <c r="S297" s="985"/>
      <c r="T297" s="985"/>
      <c r="U297" s="985"/>
      <c r="V297" s="985"/>
      <c r="W297" s="985"/>
      <c r="X297" s="985"/>
      <c r="Y297" s="985"/>
      <c r="Z297" s="985"/>
    </row>
    <row r="298" spans="2:26" s="984" customFormat="1">
      <c r="H298" s="985"/>
      <c r="I298" s="985"/>
      <c r="J298" s="985"/>
      <c r="K298" s="985"/>
      <c r="L298" s="985"/>
      <c r="M298" s="985"/>
      <c r="O298" s="985"/>
      <c r="P298" s="985"/>
      <c r="Q298" s="985"/>
      <c r="R298" s="985"/>
      <c r="S298" s="985"/>
      <c r="T298" s="985"/>
      <c r="U298" s="985"/>
      <c r="V298" s="985"/>
      <c r="W298" s="985"/>
      <c r="X298" s="985"/>
      <c r="Y298" s="985"/>
      <c r="Z298" s="985"/>
    </row>
    <row r="299" spans="2:26" s="984" customFormat="1">
      <c r="H299" s="985"/>
      <c r="I299" s="985"/>
      <c r="J299" s="985"/>
      <c r="K299" s="985"/>
      <c r="L299" s="985"/>
      <c r="M299" s="985"/>
      <c r="O299" s="985"/>
      <c r="P299" s="985"/>
      <c r="Q299" s="985"/>
      <c r="R299" s="985"/>
      <c r="S299" s="985"/>
      <c r="T299" s="985"/>
      <c r="U299" s="985"/>
      <c r="V299" s="985"/>
      <c r="W299" s="985"/>
      <c r="X299" s="985"/>
      <c r="Y299" s="985"/>
      <c r="Z299" s="985"/>
    </row>
    <row r="300" spans="2:26" s="984" customFormat="1">
      <c r="F300" s="985"/>
      <c r="H300" s="985"/>
      <c r="I300" s="985"/>
      <c r="J300" s="985"/>
      <c r="K300" s="985"/>
      <c r="L300" s="985"/>
      <c r="M300" s="985"/>
      <c r="N300" s="985"/>
      <c r="O300" s="985"/>
      <c r="P300" s="985"/>
      <c r="Q300" s="985"/>
      <c r="R300" s="985"/>
      <c r="S300" s="985"/>
      <c r="T300" s="985"/>
      <c r="U300" s="985"/>
      <c r="V300" s="985"/>
      <c r="W300" s="985"/>
      <c r="X300" s="985"/>
      <c r="Y300" s="985"/>
      <c r="Z300" s="985"/>
    </row>
    <row r="301" spans="2:26" s="984" customFormat="1">
      <c r="B301" s="985"/>
      <c r="C301" s="985"/>
      <c r="D301" s="985"/>
      <c r="E301" s="985"/>
      <c r="F301" s="985"/>
      <c r="G301" s="985"/>
      <c r="H301" s="985"/>
      <c r="I301" s="985"/>
      <c r="J301" s="985"/>
      <c r="K301" s="985"/>
      <c r="L301" s="985"/>
      <c r="M301" s="985"/>
      <c r="N301" s="985"/>
      <c r="O301" s="985"/>
      <c r="P301" s="985"/>
      <c r="Q301" s="985"/>
      <c r="R301" s="985"/>
      <c r="S301" s="985"/>
      <c r="T301" s="985"/>
      <c r="U301" s="985"/>
      <c r="V301" s="985"/>
      <c r="W301" s="985"/>
      <c r="X301" s="985"/>
      <c r="Y301" s="985"/>
      <c r="Z301" s="985"/>
    </row>
    <row r="302" spans="2:26" s="984" customFormat="1">
      <c r="B302" s="985"/>
      <c r="C302" s="985"/>
      <c r="D302" s="985"/>
      <c r="E302" s="985"/>
      <c r="F302" s="985"/>
      <c r="G302" s="985"/>
      <c r="H302" s="985"/>
      <c r="I302" s="985"/>
      <c r="J302" s="985"/>
      <c r="K302" s="985"/>
      <c r="L302" s="985"/>
      <c r="M302" s="985"/>
      <c r="N302" s="985"/>
      <c r="O302" s="985"/>
      <c r="P302" s="985"/>
      <c r="Q302" s="985"/>
      <c r="R302" s="985"/>
      <c r="S302" s="985"/>
      <c r="T302" s="985"/>
      <c r="U302" s="985"/>
      <c r="V302" s="985"/>
      <c r="W302" s="985"/>
      <c r="X302" s="985"/>
      <c r="Y302" s="985"/>
      <c r="Z302" s="985"/>
    </row>
    <row r="303" spans="2:26" s="984" customFormat="1">
      <c r="B303" s="985"/>
      <c r="C303" s="985"/>
      <c r="D303" s="985"/>
      <c r="E303" s="985"/>
      <c r="F303" s="985"/>
      <c r="G303" s="985"/>
      <c r="H303" s="985"/>
      <c r="I303" s="985"/>
      <c r="J303" s="985"/>
      <c r="K303" s="985"/>
      <c r="L303" s="985"/>
      <c r="M303" s="985"/>
      <c r="N303" s="985"/>
      <c r="O303" s="985"/>
      <c r="P303" s="985"/>
      <c r="Q303" s="985"/>
      <c r="R303" s="985"/>
      <c r="S303" s="985"/>
      <c r="T303" s="985"/>
      <c r="U303" s="985"/>
      <c r="V303" s="985"/>
      <c r="W303" s="985"/>
      <c r="X303" s="985"/>
      <c r="Y303" s="985"/>
      <c r="Z303" s="985"/>
    </row>
    <row r="304" spans="2:26" s="984" customFormat="1">
      <c r="B304" s="985"/>
      <c r="C304" s="985"/>
      <c r="D304" s="985"/>
      <c r="E304" s="985"/>
      <c r="F304" s="985"/>
      <c r="G304" s="985"/>
      <c r="H304" s="985"/>
      <c r="I304" s="985"/>
      <c r="J304" s="985"/>
      <c r="K304" s="985"/>
      <c r="L304" s="985"/>
      <c r="M304" s="985"/>
      <c r="N304" s="985"/>
      <c r="O304" s="985"/>
      <c r="P304" s="985"/>
      <c r="Q304" s="985"/>
      <c r="R304" s="985"/>
      <c r="S304" s="985"/>
      <c r="T304" s="985"/>
      <c r="U304" s="985"/>
      <c r="V304" s="985"/>
      <c r="W304" s="985"/>
      <c r="X304" s="985"/>
      <c r="Y304" s="985"/>
      <c r="Z304" s="985"/>
    </row>
    <row r="305" spans="1:26" s="984" customFormat="1">
      <c r="B305" s="985"/>
      <c r="C305" s="985"/>
      <c r="D305" s="985"/>
      <c r="E305" s="985"/>
      <c r="F305" s="985"/>
      <c r="G305" s="985"/>
      <c r="H305" s="985"/>
      <c r="I305" s="985"/>
      <c r="J305" s="985"/>
      <c r="K305" s="985"/>
      <c r="L305" s="985"/>
      <c r="M305" s="985"/>
      <c r="N305" s="985"/>
      <c r="O305" s="985"/>
      <c r="P305" s="985"/>
      <c r="Q305" s="985"/>
      <c r="R305" s="985"/>
      <c r="S305" s="985"/>
      <c r="T305" s="985"/>
      <c r="U305" s="985"/>
      <c r="V305" s="985"/>
      <c r="W305" s="985"/>
      <c r="X305" s="985"/>
      <c r="Y305" s="985"/>
      <c r="Z305" s="985"/>
    </row>
    <row r="306" spans="1:26" s="984" customFormat="1">
      <c r="B306" s="985"/>
      <c r="C306" s="985"/>
      <c r="D306" s="985"/>
      <c r="E306" s="985"/>
      <c r="F306" s="985"/>
      <c r="G306" s="985"/>
      <c r="H306" s="985"/>
      <c r="I306" s="985"/>
      <c r="J306" s="985"/>
      <c r="K306" s="985"/>
      <c r="L306" s="985"/>
      <c r="M306" s="985"/>
      <c r="N306" s="985"/>
      <c r="O306" s="985"/>
      <c r="P306" s="985"/>
      <c r="Q306" s="985"/>
      <c r="R306" s="985"/>
      <c r="S306" s="985"/>
      <c r="T306" s="985"/>
      <c r="U306" s="985"/>
      <c r="V306" s="985"/>
      <c r="W306" s="985"/>
      <c r="X306" s="985"/>
      <c r="Y306" s="985"/>
      <c r="Z306" s="985"/>
    </row>
    <row r="307" spans="1:26" s="984" customFormat="1">
      <c r="B307" s="985"/>
      <c r="C307" s="985"/>
      <c r="D307" s="985"/>
      <c r="E307" s="985"/>
      <c r="F307" s="985"/>
      <c r="G307" s="985"/>
      <c r="H307" s="985"/>
      <c r="I307" s="985"/>
      <c r="J307" s="985"/>
      <c r="K307" s="985"/>
      <c r="L307" s="985"/>
      <c r="M307" s="985"/>
      <c r="N307" s="985"/>
      <c r="O307" s="985"/>
      <c r="P307" s="985"/>
      <c r="Q307" s="985"/>
      <c r="R307" s="985"/>
      <c r="S307" s="985"/>
      <c r="T307" s="985"/>
      <c r="U307" s="985"/>
      <c r="V307" s="985"/>
      <c r="W307" s="985"/>
      <c r="X307" s="985"/>
      <c r="Y307" s="985"/>
      <c r="Z307" s="985"/>
    </row>
    <row r="308" spans="1:26" s="984" customFormat="1">
      <c r="B308" s="985"/>
      <c r="C308" s="985"/>
      <c r="D308" s="985"/>
      <c r="E308" s="985"/>
      <c r="F308" s="985"/>
      <c r="G308" s="985"/>
      <c r="H308" s="985"/>
      <c r="I308" s="985"/>
      <c r="J308" s="985"/>
      <c r="K308" s="985"/>
      <c r="L308" s="985"/>
      <c r="M308" s="985"/>
      <c r="N308" s="985"/>
      <c r="O308" s="985"/>
      <c r="P308" s="985"/>
      <c r="Q308" s="985"/>
      <c r="R308" s="985"/>
      <c r="S308" s="985"/>
      <c r="T308" s="985"/>
      <c r="U308" s="985"/>
      <c r="V308" s="985"/>
      <c r="W308" s="985"/>
      <c r="X308" s="985"/>
      <c r="Y308" s="985"/>
      <c r="Z308" s="985"/>
    </row>
    <row r="309" spans="1:26" s="984" customFormat="1">
      <c r="B309" s="985"/>
      <c r="C309" s="985"/>
      <c r="D309" s="985"/>
      <c r="E309" s="985"/>
      <c r="F309" s="985"/>
      <c r="G309" s="985"/>
      <c r="H309" s="985"/>
      <c r="I309" s="985"/>
      <c r="J309" s="985"/>
      <c r="K309" s="985"/>
      <c r="L309" s="985"/>
      <c r="M309" s="985"/>
      <c r="N309" s="985"/>
      <c r="O309" s="985"/>
      <c r="P309" s="985"/>
      <c r="Q309" s="985"/>
      <c r="R309" s="985"/>
      <c r="S309" s="985"/>
      <c r="T309" s="985"/>
      <c r="U309" s="985"/>
      <c r="V309" s="985"/>
      <c r="W309" s="985"/>
      <c r="X309" s="985"/>
      <c r="Y309" s="985"/>
      <c r="Z309" s="985"/>
    </row>
    <row r="310" spans="1:26" s="984" customFormat="1">
      <c r="B310" s="985"/>
      <c r="C310" s="985"/>
      <c r="D310" s="985"/>
      <c r="E310" s="985"/>
      <c r="F310" s="985"/>
      <c r="G310" s="985"/>
      <c r="H310" s="985"/>
      <c r="I310" s="985"/>
      <c r="J310" s="985"/>
      <c r="K310" s="985"/>
      <c r="L310" s="985"/>
      <c r="M310" s="985"/>
      <c r="N310" s="985"/>
      <c r="O310" s="985"/>
      <c r="P310" s="985"/>
      <c r="Q310" s="985"/>
      <c r="R310" s="985"/>
      <c r="S310" s="985"/>
      <c r="T310" s="985"/>
      <c r="U310" s="985"/>
      <c r="V310" s="985"/>
      <c r="W310" s="985"/>
      <c r="X310" s="985"/>
      <c r="Y310" s="985"/>
      <c r="Z310" s="985"/>
    </row>
    <row r="311" spans="1:26" s="984" customFormat="1">
      <c r="B311" s="985"/>
      <c r="C311" s="985"/>
      <c r="D311" s="985"/>
      <c r="E311" s="985"/>
      <c r="F311" s="985"/>
      <c r="G311" s="985"/>
      <c r="H311" s="985"/>
      <c r="I311" s="985"/>
      <c r="J311" s="985"/>
      <c r="K311" s="985"/>
      <c r="L311" s="985"/>
      <c r="M311" s="985"/>
      <c r="N311" s="985"/>
      <c r="O311" s="985"/>
      <c r="P311" s="985"/>
      <c r="Q311" s="985"/>
      <c r="R311" s="985"/>
      <c r="S311" s="985"/>
      <c r="T311" s="985"/>
      <c r="U311" s="985"/>
      <c r="V311" s="985"/>
      <c r="W311" s="985"/>
      <c r="X311" s="985"/>
      <c r="Y311" s="985"/>
      <c r="Z311" s="985"/>
    </row>
    <row r="312" spans="1:26" s="984" customFormat="1">
      <c r="B312" s="985"/>
      <c r="C312" s="985"/>
      <c r="D312" s="985"/>
      <c r="E312" s="985"/>
      <c r="F312" s="985"/>
      <c r="G312" s="985"/>
      <c r="H312" s="985"/>
      <c r="I312" s="985"/>
      <c r="J312" s="985"/>
      <c r="K312" s="985"/>
      <c r="L312" s="985"/>
      <c r="M312" s="985"/>
      <c r="N312" s="985"/>
      <c r="O312" s="985"/>
      <c r="P312" s="985"/>
      <c r="Q312" s="985"/>
      <c r="R312" s="985"/>
      <c r="S312" s="985"/>
      <c r="T312" s="985"/>
      <c r="U312" s="985"/>
      <c r="V312" s="985"/>
      <c r="W312" s="985"/>
      <c r="X312" s="985"/>
      <c r="Y312" s="985"/>
      <c r="Z312" s="985"/>
    </row>
    <row r="313" spans="1:26" s="984" customFormat="1">
      <c r="B313" s="985"/>
      <c r="C313" s="985"/>
      <c r="D313" s="985"/>
      <c r="E313" s="985"/>
      <c r="F313" s="985"/>
      <c r="G313" s="985"/>
      <c r="H313" s="985"/>
      <c r="I313" s="985"/>
      <c r="J313" s="985"/>
      <c r="K313" s="985"/>
      <c r="L313" s="985"/>
      <c r="M313" s="985"/>
      <c r="N313" s="985"/>
      <c r="O313" s="985"/>
      <c r="P313" s="985"/>
      <c r="Q313" s="985"/>
      <c r="R313" s="985"/>
      <c r="S313" s="985"/>
      <c r="T313" s="985"/>
      <c r="U313" s="985"/>
      <c r="V313" s="985"/>
      <c r="W313" s="985"/>
      <c r="X313" s="985"/>
      <c r="Y313" s="985"/>
      <c r="Z313" s="985"/>
    </row>
    <row r="314" spans="1:26" s="984" customFormat="1">
      <c r="B314" s="985"/>
      <c r="C314" s="985"/>
      <c r="D314" s="985"/>
      <c r="E314" s="985"/>
      <c r="F314" s="985"/>
      <c r="G314" s="985"/>
      <c r="H314" s="985"/>
      <c r="I314" s="985"/>
      <c r="J314" s="985"/>
      <c r="K314" s="985"/>
      <c r="L314" s="985"/>
      <c r="M314" s="985"/>
      <c r="N314" s="985"/>
      <c r="O314" s="985"/>
      <c r="P314" s="985"/>
      <c r="Q314" s="985"/>
      <c r="R314" s="985"/>
      <c r="S314" s="985"/>
      <c r="T314" s="985"/>
      <c r="U314" s="985"/>
      <c r="V314" s="985"/>
      <c r="W314" s="985"/>
      <c r="X314" s="985"/>
      <c r="Y314" s="985"/>
      <c r="Z314" s="985"/>
    </row>
    <row r="315" spans="1:26" s="984" customFormat="1">
      <c r="A315" s="985"/>
      <c r="B315" s="985"/>
      <c r="C315" s="985"/>
      <c r="D315" s="985"/>
      <c r="E315" s="985"/>
      <c r="F315" s="985"/>
      <c r="G315" s="985"/>
      <c r="H315" s="985"/>
      <c r="I315" s="985"/>
      <c r="J315" s="985"/>
      <c r="K315" s="985"/>
      <c r="L315" s="985"/>
      <c r="M315" s="985"/>
      <c r="N315" s="985"/>
      <c r="O315" s="985"/>
      <c r="P315" s="985"/>
      <c r="Q315" s="985"/>
      <c r="R315" s="985"/>
      <c r="S315" s="985"/>
      <c r="T315" s="985"/>
      <c r="U315" s="985"/>
      <c r="V315" s="985"/>
      <c r="W315" s="985"/>
      <c r="X315" s="985"/>
      <c r="Y315" s="985"/>
      <c r="Z315" s="985"/>
    </row>
    <row r="316" spans="1:26" s="984" customFormat="1">
      <c r="A316" s="985"/>
      <c r="B316" s="985"/>
      <c r="C316" s="985"/>
      <c r="D316" s="985"/>
      <c r="E316" s="985"/>
      <c r="F316" s="985"/>
      <c r="G316" s="985"/>
      <c r="H316" s="985"/>
      <c r="I316" s="985"/>
      <c r="J316" s="985"/>
      <c r="K316" s="985"/>
      <c r="L316" s="985"/>
      <c r="M316" s="985"/>
      <c r="N316" s="985"/>
      <c r="O316" s="985"/>
      <c r="P316" s="985"/>
      <c r="Q316" s="985"/>
      <c r="R316" s="985"/>
      <c r="S316" s="985"/>
      <c r="T316" s="985"/>
      <c r="U316" s="985"/>
      <c r="V316" s="985"/>
      <c r="W316" s="985"/>
      <c r="X316" s="985"/>
      <c r="Y316" s="985"/>
      <c r="Z316" s="985"/>
    </row>
    <row r="317" spans="1:26" s="984" customFormat="1">
      <c r="A317" s="985"/>
      <c r="B317" s="985"/>
      <c r="C317" s="985"/>
      <c r="D317" s="985"/>
      <c r="E317" s="985"/>
      <c r="F317" s="985"/>
      <c r="G317" s="985"/>
      <c r="H317" s="985"/>
      <c r="I317" s="985"/>
      <c r="J317" s="985"/>
      <c r="K317" s="985"/>
      <c r="L317" s="985"/>
      <c r="M317" s="985"/>
      <c r="N317" s="985"/>
      <c r="O317" s="985"/>
      <c r="P317" s="985"/>
      <c r="Q317" s="985"/>
      <c r="R317" s="985"/>
      <c r="S317" s="985"/>
      <c r="T317" s="985"/>
      <c r="U317" s="985"/>
      <c r="V317" s="985"/>
      <c r="W317" s="985"/>
      <c r="X317" s="985"/>
      <c r="Y317" s="985"/>
      <c r="Z317" s="985"/>
    </row>
    <row r="318" spans="1:26" s="984" customFormat="1">
      <c r="A318" s="985"/>
      <c r="B318" s="985"/>
      <c r="C318" s="985"/>
      <c r="D318" s="985"/>
      <c r="E318" s="985"/>
      <c r="F318" s="985"/>
      <c r="G318" s="985"/>
      <c r="H318" s="985"/>
      <c r="I318" s="985"/>
      <c r="J318" s="985"/>
      <c r="K318" s="985"/>
      <c r="L318" s="985"/>
      <c r="M318" s="985"/>
      <c r="N318" s="985"/>
      <c r="O318" s="985"/>
      <c r="P318" s="985"/>
      <c r="Q318" s="985"/>
      <c r="R318" s="985"/>
      <c r="S318" s="985"/>
      <c r="T318" s="985"/>
      <c r="U318" s="985"/>
      <c r="V318" s="985"/>
      <c r="W318" s="985"/>
      <c r="X318" s="985"/>
      <c r="Y318" s="985"/>
      <c r="Z318" s="985"/>
    </row>
    <row r="319" spans="1:26" s="984" customFormat="1">
      <c r="A319" s="985"/>
      <c r="B319" s="985"/>
      <c r="C319" s="985"/>
      <c r="D319" s="985"/>
      <c r="E319" s="985"/>
      <c r="F319" s="985"/>
      <c r="G319" s="985"/>
      <c r="H319" s="985"/>
      <c r="I319" s="985"/>
      <c r="J319" s="985"/>
      <c r="K319" s="985"/>
      <c r="L319" s="985"/>
      <c r="M319" s="985"/>
      <c r="N319" s="985"/>
      <c r="O319" s="985"/>
      <c r="P319" s="985"/>
      <c r="Q319" s="985"/>
      <c r="R319" s="985"/>
      <c r="S319" s="985"/>
      <c r="T319" s="985"/>
      <c r="U319" s="985"/>
      <c r="V319" s="985"/>
      <c r="W319" s="985"/>
      <c r="X319" s="985"/>
      <c r="Y319" s="985"/>
      <c r="Z319" s="985"/>
    </row>
    <row r="320" spans="1:26" s="984" customFormat="1">
      <c r="A320" s="985"/>
      <c r="B320" s="985"/>
      <c r="C320" s="985"/>
      <c r="D320" s="985"/>
      <c r="E320" s="985"/>
      <c r="F320" s="985"/>
      <c r="G320" s="985"/>
      <c r="H320" s="985"/>
      <c r="I320" s="985"/>
      <c r="J320" s="985"/>
      <c r="K320" s="985"/>
      <c r="L320" s="985"/>
      <c r="M320" s="985"/>
      <c r="N320" s="985"/>
      <c r="O320" s="985"/>
      <c r="P320" s="985"/>
      <c r="Q320" s="985"/>
      <c r="R320" s="985"/>
      <c r="S320" s="985"/>
      <c r="T320" s="985"/>
      <c r="U320" s="985"/>
      <c r="V320" s="985"/>
      <c r="W320" s="985"/>
      <c r="X320" s="985"/>
      <c r="Y320" s="985"/>
      <c r="Z320" s="985"/>
    </row>
  </sheetData>
  <mergeCells count="5">
    <mergeCell ref="B1:G1"/>
    <mergeCell ref="I1:Y1"/>
    <mergeCell ref="I12:M12"/>
    <mergeCell ref="O12:S12"/>
    <mergeCell ref="U12:Y12"/>
  </mergeCells>
  <printOptions horizontalCentered="1"/>
  <pageMargins left="0.2" right="0.2" top="1" bottom="1" header="0.3" footer="0.3"/>
  <pageSetup scale="86" fitToHeight="0" orientation="portrait" r:id="rId1"/>
  <headerFooter>
    <oddFooter>&amp;R&amp;P of &amp;N</oddFooter>
  </headerFooter>
  <colBreaks count="1" manualBreakCount="1">
    <brk id="7" max="8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8"/>
  <sheetViews>
    <sheetView topLeftCell="A64" workbookViewId="0">
      <selection activeCell="H15" sqref="H15"/>
    </sheetView>
  </sheetViews>
  <sheetFormatPr defaultRowHeight="15"/>
  <cols>
    <col min="1" max="1" width="1.5703125" style="8" customWidth="1"/>
    <col min="2" max="2" width="30.42578125" style="8" customWidth="1"/>
    <col min="3" max="3" width="17" style="8" customWidth="1"/>
    <col min="4" max="4" width="20.42578125" style="8" customWidth="1"/>
    <col min="5" max="5" width="12.42578125" style="8" customWidth="1"/>
    <col min="6" max="6" width="11.42578125" style="8" bestFit="1" customWidth="1"/>
    <col min="7" max="7" width="8" style="8" customWidth="1"/>
    <col min="8" max="8" width="54.42578125" style="268" customWidth="1"/>
  </cols>
  <sheetData>
    <row r="1" spans="1:8" ht="15.75" thickBot="1">
      <c r="A1" s="253"/>
      <c r="B1" s="2472" t="s">
        <v>546</v>
      </c>
      <c r="C1" s="2472"/>
      <c r="D1" s="2472"/>
      <c r="E1" s="2472"/>
      <c r="F1" s="2472"/>
      <c r="G1" s="2472"/>
      <c r="H1" s="2472"/>
    </row>
    <row r="2" spans="1:8" ht="15.75" thickBot="1">
      <c r="A2" s="253"/>
      <c r="B2" s="253"/>
      <c r="C2" s="253"/>
      <c r="D2" s="253"/>
      <c r="E2" s="253"/>
      <c r="F2" s="253"/>
      <c r="G2" s="253"/>
      <c r="H2" s="98"/>
    </row>
    <row r="3" spans="1:8">
      <c r="A3" s="253"/>
      <c r="B3" s="138" t="s">
        <v>0</v>
      </c>
      <c r="C3" s="540"/>
      <c r="D3" s="139" t="s">
        <v>1</v>
      </c>
      <c r="E3" s="163" t="s">
        <v>2</v>
      </c>
      <c r="F3" s="162"/>
      <c r="G3" s="162"/>
      <c r="H3" s="160"/>
    </row>
    <row r="4" spans="1:8">
      <c r="A4" s="253"/>
      <c r="B4" s="140" t="s">
        <v>370</v>
      </c>
      <c r="C4" s="541"/>
      <c r="D4" s="141">
        <v>10</v>
      </c>
      <c r="E4" s="164">
        <f>D4*8</f>
        <v>80</v>
      </c>
      <c r="F4" s="162"/>
      <c r="G4" s="162"/>
      <c r="H4" s="161"/>
    </row>
    <row r="5" spans="1:8">
      <c r="A5" s="253"/>
      <c r="B5" s="140" t="s">
        <v>371</v>
      </c>
      <c r="C5" s="541"/>
      <c r="D5" s="141">
        <v>10</v>
      </c>
      <c r="E5" s="164">
        <f>D5*8</f>
        <v>80</v>
      </c>
      <c r="F5" s="162"/>
      <c r="G5" s="162"/>
      <c r="H5" s="161"/>
    </row>
    <row r="6" spans="1:8">
      <c r="A6" s="253"/>
      <c r="B6" s="140" t="s">
        <v>372</v>
      </c>
      <c r="C6" s="541"/>
      <c r="D6" s="141">
        <v>10</v>
      </c>
      <c r="E6" s="164">
        <f>D6*8</f>
        <v>80</v>
      </c>
      <c r="F6" s="162"/>
      <c r="G6" s="162"/>
      <c r="H6" s="161"/>
    </row>
    <row r="7" spans="1:8">
      <c r="A7" s="253"/>
      <c r="B7" s="142" t="s">
        <v>14</v>
      </c>
      <c r="C7" s="542"/>
      <c r="D7" s="853">
        <v>10</v>
      </c>
      <c r="E7" s="165">
        <f>D7*8</f>
        <v>80</v>
      </c>
      <c r="F7" s="162"/>
      <c r="G7" s="162"/>
      <c r="H7" s="161"/>
    </row>
    <row r="8" spans="1:8">
      <c r="A8" s="253"/>
      <c r="B8" s="140"/>
      <c r="C8" s="143" t="s">
        <v>3</v>
      </c>
      <c r="D8" s="854">
        <f>SUM(D4:D7)</f>
        <v>40</v>
      </c>
      <c r="E8" s="164">
        <f>SUM(E4:E7)</f>
        <v>320</v>
      </c>
      <c r="F8" s="162"/>
      <c r="G8" s="162"/>
      <c r="H8" s="161"/>
    </row>
    <row r="9" spans="1:8" ht="15.75" thickBot="1">
      <c r="A9" s="253"/>
      <c r="B9" s="144"/>
      <c r="C9" s="145" t="s">
        <v>4</v>
      </c>
      <c r="D9" s="543"/>
      <c r="E9" s="855">
        <f>E8/(52*40)</f>
        <v>0.15384615384615385</v>
      </c>
      <c r="F9" s="162"/>
      <c r="G9" s="162"/>
      <c r="H9" s="162"/>
    </row>
    <row r="10" spans="1:8" ht="15.75" thickBot="1">
      <c r="A10" s="253"/>
      <c r="B10" s="253"/>
      <c r="C10" s="253"/>
      <c r="D10" s="253"/>
      <c r="E10" s="253"/>
      <c r="F10" s="253"/>
      <c r="G10" s="253"/>
      <c r="H10" s="98"/>
    </row>
    <row r="11" spans="1:8" ht="38.25">
      <c r="A11" s="253"/>
      <c r="B11" s="152"/>
      <c r="C11" s="154" t="s">
        <v>550</v>
      </c>
      <c r="D11" s="154" t="s">
        <v>555</v>
      </c>
      <c r="E11" s="154" t="s">
        <v>41</v>
      </c>
      <c r="F11" s="856"/>
      <c r="G11" s="154"/>
      <c r="H11" s="318" t="s">
        <v>278</v>
      </c>
    </row>
    <row r="12" spans="1:8">
      <c r="A12" s="253"/>
      <c r="B12" s="44" t="s">
        <v>29</v>
      </c>
      <c r="C12" s="45"/>
      <c r="E12" s="46"/>
      <c r="F12" s="46"/>
      <c r="G12" s="46"/>
      <c r="H12" s="47"/>
    </row>
    <row r="13" spans="1:8">
      <c r="A13" s="253"/>
      <c r="B13" s="48" t="s">
        <v>43</v>
      </c>
      <c r="C13" s="155">
        <v>1</v>
      </c>
      <c r="D13" s="155">
        <v>1</v>
      </c>
      <c r="E13" s="46">
        <f>'FY15 Salary Benchmark'!C3</f>
        <v>53276.030634405448</v>
      </c>
      <c r="F13" s="601">
        <v>58110</v>
      </c>
      <c r="G13" s="46"/>
      <c r="H13" s="49" t="s">
        <v>603</v>
      </c>
    </row>
    <row r="14" spans="1:8">
      <c r="A14" s="253"/>
      <c r="B14" s="48" t="s">
        <v>134</v>
      </c>
      <c r="C14" s="155">
        <v>1</v>
      </c>
      <c r="D14" s="155">
        <v>1</v>
      </c>
      <c r="E14" s="46">
        <f>'FY15 Salary Benchmark'!C5</f>
        <v>46843.437567579254</v>
      </c>
      <c r="F14" s="601">
        <v>50000</v>
      </c>
      <c r="G14" s="46"/>
      <c r="H14" s="49" t="s">
        <v>603</v>
      </c>
    </row>
    <row r="15" spans="1:8">
      <c r="A15" s="253"/>
      <c r="B15" s="48" t="s">
        <v>390</v>
      </c>
      <c r="C15" s="155">
        <v>0.1</v>
      </c>
      <c r="D15" s="155">
        <v>0.1</v>
      </c>
      <c r="E15" s="46">
        <f>'FY15 Salary Benchmark'!C4</f>
        <v>75010.821691296602</v>
      </c>
      <c r="F15" s="601">
        <v>85899</v>
      </c>
      <c r="G15" s="46"/>
      <c r="H15" s="49" t="s">
        <v>741</v>
      </c>
    </row>
    <row r="16" spans="1:8">
      <c r="A16" s="253"/>
      <c r="B16" s="44" t="s">
        <v>30</v>
      </c>
      <c r="C16" s="155"/>
      <c r="D16" s="155"/>
      <c r="E16" s="46"/>
      <c r="F16" s="46"/>
      <c r="G16" s="46"/>
      <c r="H16" s="49"/>
    </row>
    <row r="17" spans="1:8">
      <c r="A17" s="253"/>
      <c r="B17" s="48" t="s">
        <v>38</v>
      </c>
      <c r="C17" s="155">
        <v>0.05</v>
      </c>
      <c r="D17" s="155">
        <v>0.05</v>
      </c>
      <c r="E17" s="46">
        <f>'FY15 Salary Benchmark'!C7</f>
        <v>193464.06752540206</v>
      </c>
      <c r="F17" s="46"/>
      <c r="G17" s="46"/>
      <c r="H17" s="49" t="s">
        <v>447</v>
      </c>
    </row>
    <row r="18" spans="1:8" ht="26.25">
      <c r="A18" s="253"/>
      <c r="B18" s="374" t="s">
        <v>44</v>
      </c>
      <c r="C18" s="354">
        <v>3.5999999999999996</v>
      </c>
      <c r="D18" s="354">
        <v>3.5999999999999996</v>
      </c>
      <c r="E18" s="375">
        <f>AVERAGE('FY15 Salary Benchmark'!C13:C17,'FY15 Salary Benchmark'!C9)</f>
        <v>56278.663382071441</v>
      </c>
      <c r="F18" s="46"/>
      <c r="G18" s="46"/>
      <c r="H18" s="49" t="s">
        <v>448</v>
      </c>
    </row>
    <row r="19" spans="1:8">
      <c r="A19" s="253"/>
      <c r="B19" s="48" t="s">
        <v>45</v>
      </c>
      <c r="C19" s="155">
        <v>1</v>
      </c>
      <c r="D19" s="155">
        <v>1</v>
      </c>
      <c r="E19" s="46">
        <f>'FY15 Salary Benchmark'!C9</f>
        <v>62536.406798164797</v>
      </c>
      <c r="F19" s="46"/>
      <c r="G19" s="46"/>
      <c r="H19" s="49" t="s">
        <v>449</v>
      </c>
    </row>
    <row r="20" spans="1:8">
      <c r="A20" s="253"/>
      <c r="B20" s="48" t="s">
        <v>39</v>
      </c>
      <c r="C20" s="155">
        <v>1</v>
      </c>
      <c r="D20" s="155">
        <v>1</v>
      </c>
      <c r="E20" s="46">
        <f>'FY15 Salary Benchmark'!C19</f>
        <v>41494.147224456952</v>
      </c>
      <c r="F20" s="46"/>
      <c r="G20" s="46"/>
      <c r="H20" s="49" t="s">
        <v>447</v>
      </c>
    </row>
    <row r="21" spans="1:8">
      <c r="A21" s="253"/>
      <c r="B21" s="44" t="s">
        <v>31</v>
      </c>
      <c r="C21" s="155"/>
      <c r="D21" s="155"/>
      <c r="E21" s="46"/>
      <c r="F21" s="46"/>
      <c r="G21" s="46"/>
      <c r="H21" s="49"/>
    </row>
    <row r="22" spans="1:8">
      <c r="A22" s="253"/>
      <c r="B22" s="79" t="s">
        <v>388</v>
      </c>
      <c r="C22" s="155">
        <v>2</v>
      </c>
      <c r="D22" s="155">
        <v>0</v>
      </c>
      <c r="E22" s="46">
        <f>E20</f>
        <v>41494.147224456952</v>
      </c>
      <c r="F22" s="46"/>
      <c r="G22" s="46"/>
      <c r="H22" s="49" t="s">
        <v>455</v>
      </c>
    </row>
    <row r="23" spans="1:8">
      <c r="A23" s="253"/>
      <c r="B23" s="79" t="s">
        <v>387</v>
      </c>
      <c r="C23" s="155">
        <v>6</v>
      </c>
      <c r="D23" s="155">
        <v>0</v>
      </c>
      <c r="E23" s="46">
        <v>28974.49</v>
      </c>
      <c r="F23" s="46"/>
      <c r="G23" s="46"/>
      <c r="H23" s="484" t="s">
        <v>474</v>
      </c>
    </row>
    <row r="24" spans="1:8">
      <c r="A24" s="253"/>
      <c r="B24" s="48" t="s">
        <v>40</v>
      </c>
      <c r="C24" s="155">
        <v>1</v>
      </c>
      <c r="D24" s="155">
        <v>1</v>
      </c>
      <c r="E24" s="46">
        <f>AVERAGE('FY15 Salary Benchmark'!C24:C25)</f>
        <v>36113.738555285476</v>
      </c>
      <c r="F24" s="46"/>
      <c r="G24" s="46"/>
      <c r="H24" s="49" t="s">
        <v>450</v>
      </c>
    </row>
    <row r="25" spans="1:8">
      <c r="A25" s="253"/>
      <c r="B25" s="48" t="s">
        <v>46</v>
      </c>
      <c r="C25" s="155">
        <v>3</v>
      </c>
      <c r="D25" s="155">
        <v>3</v>
      </c>
      <c r="E25" s="46">
        <f>AVERAGE('FY15 Salary Benchmark'!C24:C25)</f>
        <v>36113.738555285476</v>
      </c>
      <c r="F25" s="406"/>
      <c r="G25" s="325"/>
      <c r="H25" s="49" t="s">
        <v>450</v>
      </c>
    </row>
    <row r="26" spans="1:8">
      <c r="A26" s="253"/>
      <c r="B26" s="48" t="s">
        <v>468</v>
      </c>
      <c r="C26" s="155">
        <v>0.82216</v>
      </c>
      <c r="D26" s="155">
        <v>0.82216</v>
      </c>
      <c r="E26" s="46">
        <f>E30</f>
        <v>32551.5349212734</v>
      </c>
      <c r="F26" s="325"/>
      <c r="G26" s="325"/>
      <c r="H26" s="49" t="s">
        <v>451</v>
      </c>
    </row>
    <row r="27" spans="1:8">
      <c r="A27" s="253"/>
      <c r="B27" s="80" t="s">
        <v>32</v>
      </c>
      <c r="C27" s="155">
        <v>1.2307692307692319</v>
      </c>
      <c r="D27" s="155">
        <v>0</v>
      </c>
      <c r="E27" s="46">
        <f>E30</f>
        <v>32551.5349212734</v>
      </c>
      <c r="F27" s="46"/>
      <c r="G27" s="46"/>
      <c r="H27" s="49" t="s">
        <v>451</v>
      </c>
    </row>
    <row r="28" spans="1:8">
      <c r="A28" s="253"/>
      <c r="B28" s="44" t="s">
        <v>33</v>
      </c>
      <c r="C28" s="155"/>
      <c r="D28" s="155"/>
      <c r="E28" s="46"/>
      <c r="F28" s="46"/>
      <c r="G28" s="46"/>
      <c r="H28" s="49"/>
    </row>
    <row r="29" spans="1:8">
      <c r="A29" s="253"/>
      <c r="B29" s="48" t="s">
        <v>34</v>
      </c>
      <c r="C29" s="155">
        <v>1</v>
      </c>
      <c r="D29" s="155">
        <v>1</v>
      </c>
      <c r="E29" s="46">
        <f>E30</f>
        <v>32551.5349212734</v>
      </c>
      <c r="F29" s="46"/>
      <c r="G29" s="46"/>
      <c r="H29" s="49" t="s">
        <v>451</v>
      </c>
    </row>
    <row r="30" spans="1:8" ht="26.25">
      <c r="A30" s="253"/>
      <c r="B30" s="48" t="s">
        <v>389</v>
      </c>
      <c r="C30" s="323"/>
      <c r="D30" s="323"/>
      <c r="E30" s="46">
        <v>32551.5349212734</v>
      </c>
      <c r="F30" s="324"/>
      <c r="G30" s="324"/>
      <c r="H30" s="49" t="s">
        <v>552</v>
      </c>
    </row>
    <row r="31" spans="1:8">
      <c r="A31" s="253"/>
      <c r="B31" s="265"/>
      <c r="C31" s="253"/>
      <c r="D31" s="253"/>
      <c r="E31" s="405" t="s">
        <v>42</v>
      </c>
      <c r="F31" s="253"/>
      <c r="G31" s="253"/>
      <c r="H31" s="266"/>
    </row>
    <row r="32" spans="1:8">
      <c r="A32" s="253"/>
      <c r="B32" s="81" t="s">
        <v>434</v>
      </c>
      <c r="C32" s="45"/>
      <c r="D32" s="87"/>
      <c r="E32" s="157">
        <f>('FY15 UFR Summary'!D49+'FY15 UFR Summary'!D50)/'FY15 UFR Summary'!D41</f>
        <v>0.21493933013040212</v>
      </c>
      <c r="F32" s="157"/>
      <c r="G32" s="157"/>
      <c r="H32" s="49" t="s">
        <v>373</v>
      </c>
    </row>
    <row r="33" spans="1:8">
      <c r="A33" s="253"/>
      <c r="B33" s="48"/>
      <c r="C33" s="339"/>
      <c r="D33" s="52"/>
      <c r="E33" s="85"/>
      <c r="F33" s="85"/>
      <c r="G33" s="85"/>
      <c r="H33" s="84"/>
    </row>
    <row r="34" spans="1:8">
      <c r="A34" s="253"/>
      <c r="B34" s="265"/>
      <c r="C34" s="253"/>
      <c r="D34" s="253"/>
      <c r="E34" s="294" t="s">
        <v>328</v>
      </c>
      <c r="F34" s="294"/>
      <c r="G34" s="294"/>
      <c r="H34" s="319"/>
    </row>
    <row r="35" spans="1:8">
      <c r="A35" s="253"/>
      <c r="B35" s="48" t="s">
        <v>125</v>
      </c>
      <c r="C35" s="339"/>
      <c r="D35" s="155">
        <f>55/52</f>
        <v>1.0576923076923077</v>
      </c>
      <c r="E35" s="68">
        <f>74.94</f>
        <v>74.94</v>
      </c>
      <c r="F35" s="325"/>
      <c r="G35" s="325"/>
      <c r="H35" s="86" t="s">
        <v>470</v>
      </c>
    </row>
    <row r="36" spans="1:8">
      <c r="A36" s="253"/>
      <c r="B36" s="48" t="s">
        <v>123</v>
      </c>
      <c r="C36" s="339"/>
      <c r="D36" s="155">
        <f>55/52</f>
        <v>1.0576923076923077</v>
      </c>
      <c r="E36" s="68">
        <f>52.16</f>
        <v>52.16</v>
      </c>
      <c r="F36" s="325"/>
      <c r="G36" s="325"/>
      <c r="H36" s="86" t="s">
        <v>471</v>
      </c>
    </row>
    <row r="37" spans="1:8">
      <c r="A37" s="253"/>
      <c r="B37" s="81"/>
      <c r="C37" s="45"/>
      <c r="D37" s="45"/>
      <c r="E37" s="253"/>
      <c r="F37" s="253"/>
      <c r="G37" s="253"/>
      <c r="H37" s="49"/>
    </row>
    <row r="38" spans="1:8">
      <c r="A38" s="253"/>
      <c r="B38" s="81"/>
      <c r="C38" s="45"/>
      <c r="D38" s="45"/>
      <c r="E38" s="294" t="s">
        <v>367</v>
      </c>
      <c r="F38" s="294"/>
      <c r="G38" s="294"/>
      <c r="H38" s="49"/>
    </row>
    <row r="39" spans="1:8">
      <c r="A39" s="253"/>
      <c r="B39" s="48" t="s">
        <v>440</v>
      </c>
      <c r="C39" s="339"/>
      <c r="D39" s="137"/>
      <c r="E39" s="159">
        <v>23.42</v>
      </c>
      <c r="F39" s="325"/>
      <c r="G39" s="325"/>
      <c r="H39" s="49" t="s">
        <v>417</v>
      </c>
    </row>
    <row r="40" spans="1:8">
      <c r="A40" s="253"/>
      <c r="B40" s="81" t="s">
        <v>441</v>
      </c>
      <c r="C40" s="45"/>
      <c r="D40" s="45"/>
      <c r="E40" s="159">
        <f>'FY15 UFR Summary'!D62/'FY15 UFR Summary'!C40</f>
        <v>257.9647657205245</v>
      </c>
      <c r="F40" s="325"/>
      <c r="G40" s="325"/>
      <c r="H40" s="49" t="s">
        <v>383</v>
      </c>
    </row>
    <row r="41" spans="1:8">
      <c r="A41" s="253"/>
      <c r="B41" s="81" t="s">
        <v>442</v>
      </c>
      <c r="C41" s="45"/>
      <c r="D41" s="45"/>
      <c r="E41" s="159">
        <v>3086</v>
      </c>
      <c r="F41" s="325"/>
      <c r="G41" s="325"/>
      <c r="H41" s="49" t="s">
        <v>429</v>
      </c>
    </row>
    <row r="42" spans="1:8">
      <c r="A42" s="253"/>
      <c r="B42" s="81" t="s">
        <v>443</v>
      </c>
      <c r="C42" s="45"/>
      <c r="D42" s="91"/>
      <c r="E42" s="159">
        <f>'FY15 UFR Summary'!D63/'FY15 UFR Summary'!C40</f>
        <v>803.55854388712146</v>
      </c>
      <c r="F42" s="325"/>
      <c r="G42" s="355"/>
      <c r="H42" s="49" t="s">
        <v>418</v>
      </c>
    </row>
    <row r="43" spans="1:8">
      <c r="A43" s="253"/>
      <c r="B43" s="81" t="s">
        <v>454</v>
      </c>
      <c r="C43" s="45"/>
      <c r="D43" s="90"/>
      <c r="E43" s="159">
        <f>('FY15 UFR Summary'!D73)/'FY15 UFR Summary'!C40</f>
        <v>596.87493546624603</v>
      </c>
      <c r="F43" s="159"/>
      <c r="G43" s="159"/>
      <c r="H43" s="49" t="s">
        <v>419</v>
      </c>
    </row>
    <row r="44" spans="1:8">
      <c r="A44" s="253"/>
      <c r="B44" s="81"/>
      <c r="C44" s="45"/>
      <c r="D44" s="91"/>
      <c r="E44" s="159"/>
      <c r="F44" s="159"/>
      <c r="G44" s="159"/>
      <c r="H44" s="49"/>
    </row>
    <row r="45" spans="1:8">
      <c r="A45" s="253"/>
      <c r="B45" s="81" t="s">
        <v>437</v>
      </c>
      <c r="C45" s="45"/>
      <c r="D45" s="87"/>
      <c r="E45" s="157">
        <v>0.12</v>
      </c>
      <c r="F45" s="157"/>
      <c r="G45" s="157"/>
      <c r="H45" s="49" t="s">
        <v>472</v>
      </c>
    </row>
    <row r="46" spans="1:8" ht="15.75" thickBot="1">
      <c r="A46" s="253"/>
      <c r="B46" s="94" t="s">
        <v>438</v>
      </c>
      <c r="C46" s="95"/>
      <c r="D46" s="95"/>
      <c r="E46" s="158">
        <f>'FY19_20 CAF'!BU41</f>
        <v>7.6809383045675458E-2</v>
      </c>
      <c r="F46" s="158"/>
      <c r="G46" s="158"/>
      <c r="H46" s="97"/>
    </row>
    <row r="47" spans="1:8" ht="15.75" thickBot="1">
      <c r="A47" s="253"/>
      <c r="B47" s="253"/>
      <c r="C47" s="253"/>
      <c r="D47" s="253"/>
      <c r="E47" s="253"/>
      <c r="F47" s="253"/>
      <c r="G47" s="253"/>
      <c r="H47" s="253"/>
    </row>
    <row r="48" spans="1:8">
      <c r="A48" s="253"/>
      <c r="B48" s="42"/>
      <c r="C48" s="271"/>
      <c r="D48" s="271"/>
      <c r="E48" s="340" t="s">
        <v>415</v>
      </c>
      <c r="F48" s="340"/>
      <c r="G48" s="340"/>
      <c r="H48" s="341"/>
    </row>
    <row r="49" spans="1:8" ht="38.25">
      <c r="A49" s="253"/>
      <c r="B49" s="265"/>
      <c r="C49" s="253"/>
      <c r="D49" s="347" t="str">
        <f>C11</f>
        <v>Integrated Team Benchmark FTEs</v>
      </c>
      <c r="E49" s="347" t="s">
        <v>403</v>
      </c>
      <c r="F49" s="347" t="s">
        <v>404</v>
      </c>
      <c r="G49" s="347" t="s">
        <v>405</v>
      </c>
      <c r="H49" s="266"/>
    </row>
    <row r="50" spans="1:8">
      <c r="A50" s="253"/>
      <c r="B50" s="44" t="str">
        <f t="shared" ref="B50:B63" si="0">B12</f>
        <v>Management</v>
      </c>
      <c r="C50" s="544"/>
      <c r="D50" s="343"/>
      <c r="E50" s="99"/>
      <c r="F50" s="325"/>
      <c r="G50" s="325"/>
      <c r="H50" s="49"/>
    </row>
    <row r="51" spans="1:8">
      <c r="A51" s="253"/>
      <c r="B51" s="48" t="str">
        <f t="shared" si="0"/>
        <v xml:space="preserve">  Program Director</v>
      </c>
      <c r="C51" s="339"/>
      <c r="D51" s="155">
        <f>C13</f>
        <v>1</v>
      </c>
      <c r="E51" s="155">
        <v>1</v>
      </c>
      <c r="F51" s="348">
        <v>300</v>
      </c>
      <c r="G51" s="350">
        <f>E51*F51</f>
        <v>300</v>
      </c>
      <c r="H51" s="49"/>
    </row>
    <row r="52" spans="1:8">
      <c r="A52" s="253"/>
      <c r="B52" s="48" t="str">
        <f t="shared" si="0"/>
        <v xml:space="preserve">  Assistant Director (LICSW Level)</v>
      </c>
      <c r="C52" s="339"/>
      <c r="D52" s="155">
        <f>C14</f>
        <v>1</v>
      </c>
      <c r="E52" s="155">
        <v>1</v>
      </c>
      <c r="F52" s="348">
        <v>200</v>
      </c>
      <c r="G52" s="350">
        <f>E52*F52</f>
        <v>200</v>
      </c>
      <c r="H52" s="49"/>
    </row>
    <row r="53" spans="1:8">
      <c r="A53" s="253"/>
      <c r="B53" s="48" t="str">
        <f t="shared" si="0"/>
        <v xml:space="preserve">  Program Function Manager</v>
      </c>
      <c r="C53" s="339"/>
      <c r="D53" s="155">
        <f>C15</f>
        <v>0.1</v>
      </c>
      <c r="E53" s="155">
        <v>0.5</v>
      </c>
      <c r="F53" s="348">
        <v>120</v>
      </c>
      <c r="G53" s="350">
        <f>E53*F53</f>
        <v>60</v>
      </c>
      <c r="H53" s="83"/>
    </row>
    <row r="54" spans="1:8">
      <c r="A54" s="253"/>
      <c r="B54" s="44" t="str">
        <f t="shared" si="0"/>
        <v>Medical and Clinical</v>
      </c>
      <c r="C54" s="544"/>
      <c r="D54" s="155"/>
      <c r="E54" s="155"/>
      <c r="F54" s="348"/>
      <c r="G54" s="350"/>
      <c r="H54" s="49"/>
    </row>
    <row r="55" spans="1:8">
      <c r="A55" s="253"/>
      <c r="B55" s="48" t="str">
        <f t="shared" si="0"/>
        <v xml:space="preserve">    Psychiatrist</v>
      </c>
      <c r="C55" s="339"/>
      <c r="D55" s="155">
        <f>C17</f>
        <v>0.05</v>
      </c>
      <c r="E55" s="155">
        <v>0.1</v>
      </c>
      <c r="F55" s="348">
        <v>120</v>
      </c>
      <c r="G55" s="350">
        <f>E55*F55</f>
        <v>12</v>
      </c>
      <c r="H55" s="49"/>
    </row>
    <row r="56" spans="1:8">
      <c r="A56" s="253"/>
      <c r="B56" s="78" t="str">
        <f t="shared" si="0"/>
        <v xml:space="preserve">    LPHA</v>
      </c>
      <c r="C56" s="338"/>
      <c r="D56" s="155">
        <f>C18</f>
        <v>3.5999999999999996</v>
      </c>
      <c r="E56" s="155">
        <v>3</v>
      </c>
      <c r="F56" s="348">
        <v>120</v>
      </c>
      <c r="G56" s="350">
        <f>E56*F56</f>
        <v>360</v>
      </c>
      <c r="H56" s="83"/>
    </row>
    <row r="57" spans="1:8">
      <c r="A57" s="253"/>
      <c r="B57" s="48" t="str">
        <f t="shared" si="0"/>
        <v xml:space="preserve">    RN</v>
      </c>
      <c r="C57" s="339"/>
      <c r="D57" s="155">
        <f>C19</f>
        <v>1</v>
      </c>
      <c r="E57" s="155">
        <v>1</v>
      </c>
      <c r="F57" s="348">
        <v>120</v>
      </c>
      <c r="G57" s="350">
        <f>E57*F57</f>
        <v>120</v>
      </c>
      <c r="H57" s="49"/>
    </row>
    <row r="58" spans="1:8">
      <c r="A58" s="253"/>
      <c r="B58" s="48" t="str">
        <f t="shared" si="0"/>
        <v xml:space="preserve">    Substance Abuse Counselor</v>
      </c>
      <c r="C58" s="339"/>
      <c r="D58" s="155">
        <f>C20</f>
        <v>1</v>
      </c>
      <c r="E58" s="155">
        <v>1</v>
      </c>
      <c r="F58" s="348">
        <v>120</v>
      </c>
      <c r="G58" s="350">
        <f>E58*F58</f>
        <v>120</v>
      </c>
      <c r="H58" s="83"/>
    </row>
    <row r="59" spans="1:8">
      <c r="A59" s="253"/>
      <c r="B59" s="44" t="str">
        <f t="shared" si="0"/>
        <v>Direct Care</v>
      </c>
      <c r="C59" s="544"/>
      <c r="D59" s="155"/>
      <c r="E59" s="155"/>
      <c r="F59" s="348"/>
      <c r="G59" s="350"/>
      <c r="H59" s="266"/>
    </row>
    <row r="60" spans="1:8">
      <c r="A60" s="253"/>
      <c r="B60" s="79" t="str">
        <f t="shared" si="0"/>
        <v xml:space="preserve">    DC III</v>
      </c>
      <c r="C60" s="274"/>
      <c r="D60" s="155">
        <f t="shared" ref="D60:D65" si="1">C22</f>
        <v>2</v>
      </c>
      <c r="E60" s="155">
        <v>1</v>
      </c>
      <c r="F60" s="348">
        <v>80</v>
      </c>
      <c r="G60" s="350">
        <f t="shared" ref="G60:G65" si="2">E60*F60</f>
        <v>80</v>
      </c>
      <c r="H60" s="266"/>
    </row>
    <row r="61" spans="1:8">
      <c r="A61" s="253"/>
      <c r="B61" s="79" t="str">
        <f t="shared" si="0"/>
        <v xml:space="preserve">    DC Blended (DC I + II)</v>
      </c>
      <c r="C61" s="274"/>
      <c r="D61" s="155">
        <f t="shared" si="1"/>
        <v>6</v>
      </c>
      <c r="E61" s="155">
        <v>2</v>
      </c>
      <c r="F61" s="348">
        <v>80</v>
      </c>
      <c r="G61" s="350">
        <f t="shared" si="2"/>
        <v>160</v>
      </c>
      <c r="H61" s="266"/>
    </row>
    <row r="62" spans="1:8">
      <c r="A62" s="253"/>
      <c r="B62" s="48" t="str">
        <f t="shared" si="0"/>
        <v xml:space="preserve">    Housing Coordinator</v>
      </c>
      <c r="C62" s="339"/>
      <c r="D62" s="155">
        <f t="shared" si="1"/>
        <v>1</v>
      </c>
      <c r="E62" s="155">
        <v>0.5</v>
      </c>
      <c r="F62" s="348">
        <v>80</v>
      </c>
      <c r="G62" s="350">
        <f t="shared" si="2"/>
        <v>40</v>
      </c>
      <c r="H62" s="266"/>
    </row>
    <row r="63" spans="1:8">
      <c r="A63" s="253"/>
      <c r="B63" s="48" t="str">
        <f t="shared" si="0"/>
        <v xml:space="preserve">    Peer &amp; Family Specialist</v>
      </c>
      <c r="C63" s="339"/>
      <c r="D63" s="155">
        <f t="shared" si="1"/>
        <v>3</v>
      </c>
      <c r="E63" s="155">
        <v>1.5</v>
      </c>
      <c r="F63" s="348">
        <v>80</v>
      </c>
      <c r="G63" s="350">
        <f t="shared" si="2"/>
        <v>120</v>
      </c>
      <c r="H63" s="266"/>
    </row>
    <row r="64" spans="1:8">
      <c r="A64" s="253"/>
      <c r="B64" s="48" t="s">
        <v>428</v>
      </c>
      <c r="C64" s="339"/>
      <c r="D64" s="155">
        <f t="shared" si="1"/>
        <v>0.82216</v>
      </c>
      <c r="E64" s="155">
        <v>0</v>
      </c>
      <c r="F64" s="348">
        <v>80</v>
      </c>
      <c r="G64" s="350">
        <f t="shared" si="2"/>
        <v>0</v>
      </c>
      <c r="H64" s="266"/>
    </row>
    <row r="65" spans="1:8">
      <c r="A65" s="253"/>
      <c r="B65" s="80" t="str">
        <f>B27</f>
        <v xml:space="preserve">    Relief</v>
      </c>
      <c r="C65" s="545"/>
      <c r="D65" s="155">
        <f t="shared" si="1"/>
        <v>1.2307692307692319</v>
      </c>
      <c r="E65" s="155">
        <v>0</v>
      </c>
      <c r="F65" s="348">
        <v>80</v>
      </c>
      <c r="G65" s="350">
        <f t="shared" si="2"/>
        <v>0</v>
      </c>
      <c r="H65" s="266"/>
    </row>
    <row r="66" spans="1:8">
      <c r="A66" s="253"/>
      <c r="B66" s="44" t="str">
        <f>B28</f>
        <v>Support</v>
      </c>
      <c r="C66" s="544"/>
      <c r="D66" s="155"/>
      <c r="E66" s="155"/>
      <c r="F66" s="348"/>
      <c r="G66" s="350"/>
      <c r="H66" s="266"/>
    </row>
    <row r="67" spans="1:8">
      <c r="A67" s="253"/>
      <c r="B67" s="48" t="str">
        <f>B29</f>
        <v xml:space="preserve">    Prog Secretarial / Clerical</v>
      </c>
      <c r="C67" s="339"/>
      <c r="D67" s="155">
        <f>C29</f>
        <v>1</v>
      </c>
      <c r="E67" s="155">
        <v>1</v>
      </c>
      <c r="F67" s="348">
        <v>48</v>
      </c>
      <c r="G67" s="350">
        <f>E67*F67</f>
        <v>48</v>
      </c>
      <c r="H67" s="266"/>
    </row>
    <row r="68" spans="1:8">
      <c r="A68" s="253"/>
      <c r="B68" s="345" t="s">
        <v>348</v>
      </c>
      <c r="C68" s="546"/>
      <c r="D68" s="346">
        <f>SUM(D51:D67)</f>
        <v>22.802929230769234</v>
      </c>
      <c r="E68" s="346">
        <f>SUM(E51:E67)</f>
        <v>13.6</v>
      </c>
      <c r="F68" s="356">
        <f>SUM(F51:F67)</f>
        <v>1628</v>
      </c>
      <c r="G68" s="356">
        <f>SUM(G51:G67)</f>
        <v>1620</v>
      </c>
      <c r="H68" s="260"/>
    </row>
    <row r="69" spans="1:8">
      <c r="A69" s="253"/>
      <c r="B69" s="2473" t="s">
        <v>416</v>
      </c>
      <c r="C69" s="2474"/>
      <c r="D69" s="2474"/>
      <c r="E69" s="2474"/>
      <c r="F69" s="2474"/>
      <c r="G69" s="2474"/>
      <c r="H69" s="2475"/>
    </row>
    <row r="70" spans="1:8">
      <c r="A70" s="253"/>
      <c r="B70" s="344" t="s">
        <v>409</v>
      </c>
      <c r="C70" s="330"/>
      <c r="D70" s="253"/>
      <c r="E70" s="253"/>
      <c r="F70" s="348"/>
      <c r="G70" s="253"/>
      <c r="H70" s="266"/>
    </row>
    <row r="71" spans="1:8">
      <c r="A71" s="253"/>
      <c r="B71" s="351" t="s">
        <v>406</v>
      </c>
      <c r="C71" s="349"/>
      <c r="D71" s="354">
        <f>D56+D57</f>
        <v>4.5999999999999996</v>
      </c>
      <c r="E71" s="354">
        <v>4</v>
      </c>
      <c r="F71" s="350"/>
      <c r="G71" s="349"/>
      <c r="H71" s="352" t="s">
        <v>427</v>
      </c>
    </row>
    <row r="72" spans="1:8">
      <c r="A72" s="253"/>
      <c r="B72" s="351" t="s">
        <v>407</v>
      </c>
      <c r="C72" s="349"/>
      <c r="D72" s="354">
        <f>D58</f>
        <v>1</v>
      </c>
      <c r="E72" s="354">
        <v>1</v>
      </c>
      <c r="F72" s="350"/>
      <c r="G72" s="349"/>
      <c r="H72" s="352" t="s">
        <v>411</v>
      </c>
    </row>
    <row r="73" spans="1:8" ht="25.5">
      <c r="A73" s="253"/>
      <c r="B73" s="351" t="s">
        <v>31</v>
      </c>
      <c r="C73" s="349"/>
      <c r="D73" s="354">
        <f>D60+D61</f>
        <v>8</v>
      </c>
      <c r="E73" s="354">
        <v>3</v>
      </c>
      <c r="F73" s="350"/>
      <c r="G73" s="349"/>
      <c r="H73" s="352" t="s">
        <v>410</v>
      </c>
    </row>
    <row r="74" spans="1:8" ht="25.5">
      <c r="A74" s="253"/>
      <c r="B74" s="353" t="s">
        <v>432</v>
      </c>
      <c r="C74" s="547"/>
      <c r="D74" s="354">
        <f>D62+D63</f>
        <v>4</v>
      </c>
      <c r="E74" s="354">
        <v>3</v>
      </c>
      <c r="F74" s="350"/>
      <c r="G74" s="349"/>
      <c r="H74" s="352" t="s">
        <v>431</v>
      </c>
    </row>
    <row r="75" spans="1:8">
      <c r="A75" s="253"/>
      <c r="B75" s="351" t="s">
        <v>408</v>
      </c>
      <c r="C75" s="349"/>
      <c r="D75" s="354">
        <f>D67</f>
        <v>1</v>
      </c>
      <c r="E75" s="354">
        <v>1</v>
      </c>
      <c r="F75" s="350"/>
      <c r="G75" s="349"/>
      <c r="H75" s="352" t="s">
        <v>412</v>
      </c>
    </row>
    <row r="76" spans="1:8">
      <c r="A76" s="253"/>
      <c r="B76" s="344" t="s">
        <v>413</v>
      </c>
      <c r="C76" s="330"/>
      <c r="D76" s="253"/>
      <c r="E76" s="253"/>
      <c r="F76" s="253"/>
      <c r="G76" s="253"/>
      <c r="H76" s="266"/>
    </row>
    <row r="77" spans="1:8" ht="15.75" thickBot="1">
      <c r="A77" s="253"/>
      <c r="B77" s="2476" t="s">
        <v>414</v>
      </c>
      <c r="C77" s="2477"/>
      <c r="D77" s="2477"/>
      <c r="E77" s="2477"/>
      <c r="F77" s="2477"/>
      <c r="G77" s="2477"/>
      <c r="H77" s="2478"/>
    </row>
    <row r="78" spans="1:8">
      <c r="A78" s="253"/>
      <c r="B78" s="253"/>
      <c r="C78" s="253"/>
      <c r="D78" s="253"/>
      <c r="E78" s="253"/>
      <c r="F78" s="253"/>
      <c r="G78" s="253"/>
      <c r="H78" s="98"/>
    </row>
    <row r="79" spans="1:8">
      <c r="A79" s="253"/>
      <c r="B79" s="253"/>
      <c r="C79" s="253"/>
      <c r="D79" s="253"/>
      <c r="E79" s="253"/>
      <c r="F79" s="253"/>
      <c r="G79" s="253"/>
      <c r="H79" s="98"/>
    </row>
    <row r="80" spans="1:8">
      <c r="A80" s="253"/>
      <c r="B80" s="253"/>
      <c r="C80" s="253"/>
      <c r="D80" s="253"/>
      <c r="E80" s="253"/>
      <c r="F80" s="253"/>
      <c r="G80" s="253"/>
      <c r="H80" s="98"/>
    </row>
    <row r="81" spans="1:8">
      <c r="A81" s="253"/>
      <c r="B81" s="253"/>
      <c r="C81" s="253"/>
      <c r="D81" s="253"/>
      <c r="E81" s="253"/>
      <c r="F81" s="253"/>
      <c r="G81" s="253"/>
      <c r="H81" s="98"/>
    </row>
    <row r="82" spans="1:8">
      <c r="A82" s="253"/>
      <c r="B82" s="253"/>
      <c r="C82" s="253"/>
      <c r="D82" s="253"/>
      <c r="E82" s="253"/>
      <c r="F82" s="253"/>
      <c r="G82" s="253"/>
      <c r="H82" s="98"/>
    </row>
    <row r="83" spans="1:8">
      <c r="A83" s="253"/>
      <c r="B83" s="253"/>
      <c r="C83" s="253"/>
      <c r="D83" s="253"/>
      <c r="E83" s="253"/>
      <c r="F83" s="253"/>
      <c r="G83" s="253"/>
      <c r="H83" s="98"/>
    </row>
    <row r="84" spans="1:8">
      <c r="A84" s="253"/>
      <c r="B84" s="253"/>
      <c r="C84" s="253"/>
      <c r="D84" s="253"/>
      <c r="E84" s="253"/>
      <c r="F84" s="253"/>
      <c r="G84" s="253"/>
      <c r="H84" s="98"/>
    </row>
    <row r="85" spans="1:8">
      <c r="A85" s="253"/>
      <c r="B85" s="253"/>
      <c r="C85" s="253"/>
      <c r="D85" s="253"/>
      <c r="E85" s="253"/>
      <c r="F85" s="253"/>
      <c r="G85" s="253"/>
      <c r="H85" s="98"/>
    </row>
    <row r="86" spans="1:8">
      <c r="A86" s="253"/>
      <c r="B86" s="253"/>
      <c r="C86" s="253"/>
      <c r="D86" s="253"/>
      <c r="E86" s="253"/>
      <c r="F86" s="253"/>
      <c r="G86" s="253"/>
      <c r="H86" s="98"/>
    </row>
    <row r="87" spans="1:8">
      <c r="A87" s="253"/>
      <c r="B87" s="253"/>
      <c r="C87" s="253"/>
      <c r="D87" s="253"/>
      <c r="E87" s="253"/>
      <c r="F87" s="253"/>
      <c r="G87" s="253"/>
      <c r="H87" s="98"/>
    </row>
    <row r="88" spans="1:8">
      <c r="A88" s="253"/>
      <c r="B88" s="253"/>
      <c r="C88" s="253"/>
      <c r="D88" s="253"/>
      <c r="E88" s="253"/>
      <c r="F88" s="253"/>
      <c r="G88" s="253"/>
      <c r="H88" s="98"/>
    </row>
    <row r="89" spans="1:8">
      <c r="A89" s="253"/>
      <c r="B89" s="253"/>
      <c r="C89" s="253"/>
      <c r="D89" s="253"/>
      <c r="E89" s="253"/>
      <c r="F89" s="253"/>
      <c r="G89" s="253"/>
      <c r="H89" s="98"/>
    </row>
    <row r="90" spans="1:8">
      <c r="A90" s="253"/>
      <c r="B90" s="253"/>
      <c r="C90" s="253"/>
      <c r="D90" s="253"/>
      <c r="E90" s="253"/>
      <c r="F90" s="253"/>
      <c r="G90" s="253"/>
      <c r="H90" s="98"/>
    </row>
    <row r="91" spans="1:8">
      <c r="A91" s="253"/>
      <c r="B91" s="253"/>
      <c r="C91" s="253"/>
      <c r="D91" s="253"/>
      <c r="E91" s="253"/>
      <c r="F91" s="253"/>
      <c r="G91" s="253"/>
      <c r="H91" s="98"/>
    </row>
    <row r="92" spans="1:8">
      <c r="A92" s="255"/>
      <c r="B92" s="255"/>
      <c r="C92" s="255"/>
      <c r="D92" s="255"/>
      <c r="E92" s="255"/>
      <c r="F92" s="255"/>
      <c r="G92" s="255"/>
      <c r="H92" s="267"/>
    </row>
    <row r="93" spans="1:8">
      <c r="A93" s="255"/>
      <c r="B93" s="255"/>
      <c r="C93" s="255"/>
      <c r="D93" s="255"/>
      <c r="E93" s="255"/>
      <c r="F93" s="255"/>
      <c r="G93" s="255"/>
      <c r="H93" s="267"/>
    </row>
    <row r="94" spans="1:8">
      <c r="A94" s="255"/>
      <c r="B94" s="255"/>
      <c r="C94" s="255"/>
      <c r="D94" s="255"/>
      <c r="E94" s="255"/>
      <c r="F94" s="255"/>
      <c r="G94" s="255"/>
      <c r="H94" s="267"/>
    </row>
    <row r="95" spans="1:8">
      <c r="A95" s="255"/>
      <c r="B95" s="255"/>
      <c r="C95" s="255"/>
      <c r="D95" s="255"/>
      <c r="E95" s="255"/>
      <c r="F95" s="255"/>
      <c r="G95" s="255"/>
      <c r="H95" s="267"/>
    </row>
    <row r="96" spans="1:8">
      <c r="A96" s="255"/>
      <c r="B96" s="255"/>
      <c r="C96" s="255"/>
      <c r="D96" s="255"/>
      <c r="E96" s="255"/>
      <c r="F96" s="255"/>
      <c r="G96" s="255"/>
      <c r="H96" s="267"/>
    </row>
    <row r="97" spans="1:8">
      <c r="A97" s="255"/>
      <c r="B97" s="255"/>
      <c r="C97" s="255"/>
      <c r="D97" s="255"/>
      <c r="E97" s="255"/>
      <c r="F97" s="255"/>
      <c r="G97" s="255"/>
      <c r="H97" s="267"/>
    </row>
    <row r="98" spans="1:8">
      <c r="A98" s="255"/>
      <c r="B98" s="255"/>
      <c r="C98" s="255"/>
      <c r="D98" s="255"/>
      <c r="E98" s="255"/>
      <c r="F98" s="255"/>
      <c r="G98" s="255"/>
      <c r="H98" s="267"/>
    </row>
    <row r="99" spans="1:8">
      <c r="A99" s="255"/>
      <c r="B99" s="255"/>
      <c r="C99" s="255"/>
      <c r="D99" s="255"/>
      <c r="E99" s="255"/>
      <c r="F99" s="255"/>
      <c r="G99" s="255"/>
      <c r="H99" s="267"/>
    </row>
    <row r="100" spans="1:8">
      <c r="A100" s="255"/>
      <c r="B100" s="255"/>
      <c r="C100" s="255"/>
      <c r="D100" s="255"/>
      <c r="E100" s="255"/>
      <c r="F100" s="255"/>
      <c r="G100" s="255"/>
      <c r="H100" s="267"/>
    </row>
    <row r="101" spans="1:8">
      <c r="A101" s="255"/>
      <c r="B101" s="255"/>
      <c r="C101" s="255"/>
      <c r="D101" s="255"/>
      <c r="E101" s="255"/>
      <c r="F101" s="255"/>
      <c r="G101" s="255"/>
      <c r="H101" s="267"/>
    </row>
    <row r="102" spans="1:8">
      <c r="A102" s="255"/>
      <c r="B102" s="255"/>
      <c r="C102" s="255"/>
      <c r="D102" s="255"/>
      <c r="E102" s="255"/>
      <c r="F102" s="255"/>
      <c r="G102" s="255"/>
      <c r="H102" s="267"/>
    </row>
    <row r="103" spans="1:8">
      <c r="A103" s="255"/>
      <c r="B103" s="255"/>
      <c r="C103" s="255"/>
      <c r="D103" s="255"/>
      <c r="E103" s="255"/>
      <c r="F103" s="255"/>
      <c r="G103" s="255"/>
      <c r="H103" s="267"/>
    </row>
    <row r="104" spans="1:8">
      <c r="A104" s="255"/>
      <c r="B104" s="255"/>
      <c r="C104" s="255"/>
      <c r="D104" s="255"/>
      <c r="E104" s="255"/>
      <c r="F104" s="255"/>
      <c r="G104" s="255"/>
      <c r="H104" s="267"/>
    </row>
    <row r="105" spans="1:8">
      <c r="A105" s="255"/>
      <c r="B105" s="255"/>
      <c r="C105" s="255"/>
      <c r="D105" s="255"/>
      <c r="E105" s="255"/>
      <c r="F105" s="255"/>
      <c r="G105" s="255"/>
      <c r="H105" s="267"/>
    </row>
    <row r="106" spans="1:8">
      <c r="A106" s="255"/>
      <c r="B106" s="255"/>
      <c r="C106" s="255"/>
      <c r="D106" s="255"/>
      <c r="E106" s="255"/>
      <c r="F106" s="255"/>
      <c r="G106" s="255"/>
      <c r="H106" s="267"/>
    </row>
    <row r="107" spans="1:8">
      <c r="A107" s="255"/>
      <c r="B107" s="255"/>
      <c r="C107" s="255"/>
      <c r="D107" s="255"/>
      <c r="E107" s="255"/>
      <c r="F107" s="255"/>
      <c r="G107" s="255"/>
      <c r="H107" s="267"/>
    </row>
    <row r="108" spans="1:8">
      <c r="A108" s="255"/>
      <c r="B108" s="255"/>
      <c r="C108" s="255"/>
      <c r="D108" s="255"/>
      <c r="E108" s="255"/>
      <c r="F108" s="255"/>
      <c r="G108" s="255"/>
      <c r="H108" s="267"/>
    </row>
    <row r="109" spans="1:8">
      <c r="A109" s="255"/>
      <c r="B109" s="255"/>
      <c r="C109" s="255"/>
      <c r="D109" s="255"/>
      <c r="E109" s="255"/>
      <c r="F109" s="255"/>
      <c r="G109" s="255"/>
      <c r="H109" s="267"/>
    </row>
    <row r="110" spans="1:8">
      <c r="A110" s="255"/>
      <c r="B110" s="255"/>
      <c r="C110" s="255"/>
      <c r="D110" s="255"/>
      <c r="E110" s="255"/>
      <c r="F110" s="255"/>
      <c r="G110" s="255"/>
      <c r="H110" s="267"/>
    </row>
    <row r="111" spans="1:8">
      <c r="A111" s="255"/>
      <c r="B111" s="255"/>
      <c r="C111" s="255"/>
      <c r="D111" s="255"/>
      <c r="E111" s="255"/>
      <c r="F111" s="255"/>
      <c r="G111" s="255"/>
      <c r="H111" s="267"/>
    </row>
    <row r="112" spans="1:8">
      <c r="A112" s="255"/>
      <c r="B112" s="255"/>
      <c r="C112" s="255"/>
      <c r="D112" s="255"/>
      <c r="E112" s="255"/>
      <c r="F112" s="255"/>
      <c r="G112" s="255"/>
      <c r="H112" s="267"/>
    </row>
    <row r="113" spans="1:8">
      <c r="A113" s="255"/>
      <c r="B113" s="255"/>
      <c r="C113" s="255"/>
      <c r="D113" s="255"/>
      <c r="E113" s="255"/>
      <c r="F113" s="255"/>
      <c r="G113" s="255"/>
      <c r="H113" s="267"/>
    </row>
    <row r="114" spans="1:8">
      <c r="A114" s="255"/>
      <c r="B114" s="255"/>
      <c r="C114" s="255"/>
      <c r="D114" s="255"/>
      <c r="E114" s="255"/>
      <c r="F114" s="255"/>
      <c r="G114" s="255"/>
      <c r="H114" s="267"/>
    </row>
    <row r="115" spans="1:8">
      <c r="A115" s="255"/>
      <c r="B115" s="255"/>
      <c r="C115" s="255"/>
      <c r="D115" s="255"/>
      <c r="E115" s="255"/>
      <c r="F115" s="255"/>
      <c r="G115" s="255"/>
      <c r="H115" s="267"/>
    </row>
    <row r="116" spans="1:8">
      <c r="A116" s="255"/>
      <c r="B116" s="255"/>
      <c r="C116" s="255"/>
      <c r="D116" s="255"/>
      <c r="E116" s="255"/>
      <c r="F116" s="255"/>
      <c r="G116" s="255"/>
      <c r="H116" s="267"/>
    </row>
    <row r="117" spans="1:8">
      <c r="A117" s="255"/>
      <c r="B117" s="255"/>
      <c r="C117" s="255"/>
      <c r="D117" s="255"/>
      <c r="E117" s="255"/>
      <c r="F117" s="255"/>
      <c r="G117" s="255"/>
      <c r="H117" s="267"/>
    </row>
    <row r="118" spans="1:8">
      <c r="A118" s="255"/>
      <c r="B118" s="255"/>
      <c r="C118" s="255"/>
      <c r="D118" s="255"/>
      <c r="E118" s="255"/>
      <c r="F118" s="255"/>
      <c r="G118" s="255"/>
      <c r="H118" s="267"/>
    </row>
    <row r="119" spans="1:8">
      <c r="A119" s="255"/>
      <c r="B119" s="255"/>
      <c r="C119" s="255"/>
      <c r="D119" s="255"/>
      <c r="E119" s="255"/>
      <c r="F119" s="255"/>
      <c r="G119" s="255"/>
      <c r="H119" s="267"/>
    </row>
    <row r="120" spans="1:8">
      <c r="A120" s="255"/>
      <c r="B120" s="255"/>
      <c r="C120" s="255"/>
      <c r="D120" s="255"/>
      <c r="E120" s="255"/>
      <c r="F120" s="255"/>
      <c r="G120" s="255"/>
      <c r="H120" s="267"/>
    </row>
    <row r="121" spans="1:8">
      <c r="A121" s="255"/>
      <c r="B121" s="255"/>
      <c r="C121" s="255"/>
      <c r="D121" s="255"/>
      <c r="E121" s="255"/>
      <c r="F121" s="255"/>
      <c r="G121" s="255"/>
      <c r="H121" s="267"/>
    </row>
    <row r="122" spans="1:8">
      <c r="A122" s="255"/>
      <c r="B122" s="255"/>
      <c r="C122" s="255"/>
      <c r="D122" s="255"/>
      <c r="E122" s="255"/>
      <c r="F122" s="255"/>
      <c r="G122" s="255"/>
      <c r="H122" s="267"/>
    </row>
    <row r="123" spans="1:8">
      <c r="A123" s="255"/>
      <c r="B123" s="255"/>
      <c r="C123" s="255"/>
      <c r="D123" s="255"/>
      <c r="E123" s="255"/>
      <c r="F123" s="255"/>
      <c r="G123" s="255"/>
      <c r="H123" s="267"/>
    </row>
    <row r="124" spans="1:8">
      <c r="A124" s="255"/>
      <c r="B124" s="255"/>
      <c r="C124" s="255"/>
      <c r="D124" s="255"/>
      <c r="E124" s="255"/>
      <c r="F124" s="255"/>
      <c r="G124" s="255"/>
      <c r="H124" s="267"/>
    </row>
    <row r="125" spans="1:8">
      <c r="A125" s="255"/>
      <c r="B125" s="255"/>
      <c r="C125" s="255"/>
      <c r="D125" s="255"/>
      <c r="E125" s="255"/>
      <c r="F125" s="255"/>
      <c r="G125" s="255"/>
      <c r="H125" s="267"/>
    </row>
    <row r="126" spans="1:8">
      <c r="A126" s="255"/>
      <c r="B126" s="255"/>
      <c r="C126" s="255"/>
      <c r="D126" s="255"/>
      <c r="E126" s="255"/>
      <c r="F126" s="255"/>
      <c r="G126" s="255"/>
      <c r="H126" s="267"/>
    </row>
    <row r="127" spans="1:8">
      <c r="A127" s="255"/>
      <c r="B127" s="255"/>
      <c r="C127" s="255"/>
      <c r="D127" s="255"/>
      <c r="E127" s="255"/>
      <c r="F127" s="255"/>
      <c r="G127" s="255"/>
      <c r="H127" s="267"/>
    </row>
    <row r="128" spans="1:8">
      <c r="A128" s="255"/>
      <c r="B128" s="255"/>
      <c r="C128" s="255"/>
      <c r="D128" s="255"/>
      <c r="E128" s="255"/>
      <c r="F128" s="255"/>
      <c r="G128" s="255"/>
      <c r="H128" s="267"/>
    </row>
    <row r="129" spans="1:8">
      <c r="A129" s="255"/>
      <c r="B129" s="255"/>
      <c r="C129" s="255"/>
      <c r="D129" s="255"/>
      <c r="E129" s="255"/>
      <c r="F129" s="255"/>
      <c r="G129" s="255"/>
      <c r="H129" s="267"/>
    </row>
    <row r="130" spans="1:8">
      <c r="A130" s="255"/>
      <c r="B130" s="255"/>
      <c r="C130" s="255"/>
      <c r="D130" s="255"/>
      <c r="E130" s="255"/>
      <c r="F130" s="255"/>
      <c r="G130" s="255"/>
      <c r="H130" s="267"/>
    </row>
    <row r="131" spans="1:8">
      <c r="A131" s="255"/>
      <c r="B131" s="255"/>
      <c r="C131" s="255"/>
      <c r="D131" s="255"/>
      <c r="E131" s="255"/>
      <c r="F131" s="255"/>
      <c r="G131" s="255"/>
      <c r="H131" s="267"/>
    </row>
    <row r="132" spans="1:8">
      <c r="A132" s="255"/>
      <c r="B132" s="255"/>
      <c r="C132" s="255"/>
      <c r="D132" s="255"/>
      <c r="E132" s="255"/>
      <c r="F132" s="255"/>
      <c r="G132" s="255"/>
      <c r="H132" s="267"/>
    </row>
    <row r="133" spans="1:8">
      <c r="A133" s="255"/>
      <c r="B133" s="255"/>
      <c r="C133" s="255"/>
      <c r="D133" s="255"/>
      <c r="E133" s="255"/>
      <c r="F133" s="255"/>
      <c r="G133" s="255"/>
      <c r="H133" s="267"/>
    </row>
    <row r="134" spans="1:8">
      <c r="A134" s="255"/>
      <c r="B134" s="255"/>
      <c r="C134" s="255"/>
      <c r="D134" s="255"/>
      <c r="E134" s="255"/>
      <c r="F134" s="255"/>
      <c r="G134" s="255"/>
      <c r="H134" s="267"/>
    </row>
    <row r="135" spans="1:8">
      <c r="A135" s="255"/>
      <c r="B135" s="255"/>
      <c r="C135" s="255"/>
      <c r="D135" s="255"/>
      <c r="E135" s="255"/>
      <c r="F135" s="255"/>
      <c r="G135" s="255"/>
      <c r="H135" s="267"/>
    </row>
    <row r="136" spans="1:8">
      <c r="A136" s="255"/>
      <c r="B136" s="255"/>
      <c r="C136" s="255"/>
      <c r="D136" s="255"/>
      <c r="E136" s="255"/>
      <c r="F136" s="255"/>
      <c r="G136" s="255"/>
      <c r="H136" s="267"/>
    </row>
    <row r="137" spans="1:8">
      <c r="A137" s="255"/>
      <c r="B137" s="255"/>
      <c r="C137" s="255"/>
      <c r="D137" s="255"/>
      <c r="E137" s="255"/>
      <c r="F137" s="255"/>
      <c r="G137" s="255"/>
      <c r="H137" s="267"/>
    </row>
    <row r="138" spans="1:8">
      <c r="A138" s="255"/>
      <c r="B138" s="255"/>
      <c r="C138" s="255"/>
      <c r="D138" s="255"/>
      <c r="E138" s="255"/>
      <c r="F138" s="255"/>
      <c r="G138" s="255"/>
      <c r="H138" s="267"/>
    </row>
    <row r="139" spans="1:8">
      <c r="A139" s="255"/>
      <c r="B139" s="255"/>
      <c r="C139" s="255"/>
      <c r="D139" s="255"/>
      <c r="E139" s="255"/>
      <c r="F139" s="255"/>
      <c r="G139" s="255"/>
      <c r="H139" s="267"/>
    </row>
    <row r="140" spans="1:8">
      <c r="A140" s="255"/>
      <c r="B140" s="255"/>
      <c r="C140" s="255"/>
      <c r="D140" s="255"/>
      <c r="E140" s="255"/>
      <c r="F140" s="255"/>
      <c r="G140" s="255"/>
      <c r="H140" s="267"/>
    </row>
    <row r="141" spans="1:8">
      <c r="A141" s="255"/>
      <c r="B141" s="255"/>
      <c r="C141" s="255"/>
      <c r="D141" s="255"/>
      <c r="E141" s="255"/>
      <c r="F141" s="255"/>
      <c r="G141" s="255"/>
      <c r="H141" s="267"/>
    </row>
    <row r="142" spans="1:8">
      <c r="A142" s="255"/>
      <c r="B142" s="255"/>
      <c r="C142" s="255"/>
      <c r="D142" s="255"/>
      <c r="E142" s="255"/>
      <c r="F142" s="255"/>
      <c r="G142" s="255"/>
      <c r="H142" s="267"/>
    </row>
    <row r="143" spans="1:8">
      <c r="A143" s="255"/>
      <c r="B143" s="255"/>
      <c r="C143" s="255"/>
      <c r="D143" s="255"/>
      <c r="E143" s="255"/>
      <c r="F143" s="255"/>
      <c r="G143" s="255"/>
      <c r="H143" s="267"/>
    </row>
    <row r="144" spans="1:8">
      <c r="A144" s="255"/>
      <c r="B144" s="255"/>
      <c r="C144" s="255"/>
      <c r="D144" s="255"/>
      <c r="E144" s="255"/>
      <c r="F144" s="255"/>
      <c r="G144" s="255"/>
      <c r="H144" s="267"/>
    </row>
    <row r="145" spans="1:8">
      <c r="A145" s="255"/>
      <c r="B145" s="255"/>
      <c r="C145" s="255"/>
      <c r="D145" s="255"/>
      <c r="E145" s="255"/>
      <c r="F145" s="255"/>
      <c r="G145" s="255"/>
      <c r="H145" s="267"/>
    </row>
    <row r="146" spans="1:8">
      <c r="A146" s="255"/>
      <c r="B146" s="255"/>
      <c r="C146" s="255"/>
      <c r="D146" s="255"/>
      <c r="E146" s="255"/>
      <c r="F146" s="255"/>
      <c r="G146" s="255"/>
      <c r="H146" s="267"/>
    </row>
    <row r="147" spans="1:8">
      <c r="A147" s="255"/>
      <c r="B147" s="255"/>
      <c r="C147" s="255"/>
      <c r="D147" s="255"/>
      <c r="E147" s="255"/>
      <c r="F147" s="255"/>
      <c r="G147" s="255"/>
      <c r="H147" s="267"/>
    </row>
    <row r="148" spans="1:8">
      <c r="A148" s="255"/>
      <c r="B148" s="255"/>
      <c r="C148" s="255"/>
      <c r="D148" s="255"/>
      <c r="E148" s="255"/>
      <c r="F148" s="255"/>
      <c r="G148" s="255"/>
      <c r="H148" s="267"/>
    </row>
    <row r="149" spans="1:8">
      <c r="A149" s="255"/>
      <c r="B149" s="255"/>
      <c r="C149" s="255"/>
      <c r="D149" s="255"/>
      <c r="E149" s="255"/>
      <c r="F149" s="255"/>
      <c r="G149" s="255"/>
      <c r="H149" s="267"/>
    </row>
    <row r="150" spans="1:8">
      <c r="A150" s="255"/>
      <c r="B150" s="255"/>
      <c r="C150" s="255"/>
      <c r="D150" s="255"/>
      <c r="E150" s="255"/>
      <c r="F150" s="255"/>
      <c r="G150" s="255"/>
      <c r="H150" s="267"/>
    </row>
    <row r="151" spans="1:8">
      <c r="A151" s="255"/>
      <c r="B151" s="255"/>
      <c r="C151" s="255"/>
      <c r="D151" s="255"/>
      <c r="E151" s="255"/>
      <c r="F151" s="255"/>
      <c r="G151" s="255"/>
      <c r="H151" s="267"/>
    </row>
    <row r="152" spans="1:8">
      <c r="A152" s="255"/>
      <c r="B152" s="255"/>
      <c r="C152" s="255"/>
      <c r="D152" s="255"/>
      <c r="E152" s="255"/>
      <c r="F152" s="255"/>
      <c r="G152" s="255"/>
      <c r="H152" s="267"/>
    </row>
    <row r="153" spans="1:8">
      <c r="A153" s="255"/>
      <c r="B153" s="255"/>
      <c r="C153" s="255"/>
      <c r="D153" s="255"/>
      <c r="E153" s="255"/>
      <c r="F153" s="255"/>
      <c r="G153" s="255"/>
      <c r="H153" s="267"/>
    </row>
    <row r="154" spans="1:8">
      <c r="A154" s="255"/>
      <c r="B154" s="255"/>
      <c r="C154" s="255"/>
      <c r="D154" s="255"/>
      <c r="E154" s="255"/>
      <c r="F154" s="255"/>
      <c r="G154" s="255"/>
      <c r="H154" s="267"/>
    </row>
    <row r="155" spans="1:8">
      <c r="A155" s="255"/>
      <c r="B155" s="255"/>
      <c r="C155" s="255"/>
      <c r="D155" s="255"/>
      <c r="E155" s="255"/>
      <c r="F155" s="255"/>
      <c r="G155" s="255"/>
      <c r="H155" s="267"/>
    </row>
    <row r="156" spans="1:8">
      <c r="A156" s="255"/>
      <c r="B156" s="255"/>
      <c r="C156" s="255"/>
      <c r="D156" s="255"/>
      <c r="E156" s="255"/>
      <c r="F156" s="255"/>
      <c r="G156" s="255"/>
      <c r="H156" s="267"/>
    </row>
    <row r="157" spans="1:8">
      <c r="A157" s="255"/>
      <c r="B157" s="255"/>
      <c r="C157" s="255"/>
      <c r="D157" s="255"/>
      <c r="E157" s="255"/>
      <c r="F157" s="255"/>
      <c r="G157" s="255"/>
      <c r="H157" s="267"/>
    </row>
    <row r="158" spans="1:8">
      <c r="A158" s="255"/>
      <c r="B158" s="255"/>
      <c r="C158" s="255"/>
      <c r="D158" s="255"/>
      <c r="E158" s="255"/>
      <c r="F158" s="255"/>
      <c r="G158" s="255"/>
      <c r="H158" s="267"/>
    </row>
    <row r="159" spans="1:8">
      <c r="A159" s="255"/>
      <c r="B159" s="255"/>
      <c r="C159" s="255"/>
      <c r="D159" s="255"/>
      <c r="E159" s="255"/>
      <c r="F159" s="255"/>
      <c r="G159" s="255"/>
      <c r="H159" s="267"/>
    </row>
    <row r="160" spans="1:8">
      <c r="A160" s="255"/>
      <c r="B160" s="255"/>
      <c r="C160" s="255"/>
      <c r="D160" s="255"/>
      <c r="E160" s="255"/>
      <c r="F160" s="255"/>
      <c r="G160" s="255"/>
      <c r="H160" s="267"/>
    </row>
    <row r="161" spans="1:8">
      <c r="A161" s="255"/>
      <c r="B161" s="255"/>
      <c r="C161" s="255"/>
      <c r="D161" s="255"/>
      <c r="E161" s="255"/>
      <c r="F161" s="255"/>
      <c r="G161" s="255"/>
      <c r="H161" s="267"/>
    </row>
    <row r="162" spans="1:8">
      <c r="A162" s="255"/>
      <c r="B162" s="255"/>
      <c r="C162" s="255"/>
      <c r="D162" s="255"/>
      <c r="E162" s="255"/>
      <c r="F162" s="255"/>
      <c r="G162" s="255"/>
      <c r="H162" s="267"/>
    </row>
    <row r="163" spans="1:8">
      <c r="A163" s="255"/>
      <c r="B163" s="255"/>
      <c r="C163" s="255"/>
      <c r="D163" s="255"/>
      <c r="E163" s="255"/>
      <c r="F163" s="255"/>
      <c r="G163" s="255"/>
      <c r="H163" s="267"/>
    </row>
    <row r="164" spans="1:8">
      <c r="A164" s="255"/>
      <c r="B164" s="255"/>
      <c r="C164" s="255"/>
      <c r="D164" s="255"/>
      <c r="E164" s="255"/>
      <c r="F164" s="255"/>
      <c r="G164" s="255"/>
      <c r="H164" s="267"/>
    </row>
    <row r="165" spans="1:8">
      <c r="A165" s="255"/>
      <c r="B165" s="255"/>
      <c r="C165" s="255"/>
      <c r="D165" s="255"/>
      <c r="E165" s="255"/>
      <c r="F165" s="255"/>
      <c r="G165" s="255"/>
      <c r="H165" s="267"/>
    </row>
    <row r="166" spans="1:8">
      <c r="A166" s="255"/>
      <c r="B166" s="255"/>
      <c r="C166" s="255"/>
      <c r="D166" s="255"/>
      <c r="E166" s="255"/>
      <c r="F166" s="255"/>
      <c r="G166" s="255"/>
      <c r="H166" s="267"/>
    </row>
    <row r="167" spans="1:8">
      <c r="A167" s="255"/>
      <c r="B167" s="255"/>
      <c r="C167" s="255"/>
      <c r="D167" s="255"/>
      <c r="E167" s="255"/>
      <c r="F167" s="255"/>
      <c r="G167" s="255"/>
      <c r="H167" s="267"/>
    </row>
    <row r="168" spans="1:8">
      <c r="A168" s="255"/>
      <c r="B168" s="255"/>
      <c r="C168" s="255"/>
      <c r="D168" s="255"/>
      <c r="E168" s="255"/>
      <c r="F168" s="255"/>
      <c r="G168" s="255"/>
      <c r="H168" s="267"/>
    </row>
    <row r="169" spans="1:8">
      <c r="A169" s="255"/>
      <c r="B169" s="255"/>
      <c r="C169" s="255"/>
      <c r="D169" s="255"/>
      <c r="E169" s="255"/>
      <c r="F169" s="255"/>
      <c r="G169" s="255"/>
      <c r="H169" s="267"/>
    </row>
    <row r="170" spans="1:8">
      <c r="A170" s="255"/>
      <c r="B170" s="255"/>
      <c r="C170" s="255"/>
      <c r="D170" s="255"/>
      <c r="E170" s="255"/>
      <c r="F170" s="255"/>
      <c r="G170" s="255"/>
      <c r="H170" s="267"/>
    </row>
    <row r="171" spans="1:8">
      <c r="A171" s="255"/>
      <c r="B171" s="255"/>
      <c r="C171" s="255"/>
      <c r="D171" s="255"/>
      <c r="E171" s="255"/>
      <c r="F171" s="255"/>
      <c r="G171" s="255"/>
      <c r="H171" s="267"/>
    </row>
    <row r="172" spans="1:8">
      <c r="A172" s="255"/>
      <c r="B172" s="255"/>
      <c r="C172" s="255"/>
      <c r="D172" s="255"/>
      <c r="E172" s="255"/>
      <c r="F172" s="255"/>
      <c r="G172" s="255"/>
      <c r="H172" s="267"/>
    </row>
    <row r="173" spans="1:8">
      <c r="A173" s="255"/>
      <c r="B173" s="255"/>
      <c r="C173" s="255"/>
      <c r="D173" s="255"/>
      <c r="E173" s="255"/>
      <c r="F173" s="255"/>
      <c r="G173" s="255"/>
      <c r="H173" s="267"/>
    </row>
    <row r="174" spans="1:8">
      <c r="A174" s="255"/>
      <c r="B174" s="255"/>
      <c r="C174" s="255"/>
      <c r="D174" s="255"/>
      <c r="E174" s="255"/>
      <c r="F174" s="255"/>
      <c r="G174" s="255"/>
      <c r="H174" s="267"/>
    </row>
    <row r="175" spans="1:8">
      <c r="A175" s="255"/>
      <c r="B175" s="255"/>
      <c r="C175" s="255"/>
      <c r="D175" s="255"/>
      <c r="E175" s="255"/>
      <c r="F175" s="255"/>
      <c r="G175" s="255"/>
      <c r="H175" s="267"/>
    </row>
    <row r="176" spans="1:8">
      <c r="A176" s="255"/>
      <c r="B176" s="255"/>
      <c r="C176" s="255"/>
      <c r="D176" s="255"/>
      <c r="E176" s="255"/>
      <c r="F176" s="255"/>
      <c r="G176" s="255"/>
      <c r="H176" s="267"/>
    </row>
    <row r="177" spans="1:8">
      <c r="A177" s="255"/>
      <c r="B177" s="255"/>
      <c r="C177" s="255"/>
      <c r="D177" s="255"/>
      <c r="E177" s="255"/>
      <c r="F177" s="255"/>
      <c r="G177" s="255"/>
      <c r="H177" s="267"/>
    </row>
    <row r="178" spans="1:8">
      <c r="A178" s="255"/>
      <c r="B178" s="255"/>
      <c r="C178" s="255"/>
      <c r="D178" s="255"/>
      <c r="E178" s="255"/>
      <c r="F178" s="255"/>
      <c r="G178" s="255"/>
      <c r="H178" s="267"/>
    </row>
    <row r="179" spans="1:8">
      <c r="A179" s="255"/>
      <c r="B179" s="255"/>
      <c r="C179" s="255"/>
      <c r="D179" s="255"/>
      <c r="E179" s="255"/>
      <c r="F179" s="255"/>
      <c r="G179" s="255"/>
      <c r="H179" s="267"/>
    </row>
    <row r="180" spans="1:8">
      <c r="A180" s="255"/>
      <c r="B180" s="255"/>
      <c r="C180" s="255"/>
      <c r="D180" s="255"/>
      <c r="E180" s="255"/>
      <c r="F180" s="255"/>
      <c r="G180" s="255"/>
      <c r="H180" s="267"/>
    </row>
    <row r="181" spans="1:8">
      <c r="A181" s="255"/>
      <c r="B181" s="255"/>
      <c r="C181" s="255"/>
      <c r="D181" s="255"/>
      <c r="E181" s="255"/>
      <c r="F181" s="255"/>
      <c r="G181" s="255"/>
      <c r="H181" s="267"/>
    </row>
    <row r="182" spans="1:8">
      <c r="A182" s="255"/>
      <c r="B182" s="255"/>
      <c r="C182" s="255"/>
      <c r="D182" s="255"/>
      <c r="E182" s="255"/>
      <c r="F182" s="255"/>
      <c r="G182" s="255"/>
      <c r="H182" s="267"/>
    </row>
    <row r="183" spans="1:8">
      <c r="A183" s="255"/>
      <c r="B183" s="255"/>
      <c r="C183" s="255"/>
      <c r="D183" s="255"/>
      <c r="E183" s="255"/>
      <c r="F183" s="255"/>
      <c r="G183" s="255"/>
      <c r="H183" s="267"/>
    </row>
    <row r="184" spans="1:8">
      <c r="A184" s="255"/>
      <c r="B184" s="255"/>
      <c r="C184" s="255"/>
      <c r="D184" s="255"/>
      <c r="E184" s="255"/>
      <c r="F184" s="255"/>
      <c r="G184" s="255"/>
      <c r="H184" s="267"/>
    </row>
    <row r="185" spans="1:8">
      <c r="A185" s="255"/>
      <c r="B185" s="255"/>
      <c r="C185" s="255"/>
      <c r="D185" s="255"/>
      <c r="E185" s="255"/>
      <c r="F185" s="255"/>
      <c r="G185" s="255"/>
      <c r="H185" s="267"/>
    </row>
    <row r="186" spans="1:8">
      <c r="A186" s="255"/>
      <c r="B186" s="255"/>
      <c r="C186" s="255"/>
      <c r="D186" s="255"/>
      <c r="E186" s="255"/>
      <c r="F186" s="255"/>
      <c r="G186" s="255"/>
      <c r="H186" s="267"/>
    </row>
    <row r="187" spans="1:8">
      <c r="A187" s="255"/>
      <c r="B187" s="255"/>
      <c r="C187" s="255"/>
      <c r="D187" s="255"/>
      <c r="E187" s="255"/>
      <c r="F187" s="255"/>
      <c r="G187" s="255"/>
      <c r="H187" s="267"/>
    </row>
    <row r="188" spans="1:8">
      <c r="A188" s="255"/>
      <c r="B188" s="255"/>
      <c r="C188" s="255"/>
      <c r="D188" s="255"/>
      <c r="E188" s="255"/>
      <c r="F188" s="255"/>
      <c r="G188" s="255"/>
      <c r="H188" s="267"/>
    </row>
    <row r="189" spans="1:8">
      <c r="A189" s="255"/>
      <c r="B189" s="255"/>
      <c r="C189" s="255"/>
      <c r="D189" s="255"/>
      <c r="E189" s="255"/>
      <c r="F189" s="255"/>
      <c r="G189" s="255"/>
      <c r="H189" s="267"/>
    </row>
    <row r="190" spans="1:8">
      <c r="A190" s="255"/>
      <c r="B190" s="255"/>
      <c r="C190" s="255"/>
      <c r="D190" s="255"/>
      <c r="E190" s="255"/>
      <c r="F190" s="255"/>
      <c r="G190" s="255"/>
      <c r="H190" s="267"/>
    </row>
    <row r="191" spans="1:8">
      <c r="A191" s="255"/>
      <c r="B191" s="255"/>
      <c r="C191" s="255"/>
      <c r="D191" s="255"/>
      <c r="E191" s="255"/>
      <c r="F191" s="255"/>
      <c r="G191" s="255"/>
      <c r="H191" s="267"/>
    </row>
    <row r="192" spans="1:8">
      <c r="A192" s="255"/>
      <c r="B192" s="255"/>
      <c r="C192" s="255"/>
      <c r="D192" s="255"/>
      <c r="E192" s="255"/>
      <c r="F192" s="255"/>
      <c r="G192" s="255"/>
      <c r="H192" s="267"/>
    </row>
    <row r="193" spans="1:8">
      <c r="A193" s="255"/>
      <c r="B193" s="255"/>
      <c r="C193" s="255"/>
      <c r="D193" s="255"/>
      <c r="E193" s="255"/>
      <c r="F193" s="255"/>
      <c r="G193" s="255"/>
      <c r="H193" s="267"/>
    </row>
    <row r="194" spans="1:8">
      <c r="A194" s="255"/>
      <c r="B194" s="255"/>
      <c r="C194" s="255"/>
      <c r="D194" s="255"/>
      <c r="E194" s="255"/>
      <c r="F194" s="255"/>
      <c r="G194" s="255"/>
      <c r="H194" s="267"/>
    </row>
    <row r="195" spans="1:8">
      <c r="A195" s="255"/>
      <c r="B195" s="255"/>
      <c r="C195" s="255"/>
      <c r="D195" s="255"/>
      <c r="E195" s="255"/>
      <c r="F195" s="255"/>
      <c r="G195" s="255"/>
      <c r="H195" s="267"/>
    </row>
    <row r="196" spans="1:8">
      <c r="A196" s="255"/>
      <c r="B196" s="255"/>
      <c r="C196" s="255"/>
      <c r="D196" s="255"/>
      <c r="E196" s="255"/>
      <c r="F196" s="255"/>
      <c r="G196" s="255"/>
      <c r="H196" s="267"/>
    </row>
    <row r="197" spans="1:8">
      <c r="A197" s="255"/>
      <c r="B197" s="255"/>
      <c r="C197" s="255"/>
      <c r="D197" s="255"/>
      <c r="E197" s="255"/>
      <c r="F197" s="255"/>
      <c r="G197" s="255"/>
      <c r="H197" s="267"/>
    </row>
    <row r="198" spans="1:8">
      <c r="A198" s="255"/>
      <c r="B198" s="255"/>
      <c r="C198" s="255"/>
      <c r="D198" s="255"/>
      <c r="E198" s="255"/>
      <c r="F198" s="255"/>
      <c r="G198" s="255"/>
      <c r="H198" s="267"/>
    </row>
    <row r="199" spans="1:8">
      <c r="A199" s="255"/>
      <c r="B199" s="255"/>
      <c r="C199" s="255"/>
      <c r="D199" s="255"/>
      <c r="E199" s="255"/>
      <c r="F199" s="255"/>
      <c r="G199" s="255"/>
      <c r="H199" s="267"/>
    </row>
    <row r="200" spans="1:8">
      <c r="A200" s="255"/>
      <c r="B200" s="255"/>
      <c r="C200" s="255"/>
      <c r="D200" s="255"/>
      <c r="E200" s="255"/>
      <c r="F200" s="255"/>
      <c r="G200" s="255"/>
      <c r="H200" s="267"/>
    </row>
    <row r="201" spans="1:8">
      <c r="A201" s="255"/>
      <c r="B201" s="255"/>
      <c r="C201" s="255"/>
      <c r="D201" s="255"/>
      <c r="E201" s="255"/>
      <c r="F201" s="255"/>
      <c r="G201" s="255"/>
      <c r="H201" s="267"/>
    </row>
    <row r="202" spans="1:8">
      <c r="A202" s="255"/>
      <c r="B202" s="255"/>
      <c r="C202" s="255"/>
      <c r="D202" s="255"/>
      <c r="E202" s="255"/>
      <c r="F202" s="255"/>
      <c r="G202" s="255"/>
      <c r="H202" s="267"/>
    </row>
    <row r="203" spans="1:8">
      <c r="A203" s="255"/>
      <c r="B203" s="255"/>
      <c r="C203" s="255"/>
      <c r="D203" s="255"/>
      <c r="E203" s="255"/>
      <c r="F203" s="255"/>
      <c r="G203" s="255"/>
      <c r="H203" s="267"/>
    </row>
    <row r="204" spans="1:8">
      <c r="A204" s="255"/>
      <c r="B204" s="255"/>
      <c r="C204" s="255"/>
      <c r="D204" s="255"/>
      <c r="E204" s="255"/>
      <c r="F204" s="255"/>
      <c r="G204" s="255"/>
      <c r="H204" s="267"/>
    </row>
    <row r="205" spans="1:8">
      <c r="A205" s="255"/>
      <c r="B205" s="255"/>
      <c r="C205" s="255"/>
      <c r="D205" s="255"/>
      <c r="E205" s="255"/>
      <c r="F205" s="255"/>
      <c r="G205" s="255"/>
      <c r="H205" s="267"/>
    </row>
    <row r="206" spans="1:8">
      <c r="A206" s="255"/>
      <c r="B206" s="255"/>
      <c r="C206" s="255"/>
      <c r="D206" s="255"/>
      <c r="E206" s="255"/>
      <c r="F206" s="255"/>
      <c r="G206" s="255"/>
      <c r="H206" s="267"/>
    </row>
    <row r="207" spans="1:8">
      <c r="A207" s="255"/>
      <c r="B207" s="255"/>
      <c r="C207" s="255"/>
      <c r="D207" s="255"/>
      <c r="E207" s="255"/>
      <c r="F207" s="255"/>
      <c r="G207" s="255"/>
      <c r="H207" s="267"/>
    </row>
    <row r="208" spans="1:8">
      <c r="A208" s="255"/>
      <c r="B208" s="255"/>
      <c r="C208" s="255"/>
      <c r="D208" s="255"/>
      <c r="E208" s="255"/>
      <c r="F208" s="255"/>
      <c r="G208" s="255"/>
      <c r="H208" s="267"/>
    </row>
    <row r="209" spans="1:8">
      <c r="A209" s="255"/>
      <c r="B209" s="255"/>
      <c r="C209" s="255"/>
      <c r="D209" s="255"/>
      <c r="E209" s="255"/>
      <c r="F209" s="255"/>
      <c r="G209" s="255"/>
      <c r="H209" s="267"/>
    </row>
    <row r="210" spans="1:8">
      <c r="A210" s="255"/>
      <c r="B210" s="255"/>
      <c r="C210" s="255"/>
      <c r="D210" s="255"/>
      <c r="E210" s="255"/>
      <c r="F210" s="255"/>
      <c r="G210" s="255"/>
      <c r="H210" s="267"/>
    </row>
    <row r="211" spans="1:8">
      <c r="A211" s="255"/>
      <c r="B211" s="255"/>
      <c r="C211" s="255"/>
      <c r="D211" s="255"/>
      <c r="E211" s="255"/>
      <c r="F211" s="255"/>
      <c r="G211" s="255"/>
      <c r="H211" s="267"/>
    </row>
    <row r="212" spans="1:8">
      <c r="A212" s="255"/>
      <c r="B212" s="255"/>
      <c r="C212" s="255"/>
      <c r="D212" s="255"/>
      <c r="E212" s="255"/>
      <c r="F212" s="255"/>
      <c r="G212" s="255"/>
      <c r="H212" s="267"/>
    </row>
    <row r="213" spans="1:8">
      <c r="A213" s="255"/>
      <c r="B213" s="255"/>
      <c r="C213" s="255"/>
      <c r="D213" s="255"/>
      <c r="E213" s="255"/>
      <c r="F213" s="255"/>
      <c r="G213" s="255"/>
      <c r="H213" s="267"/>
    </row>
    <row r="214" spans="1:8">
      <c r="A214" s="255"/>
      <c r="B214" s="255"/>
      <c r="C214" s="255"/>
      <c r="D214" s="255"/>
      <c r="E214" s="255"/>
      <c r="F214" s="255"/>
      <c r="G214" s="255"/>
      <c r="H214" s="267"/>
    </row>
    <row r="215" spans="1:8">
      <c r="A215" s="255"/>
      <c r="B215" s="255"/>
      <c r="C215" s="255"/>
      <c r="D215" s="255"/>
      <c r="E215" s="255"/>
      <c r="F215" s="255"/>
      <c r="G215" s="255"/>
      <c r="H215" s="267"/>
    </row>
    <row r="216" spans="1:8">
      <c r="A216" s="255"/>
      <c r="B216" s="255"/>
      <c r="C216" s="255"/>
      <c r="D216" s="255"/>
      <c r="E216" s="255"/>
      <c r="F216" s="255"/>
      <c r="G216" s="255"/>
      <c r="H216" s="267"/>
    </row>
    <row r="217" spans="1:8">
      <c r="A217" s="255"/>
      <c r="B217" s="255"/>
      <c r="C217" s="255"/>
      <c r="D217" s="255"/>
      <c r="E217" s="255"/>
      <c r="F217" s="255"/>
      <c r="G217" s="255"/>
      <c r="H217" s="267"/>
    </row>
    <row r="218" spans="1:8">
      <c r="A218" s="255"/>
      <c r="B218" s="255"/>
      <c r="C218" s="255"/>
      <c r="D218" s="255"/>
      <c r="E218" s="255"/>
      <c r="F218" s="255"/>
      <c r="G218" s="255"/>
      <c r="H218" s="267"/>
    </row>
    <row r="219" spans="1:8">
      <c r="A219" s="255"/>
      <c r="B219" s="255"/>
      <c r="C219" s="255"/>
      <c r="D219" s="255"/>
      <c r="E219" s="255"/>
      <c r="F219" s="255"/>
      <c r="G219" s="255"/>
      <c r="H219" s="267"/>
    </row>
    <row r="220" spans="1:8">
      <c r="A220" s="255"/>
      <c r="B220" s="255"/>
      <c r="C220" s="255"/>
      <c r="D220" s="255"/>
      <c r="E220" s="255"/>
      <c r="F220" s="255"/>
      <c r="G220" s="255"/>
      <c r="H220" s="267"/>
    </row>
    <row r="221" spans="1:8">
      <c r="A221" s="255"/>
      <c r="B221" s="255"/>
      <c r="C221" s="255"/>
      <c r="D221" s="255"/>
      <c r="E221" s="255"/>
      <c r="F221" s="255"/>
      <c r="G221" s="255"/>
      <c r="H221" s="267"/>
    </row>
    <row r="222" spans="1:8">
      <c r="A222" s="255"/>
      <c r="B222" s="255"/>
      <c r="C222" s="255"/>
      <c r="D222" s="255"/>
      <c r="E222" s="255"/>
      <c r="F222" s="255"/>
      <c r="G222" s="255"/>
      <c r="H222" s="267"/>
    </row>
    <row r="223" spans="1:8">
      <c r="A223" s="255"/>
      <c r="B223" s="255"/>
      <c r="C223" s="255"/>
      <c r="D223" s="255"/>
      <c r="E223" s="255"/>
      <c r="F223" s="255"/>
      <c r="G223" s="255"/>
      <c r="H223" s="267"/>
    </row>
    <row r="224" spans="1:8">
      <c r="A224" s="255"/>
      <c r="B224" s="255"/>
      <c r="C224" s="255"/>
      <c r="D224" s="255"/>
      <c r="E224" s="255"/>
      <c r="F224" s="255"/>
      <c r="G224" s="255"/>
      <c r="H224" s="267"/>
    </row>
    <row r="225" spans="1:8">
      <c r="A225" s="255"/>
      <c r="B225" s="255"/>
      <c r="C225" s="255"/>
      <c r="D225" s="255"/>
      <c r="E225" s="255"/>
      <c r="F225" s="255"/>
      <c r="G225" s="255"/>
      <c r="H225" s="267"/>
    </row>
    <row r="226" spans="1:8">
      <c r="A226" s="255"/>
      <c r="B226" s="255"/>
      <c r="C226" s="255"/>
      <c r="D226" s="255"/>
      <c r="E226" s="255"/>
      <c r="F226" s="255"/>
      <c r="G226" s="255"/>
      <c r="H226" s="267"/>
    </row>
    <row r="227" spans="1:8">
      <c r="A227" s="255"/>
      <c r="B227" s="255"/>
      <c r="C227" s="255"/>
      <c r="D227" s="255"/>
      <c r="E227" s="255"/>
      <c r="F227" s="255"/>
      <c r="G227" s="255"/>
      <c r="H227" s="267"/>
    </row>
    <row r="228" spans="1:8">
      <c r="A228" s="255"/>
      <c r="B228" s="255"/>
      <c r="C228" s="255"/>
      <c r="D228" s="255"/>
      <c r="E228" s="255"/>
      <c r="F228" s="255"/>
      <c r="G228" s="255"/>
      <c r="H228" s="267"/>
    </row>
    <row r="229" spans="1:8">
      <c r="A229" s="255"/>
      <c r="B229" s="255"/>
      <c r="C229" s="255"/>
      <c r="D229" s="255"/>
      <c r="E229" s="255"/>
      <c r="F229" s="255"/>
      <c r="G229" s="255"/>
      <c r="H229" s="267"/>
    </row>
    <row r="230" spans="1:8">
      <c r="A230" s="255"/>
      <c r="B230" s="255"/>
      <c r="C230" s="255"/>
      <c r="D230" s="255"/>
      <c r="E230" s="255"/>
      <c r="F230" s="255"/>
      <c r="G230" s="255"/>
      <c r="H230" s="267"/>
    </row>
    <row r="231" spans="1:8">
      <c r="A231" s="255"/>
      <c r="B231" s="255"/>
      <c r="C231" s="255"/>
      <c r="D231" s="255"/>
      <c r="E231" s="255"/>
      <c r="F231" s="255"/>
      <c r="G231" s="255"/>
      <c r="H231" s="267"/>
    </row>
    <row r="232" spans="1:8">
      <c r="A232" s="255"/>
      <c r="B232" s="255"/>
      <c r="C232" s="255"/>
      <c r="D232" s="255"/>
      <c r="E232" s="255"/>
      <c r="F232" s="255"/>
      <c r="G232" s="255"/>
      <c r="H232" s="267"/>
    </row>
    <row r="233" spans="1:8">
      <c r="A233" s="255"/>
      <c r="B233" s="255"/>
      <c r="C233" s="255"/>
      <c r="D233" s="255"/>
      <c r="E233" s="255"/>
      <c r="F233" s="255"/>
      <c r="G233" s="255"/>
      <c r="H233" s="267"/>
    </row>
    <row r="234" spans="1:8">
      <c r="A234" s="255"/>
      <c r="B234" s="255"/>
      <c r="C234" s="255"/>
      <c r="D234" s="255"/>
      <c r="E234" s="255"/>
      <c r="F234" s="255"/>
      <c r="G234" s="255"/>
      <c r="H234" s="267"/>
    </row>
    <row r="235" spans="1:8">
      <c r="A235" s="255"/>
      <c r="B235" s="255"/>
      <c r="C235" s="255"/>
      <c r="D235" s="255"/>
      <c r="E235" s="255"/>
      <c r="F235" s="255"/>
      <c r="G235" s="255"/>
      <c r="H235" s="267"/>
    </row>
    <row r="236" spans="1:8">
      <c r="A236" s="255"/>
      <c r="B236" s="255"/>
      <c r="C236" s="255"/>
      <c r="D236" s="255"/>
      <c r="E236" s="255"/>
      <c r="F236" s="255"/>
      <c r="G236" s="255"/>
      <c r="H236" s="267"/>
    </row>
    <row r="237" spans="1:8">
      <c r="A237" s="255"/>
      <c r="B237" s="255"/>
      <c r="C237" s="255"/>
      <c r="D237" s="255"/>
      <c r="E237" s="255"/>
      <c r="F237" s="255"/>
      <c r="G237" s="255"/>
      <c r="H237" s="267"/>
    </row>
    <row r="238" spans="1:8">
      <c r="A238" s="255"/>
      <c r="B238" s="255"/>
      <c r="C238" s="255"/>
      <c r="D238" s="255"/>
      <c r="E238" s="255"/>
      <c r="F238" s="255"/>
      <c r="G238" s="255"/>
      <c r="H238" s="267"/>
    </row>
    <row r="239" spans="1:8">
      <c r="A239" s="255"/>
      <c r="B239" s="255"/>
      <c r="C239" s="255"/>
      <c r="D239" s="255"/>
      <c r="E239" s="255"/>
      <c r="F239" s="255"/>
      <c r="G239" s="255"/>
      <c r="H239" s="267"/>
    </row>
    <row r="240" spans="1:8">
      <c r="A240" s="255"/>
      <c r="B240" s="255"/>
      <c r="C240" s="255"/>
      <c r="D240" s="255"/>
      <c r="E240" s="255"/>
      <c r="F240" s="255"/>
      <c r="G240" s="255"/>
      <c r="H240" s="267"/>
    </row>
    <row r="241" spans="1:8">
      <c r="A241" s="255"/>
      <c r="B241" s="255"/>
      <c r="C241" s="255"/>
      <c r="D241" s="255"/>
      <c r="E241" s="255"/>
      <c r="F241" s="255"/>
      <c r="G241" s="255"/>
      <c r="H241" s="267"/>
    </row>
    <row r="242" spans="1:8">
      <c r="A242" s="255"/>
      <c r="B242" s="255"/>
      <c r="C242" s="255"/>
      <c r="D242" s="255"/>
      <c r="E242" s="255"/>
      <c r="F242" s="255"/>
      <c r="G242" s="255"/>
      <c r="H242" s="267"/>
    </row>
    <row r="243" spans="1:8">
      <c r="A243" s="255"/>
      <c r="B243" s="255"/>
      <c r="C243" s="255"/>
      <c r="D243" s="255"/>
      <c r="E243" s="255"/>
      <c r="F243" s="255"/>
      <c r="G243" s="255"/>
      <c r="H243" s="267"/>
    </row>
    <row r="244" spans="1:8">
      <c r="A244" s="255"/>
      <c r="B244" s="255"/>
      <c r="C244" s="255"/>
      <c r="D244" s="255"/>
      <c r="E244" s="255"/>
      <c r="F244" s="255"/>
      <c r="G244" s="255"/>
      <c r="H244" s="267"/>
    </row>
    <row r="245" spans="1:8">
      <c r="A245" s="255"/>
      <c r="B245" s="255"/>
      <c r="C245" s="255"/>
      <c r="D245" s="255"/>
      <c r="E245" s="255"/>
      <c r="F245" s="255"/>
      <c r="G245" s="255"/>
      <c r="H245" s="267"/>
    </row>
    <row r="246" spans="1:8">
      <c r="A246" s="255"/>
      <c r="B246" s="255"/>
      <c r="C246" s="255"/>
      <c r="D246" s="255"/>
      <c r="E246" s="255"/>
      <c r="F246" s="255"/>
      <c r="G246" s="255"/>
      <c r="H246" s="267"/>
    </row>
    <row r="247" spans="1:8">
      <c r="A247" s="255"/>
      <c r="B247" s="255"/>
      <c r="C247" s="255"/>
      <c r="D247" s="255"/>
      <c r="E247" s="255"/>
      <c r="F247" s="255"/>
      <c r="G247" s="255"/>
      <c r="H247" s="267"/>
    </row>
    <row r="248" spans="1:8">
      <c r="A248" s="255"/>
      <c r="B248" s="255"/>
      <c r="C248" s="255"/>
      <c r="D248" s="255"/>
      <c r="E248" s="255"/>
      <c r="F248" s="255"/>
      <c r="G248" s="255"/>
      <c r="H248" s="267"/>
    </row>
    <row r="249" spans="1:8">
      <c r="A249" s="255"/>
      <c r="B249" s="255"/>
      <c r="C249" s="255"/>
      <c r="D249" s="255"/>
      <c r="E249" s="255"/>
      <c r="F249" s="255"/>
      <c r="G249" s="255"/>
      <c r="H249" s="267"/>
    </row>
    <row r="250" spans="1:8">
      <c r="A250" s="255"/>
      <c r="B250" s="255"/>
      <c r="C250" s="255"/>
      <c r="D250" s="255"/>
      <c r="E250" s="255"/>
      <c r="F250" s="255"/>
      <c r="G250" s="255"/>
      <c r="H250" s="267"/>
    </row>
    <row r="251" spans="1:8">
      <c r="A251" s="255"/>
      <c r="B251" s="255"/>
      <c r="C251" s="255"/>
      <c r="D251" s="255"/>
      <c r="E251" s="255"/>
      <c r="F251" s="255"/>
      <c r="G251" s="255"/>
      <c r="H251" s="267"/>
    </row>
    <row r="252" spans="1:8">
      <c r="A252" s="255"/>
      <c r="B252" s="255"/>
      <c r="C252" s="255"/>
      <c r="D252" s="255"/>
      <c r="E252" s="255"/>
      <c r="F252" s="255"/>
      <c r="G252" s="255"/>
      <c r="H252" s="267"/>
    </row>
    <row r="253" spans="1:8">
      <c r="A253" s="255"/>
      <c r="B253" s="255"/>
      <c r="C253" s="255"/>
      <c r="D253" s="255"/>
      <c r="E253" s="255"/>
      <c r="F253" s="255"/>
      <c r="G253" s="255"/>
      <c r="H253" s="267"/>
    </row>
    <row r="254" spans="1:8">
      <c r="A254" s="255"/>
      <c r="B254" s="255"/>
      <c r="C254" s="255"/>
      <c r="D254" s="255"/>
      <c r="E254" s="255"/>
      <c r="F254" s="255"/>
      <c r="G254" s="255"/>
      <c r="H254" s="267"/>
    </row>
    <row r="255" spans="1:8">
      <c r="A255" s="255"/>
      <c r="B255" s="255"/>
      <c r="C255" s="255"/>
      <c r="D255" s="255"/>
      <c r="E255" s="255"/>
      <c r="F255" s="255"/>
      <c r="G255" s="255"/>
      <c r="H255" s="267"/>
    </row>
    <row r="256" spans="1:8">
      <c r="A256" s="255"/>
      <c r="B256" s="255"/>
      <c r="C256" s="255"/>
      <c r="D256" s="255"/>
      <c r="E256" s="255"/>
      <c r="F256" s="255"/>
      <c r="G256" s="255"/>
      <c r="H256" s="267"/>
    </row>
    <row r="257" spans="1:8">
      <c r="A257" s="255"/>
      <c r="B257" s="255"/>
      <c r="C257" s="255"/>
      <c r="D257" s="255"/>
      <c r="E257" s="255"/>
      <c r="F257" s="255"/>
      <c r="G257" s="255"/>
      <c r="H257" s="267"/>
    </row>
    <row r="258" spans="1:8">
      <c r="A258" s="255"/>
      <c r="B258" s="255"/>
      <c r="C258" s="255"/>
      <c r="D258" s="255"/>
      <c r="E258" s="255"/>
      <c r="F258" s="255"/>
      <c r="G258" s="255"/>
      <c r="H258" s="267"/>
    </row>
    <row r="259" spans="1:8">
      <c r="A259" s="255"/>
      <c r="B259" s="255"/>
      <c r="C259" s="255"/>
      <c r="D259" s="255"/>
      <c r="E259" s="255"/>
      <c r="F259" s="255"/>
      <c r="G259" s="255"/>
      <c r="H259" s="267"/>
    </row>
    <row r="260" spans="1:8">
      <c r="A260" s="255"/>
      <c r="B260" s="255"/>
      <c r="C260" s="255"/>
      <c r="D260" s="255"/>
      <c r="E260" s="255"/>
      <c r="F260" s="255"/>
      <c r="G260" s="255"/>
      <c r="H260" s="267"/>
    </row>
    <row r="261" spans="1:8">
      <c r="A261" s="255"/>
      <c r="B261" s="255"/>
      <c r="C261" s="255"/>
      <c r="D261" s="255"/>
      <c r="E261" s="255"/>
      <c r="F261" s="255"/>
      <c r="G261" s="255"/>
      <c r="H261" s="267"/>
    </row>
    <row r="262" spans="1:8">
      <c r="A262" s="255"/>
      <c r="B262" s="255"/>
      <c r="C262" s="255"/>
      <c r="D262" s="255"/>
      <c r="E262" s="255"/>
      <c r="F262" s="255"/>
      <c r="G262" s="255"/>
      <c r="H262" s="267"/>
    </row>
    <row r="263" spans="1:8">
      <c r="A263" s="255"/>
      <c r="B263" s="255"/>
      <c r="C263" s="255"/>
      <c r="D263" s="255"/>
      <c r="E263" s="255"/>
      <c r="F263" s="255"/>
      <c r="G263" s="255"/>
      <c r="H263" s="267"/>
    </row>
    <row r="264" spans="1:8">
      <c r="A264" s="255"/>
      <c r="B264" s="255"/>
      <c r="C264" s="255"/>
      <c r="D264" s="255"/>
      <c r="E264" s="255"/>
      <c r="F264" s="255"/>
      <c r="G264" s="255"/>
      <c r="H264" s="267"/>
    </row>
    <row r="265" spans="1:8">
      <c r="A265" s="255"/>
      <c r="B265" s="255"/>
      <c r="C265" s="255"/>
      <c r="D265" s="255"/>
      <c r="E265" s="255"/>
      <c r="F265" s="255"/>
      <c r="G265" s="255"/>
      <c r="H265" s="267"/>
    </row>
    <row r="266" spans="1:8">
      <c r="A266" s="255"/>
      <c r="B266" s="255"/>
      <c r="C266" s="255"/>
      <c r="D266" s="255"/>
      <c r="E266" s="255"/>
      <c r="F266" s="255"/>
      <c r="G266" s="255"/>
      <c r="H266" s="267"/>
    </row>
    <row r="267" spans="1:8">
      <c r="A267" s="255"/>
      <c r="B267" s="255"/>
      <c r="C267" s="255"/>
      <c r="D267" s="255"/>
      <c r="E267" s="255"/>
      <c r="F267" s="255"/>
      <c r="G267" s="255"/>
      <c r="H267" s="267"/>
    </row>
    <row r="268" spans="1:8">
      <c r="A268" s="255"/>
      <c r="B268" s="255"/>
      <c r="C268" s="255"/>
      <c r="D268" s="255"/>
      <c r="E268" s="255"/>
      <c r="F268" s="255"/>
      <c r="G268" s="255"/>
      <c r="H268" s="267"/>
    </row>
    <row r="269" spans="1:8">
      <c r="A269" s="255"/>
      <c r="B269" s="255"/>
      <c r="C269" s="255"/>
      <c r="D269" s="255"/>
      <c r="E269" s="255"/>
      <c r="F269" s="255"/>
      <c r="G269" s="255"/>
      <c r="H269" s="267"/>
    </row>
    <row r="270" spans="1:8">
      <c r="A270" s="255"/>
      <c r="B270" s="255"/>
      <c r="C270" s="255"/>
      <c r="D270" s="255"/>
      <c r="E270" s="255"/>
      <c r="F270" s="255"/>
      <c r="G270" s="255"/>
      <c r="H270" s="267"/>
    </row>
    <row r="271" spans="1:8">
      <c r="A271" s="255"/>
      <c r="B271" s="255"/>
      <c r="C271" s="255"/>
      <c r="D271" s="255"/>
      <c r="E271" s="255"/>
      <c r="F271" s="255"/>
      <c r="G271" s="255"/>
      <c r="H271" s="267"/>
    </row>
    <row r="272" spans="1:8">
      <c r="A272" s="255"/>
      <c r="B272" s="255"/>
      <c r="C272" s="255"/>
      <c r="D272" s="255"/>
      <c r="E272" s="255"/>
      <c r="F272" s="255"/>
      <c r="G272" s="255"/>
      <c r="H272" s="267"/>
    </row>
    <row r="273" spans="1:8">
      <c r="A273" s="255"/>
      <c r="B273" s="255"/>
      <c r="C273" s="255"/>
      <c r="D273" s="255"/>
      <c r="E273" s="255"/>
      <c r="F273" s="255"/>
      <c r="G273" s="255"/>
      <c r="H273" s="267"/>
    </row>
    <row r="274" spans="1:8">
      <c r="A274" s="255"/>
      <c r="B274" s="255"/>
      <c r="C274" s="255"/>
      <c r="D274" s="255"/>
      <c r="E274" s="255"/>
      <c r="F274" s="255"/>
      <c r="G274" s="255"/>
      <c r="H274" s="267"/>
    </row>
    <row r="275" spans="1:8">
      <c r="A275" s="255"/>
      <c r="B275" s="255"/>
      <c r="C275" s="255"/>
      <c r="D275" s="255"/>
      <c r="E275" s="255"/>
      <c r="F275" s="255"/>
      <c r="G275" s="255"/>
      <c r="H275" s="267"/>
    </row>
    <row r="276" spans="1:8">
      <c r="A276" s="255"/>
      <c r="B276" s="255"/>
      <c r="C276" s="255"/>
      <c r="D276" s="255"/>
      <c r="E276" s="255"/>
      <c r="F276" s="255"/>
      <c r="G276" s="255"/>
      <c r="H276" s="267"/>
    </row>
    <row r="277" spans="1:8">
      <c r="A277" s="255"/>
      <c r="B277" s="255"/>
      <c r="C277" s="255"/>
      <c r="D277" s="255"/>
      <c r="E277" s="255"/>
      <c r="F277" s="255"/>
      <c r="G277" s="255"/>
      <c r="H277" s="267"/>
    </row>
    <row r="278" spans="1:8">
      <c r="A278" s="255"/>
      <c r="B278" s="255"/>
      <c r="C278" s="255"/>
      <c r="D278" s="255"/>
      <c r="E278" s="255"/>
      <c r="F278" s="255"/>
      <c r="G278" s="255"/>
      <c r="H278" s="267"/>
    </row>
    <row r="279" spans="1:8">
      <c r="A279" s="255"/>
      <c r="B279" s="255"/>
      <c r="C279" s="255"/>
      <c r="D279" s="255"/>
      <c r="E279" s="255"/>
      <c r="F279" s="255"/>
      <c r="G279" s="255"/>
      <c r="H279" s="267"/>
    </row>
    <row r="280" spans="1:8">
      <c r="A280" s="255"/>
      <c r="B280" s="255"/>
      <c r="C280" s="255"/>
      <c r="D280" s="255"/>
      <c r="E280" s="255"/>
      <c r="F280" s="255"/>
      <c r="G280" s="255"/>
      <c r="H280" s="267"/>
    </row>
    <row r="281" spans="1:8">
      <c r="A281" s="255"/>
      <c r="B281" s="255"/>
      <c r="C281" s="255"/>
      <c r="D281" s="255"/>
      <c r="E281" s="255"/>
      <c r="F281" s="255"/>
      <c r="G281" s="255"/>
      <c r="H281" s="267"/>
    </row>
    <row r="282" spans="1:8">
      <c r="A282" s="255"/>
      <c r="B282" s="255"/>
      <c r="C282" s="255"/>
      <c r="D282" s="255"/>
      <c r="E282" s="255"/>
      <c r="F282" s="255"/>
      <c r="G282" s="255"/>
      <c r="H282" s="267"/>
    </row>
    <row r="283" spans="1:8">
      <c r="A283" s="255"/>
      <c r="B283" s="255"/>
      <c r="C283" s="255"/>
      <c r="D283" s="255"/>
      <c r="E283" s="255"/>
      <c r="F283" s="255"/>
      <c r="G283" s="255"/>
      <c r="H283" s="267"/>
    </row>
    <row r="284" spans="1:8">
      <c r="A284" s="255"/>
      <c r="B284" s="255"/>
      <c r="C284" s="255"/>
      <c r="D284" s="255"/>
      <c r="E284" s="255"/>
      <c r="F284" s="255"/>
      <c r="G284" s="255"/>
      <c r="H284" s="267"/>
    </row>
    <row r="285" spans="1:8">
      <c r="A285" s="255"/>
      <c r="B285" s="255"/>
      <c r="C285" s="255"/>
      <c r="D285" s="255"/>
      <c r="E285" s="255"/>
      <c r="F285" s="255"/>
      <c r="G285" s="255"/>
      <c r="H285" s="267"/>
    </row>
    <row r="286" spans="1:8">
      <c r="A286" s="255"/>
      <c r="B286" s="255"/>
      <c r="C286" s="255"/>
      <c r="D286" s="255"/>
      <c r="E286" s="255"/>
      <c r="F286" s="255"/>
      <c r="G286" s="255"/>
      <c r="H286" s="267"/>
    </row>
    <row r="287" spans="1:8">
      <c r="A287" s="255"/>
      <c r="B287" s="255"/>
      <c r="C287" s="255"/>
      <c r="D287" s="255"/>
      <c r="E287" s="255"/>
      <c r="F287" s="255"/>
      <c r="G287" s="255"/>
      <c r="H287" s="267"/>
    </row>
    <row r="288" spans="1:8">
      <c r="A288" s="255"/>
      <c r="B288" s="255"/>
      <c r="C288" s="255"/>
      <c r="D288" s="255"/>
      <c r="E288" s="255"/>
      <c r="F288" s="255"/>
      <c r="G288" s="255"/>
      <c r="H288" s="267"/>
    </row>
    <row r="289" spans="1:8">
      <c r="A289" s="255"/>
      <c r="B289" s="255"/>
      <c r="C289" s="255"/>
      <c r="D289" s="255"/>
      <c r="E289" s="255"/>
      <c r="F289" s="255"/>
      <c r="G289" s="255"/>
      <c r="H289" s="267"/>
    </row>
    <row r="290" spans="1:8">
      <c r="A290" s="255"/>
      <c r="B290" s="255"/>
      <c r="C290" s="255"/>
      <c r="D290" s="255"/>
      <c r="E290" s="255"/>
      <c r="F290" s="255"/>
      <c r="G290" s="255"/>
      <c r="H290" s="267"/>
    </row>
    <row r="291" spans="1:8">
      <c r="A291" s="255"/>
      <c r="B291" s="255"/>
      <c r="C291" s="255"/>
      <c r="D291" s="255"/>
      <c r="E291" s="255"/>
      <c r="F291" s="255"/>
      <c r="G291" s="255"/>
      <c r="H291" s="267"/>
    </row>
    <row r="292" spans="1:8">
      <c r="A292" s="255"/>
      <c r="B292" s="255"/>
      <c r="C292" s="255"/>
      <c r="D292" s="255"/>
      <c r="E292" s="255"/>
      <c r="F292" s="255"/>
      <c r="G292" s="255"/>
      <c r="H292" s="267"/>
    </row>
    <row r="293" spans="1:8">
      <c r="A293" s="255"/>
      <c r="B293" s="255"/>
      <c r="C293" s="255"/>
      <c r="D293" s="255"/>
      <c r="E293" s="255"/>
      <c r="F293" s="255"/>
      <c r="G293" s="255"/>
      <c r="H293" s="267"/>
    </row>
    <row r="294" spans="1:8">
      <c r="A294" s="255"/>
      <c r="B294" s="255"/>
      <c r="C294" s="255"/>
      <c r="D294" s="255"/>
      <c r="E294" s="255"/>
      <c r="F294" s="255"/>
      <c r="G294" s="255"/>
      <c r="H294" s="267"/>
    </row>
    <row r="295" spans="1:8">
      <c r="A295" s="255"/>
      <c r="B295" s="255"/>
      <c r="C295" s="255"/>
      <c r="D295" s="255"/>
      <c r="E295" s="255"/>
      <c r="F295" s="255"/>
      <c r="G295" s="255"/>
      <c r="H295" s="267"/>
    </row>
    <row r="296" spans="1:8">
      <c r="A296" s="255"/>
      <c r="B296" s="255"/>
      <c r="C296" s="255"/>
      <c r="D296" s="255"/>
      <c r="E296" s="255"/>
      <c r="F296" s="255"/>
      <c r="G296" s="255"/>
      <c r="H296" s="267"/>
    </row>
    <row r="297" spans="1:8">
      <c r="A297" s="255"/>
      <c r="B297" s="255"/>
      <c r="C297" s="255"/>
      <c r="D297" s="255"/>
      <c r="E297" s="255"/>
      <c r="F297" s="255"/>
      <c r="G297" s="255"/>
      <c r="H297" s="267"/>
    </row>
    <row r="298" spans="1:8">
      <c r="A298" s="255"/>
      <c r="B298" s="255"/>
      <c r="C298" s="255"/>
      <c r="D298" s="255"/>
      <c r="E298" s="255"/>
      <c r="F298" s="255"/>
      <c r="G298" s="255"/>
      <c r="H298" s="267"/>
    </row>
    <row r="299" spans="1:8">
      <c r="A299" s="255"/>
      <c r="B299" s="255"/>
      <c r="C299" s="255"/>
      <c r="D299" s="255"/>
      <c r="E299" s="255"/>
      <c r="F299" s="255"/>
      <c r="G299" s="255"/>
      <c r="H299" s="267"/>
    </row>
    <row r="300" spans="1:8">
      <c r="A300" s="255"/>
      <c r="B300" s="255"/>
      <c r="C300" s="255"/>
      <c r="D300" s="255"/>
      <c r="E300" s="255"/>
      <c r="F300" s="255"/>
      <c r="G300" s="255"/>
      <c r="H300" s="267"/>
    </row>
    <row r="301" spans="1:8">
      <c r="A301" s="255"/>
      <c r="B301" s="255"/>
      <c r="C301" s="255"/>
      <c r="D301" s="255"/>
      <c r="E301" s="255"/>
      <c r="F301" s="255"/>
      <c r="G301" s="255"/>
      <c r="H301" s="267"/>
    </row>
    <row r="302" spans="1:8">
      <c r="A302" s="255"/>
      <c r="B302" s="255"/>
      <c r="C302" s="255"/>
      <c r="D302" s="255"/>
      <c r="E302" s="255"/>
      <c r="F302" s="255"/>
      <c r="G302" s="255"/>
      <c r="H302" s="267"/>
    </row>
    <row r="303" spans="1:8">
      <c r="A303" s="255"/>
      <c r="B303" s="255"/>
      <c r="C303" s="255"/>
      <c r="D303" s="255"/>
      <c r="E303" s="255"/>
      <c r="F303" s="255"/>
      <c r="G303" s="255"/>
      <c r="H303" s="267"/>
    </row>
    <row r="304" spans="1:8">
      <c r="A304" s="255"/>
      <c r="B304" s="255"/>
      <c r="C304" s="255"/>
      <c r="D304" s="255"/>
      <c r="E304" s="255"/>
      <c r="F304" s="255"/>
      <c r="G304" s="255"/>
      <c r="H304" s="267"/>
    </row>
    <row r="305" spans="1:8">
      <c r="A305" s="255"/>
      <c r="B305" s="255"/>
      <c r="C305" s="255"/>
      <c r="D305" s="255"/>
      <c r="E305" s="255"/>
      <c r="F305" s="255"/>
      <c r="G305" s="255"/>
      <c r="H305" s="267"/>
    </row>
    <row r="306" spans="1:8">
      <c r="A306" s="255"/>
      <c r="B306" s="255"/>
      <c r="C306" s="255"/>
      <c r="D306" s="255"/>
      <c r="E306" s="255"/>
      <c r="F306" s="255"/>
      <c r="G306" s="255"/>
      <c r="H306" s="267"/>
    </row>
    <row r="307" spans="1:8">
      <c r="A307" s="255"/>
      <c r="B307" s="255"/>
      <c r="C307" s="255"/>
      <c r="D307" s="255"/>
      <c r="E307" s="255"/>
      <c r="F307" s="255"/>
      <c r="G307" s="255"/>
      <c r="H307" s="267"/>
    </row>
    <row r="308" spans="1:8">
      <c r="A308" s="255"/>
      <c r="B308" s="255"/>
      <c r="C308" s="255"/>
      <c r="D308" s="255"/>
      <c r="E308" s="255"/>
      <c r="F308" s="255"/>
      <c r="G308" s="255"/>
      <c r="H308" s="267"/>
    </row>
    <row r="309" spans="1:8">
      <c r="A309" s="255"/>
      <c r="B309" s="255"/>
      <c r="C309" s="255"/>
      <c r="D309" s="255"/>
      <c r="E309" s="255"/>
      <c r="F309" s="255"/>
      <c r="G309" s="255"/>
      <c r="H309" s="267"/>
    </row>
    <row r="310" spans="1:8">
      <c r="A310" s="255"/>
      <c r="B310" s="255"/>
      <c r="C310" s="255"/>
      <c r="D310" s="255"/>
      <c r="E310" s="255"/>
      <c r="F310" s="255"/>
      <c r="G310" s="255"/>
      <c r="H310" s="267"/>
    </row>
    <row r="311" spans="1:8">
      <c r="A311" s="255"/>
      <c r="B311" s="255"/>
      <c r="C311" s="255"/>
      <c r="D311" s="255"/>
      <c r="E311" s="255"/>
      <c r="F311" s="255"/>
      <c r="G311" s="255"/>
      <c r="H311" s="267"/>
    </row>
    <row r="312" spans="1:8">
      <c r="A312" s="255"/>
      <c r="B312" s="255"/>
      <c r="C312" s="255"/>
      <c r="D312" s="255"/>
      <c r="E312" s="255"/>
      <c r="F312" s="255"/>
      <c r="G312" s="255"/>
      <c r="H312" s="267"/>
    </row>
    <row r="313" spans="1:8">
      <c r="A313" s="255"/>
      <c r="B313" s="255"/>
      <c r="C313" s="255"/>
      <c r="D313" s="255"/>
      <c r="E313" s="255"/>
      <c r="F313" s="255"/>
      <c r="G313" s="255"/>
      <c r="H313" s="267"/>
    </row>
    <row r="314" spans="1:8">
      <c r="A314" s="255"/>
      <c r="B314" s="255"/>
      <c r="C314" s="255"/>
      <c r="D314" s="255"/>
      <c r="E314" s="255"/>
      <c r="F314" s="255"/>
      <c r="G314" s="255"/>
      <c r="H314" s="267"/>
    </row>
    <row r="315" spans="1:8">
      <c r="A315" s="255"/>
      <c r="B315" s="255"/>
      <c r="C315" s="255"/>
      <c r="D315" s="255"/>
      <c r="E315" s="255"/>
      <c r="F315" s="255"/>
      <c r="G315" s="255"/>
      <c r="H315" s="267"/>
    </row>
    <row r="316" spans="1:8">
      <c r="A316" s="255"/>
      <c r="B316" s="255"/>
      <c r="C316" s="255"/>
      <c r="D316" s="255"/>
      <c r="E316" s="255"/>
      <c r="F316" s="255"/>
      <c r="G316" s="255"/>
      <c r="H316" s="267"/>
    </row>
    <row r="317" spans="1:8">
      <c r="A317" s="255"/>
      <c r="B317" s="255"/>
      <c r="C317" s="255"/>
      <c r="D317" s="255"/>
      <c r="E317" s="255"/>
      <c r="F317" s="255"/>
      <c r="G317" s="255"/>
      <c r="H317" s="267"/>
    </row>
    <row r="318" spans="1:8">
      <c r="A318" s="255"/>
      <c r="B318" s="255"/>
      <c r="C318" s="255"/>
      <c r="D318" s="255"/>
      <c r="E318" s="255"/>
      <c r="F318" s="255"/>
      <c r="G318" s="255"/>
      <c r="H318" s="267"/>
    </row>
    <row r="319" spans="1:8">
      <c r="A319" s="255"/>
      <c r="B319" s="255"/>
      <c r="C319" s="255"/>
      <c r="D319" s="255"/>
      <c r="E319" s="255"/>
      <c r="F319" s="255"/>
      <c r="G319" s="255"/>
      <c r="H319" s="267"/>
    </row>
    <row r="320" spans="1:8">
      <c r="A320" s="255"/>
      <c r="B320" s="255"/>
      <c r="C320" s="255"/>
      <c r="D320" s="255"/>
      <c r="E320" s="255"/>
      <c r="F320" s="255"/>
      <c r="G320" s="255"/>
      <c r="H320" s="267"/>
    </row>
    <row r="321" spans="1:8">
      <c r="A321" s="255"/>
      <c r="B321" s="255"/>
      <c r="C321" s="255"/>
      <c r="D321" s="255"/>
      <c r="E321" s="255"/>
      <c r="F321" s="255"/>
      <c r="G321" s="255"/>
      <c r="H321" s="267"/>
    </row>
    <row r="322" spans="1:8">
      <c r="A322" s="255"/>
      <c r="B322" s="255"/>
      <c r="C322" s="255"/>
      <c r="D322" s="255"/>
      <c r="E322" s="255"/>
      <c r="F322" s="255"/>
      <c r="G322" s="255"/>
      <c r="H322" s="267"/>
    </row>
    <row r="323" spans="1:8">
      <c r="A323" s="255"/>
      <c r="B323" s="255"/>
      <c r="C323" s="255"/>
      <c r="D323" s="255"/>
      <c r="E323" s="255"/>
      <c r="F323" s="255"/>
      <c r="G323" s="255"/>
      <c r="H323" s="267"/>
    </row>
    <row r="324" spans="1:8">
      <c r="A324" s="255"/>
      <c r="B324" s="255"/>
      <c r="C324" s="255"/>
      <c r="D324" s="255"/>
      <c r="E324" s="255"/>
      <c r="F324" s="255"/>
      <c r="G324" s="255"/>
      <c r="H324" s="267"/>
    </row>
    <row r="325" spans="1:8">
      <c r="A325" s="255"/>
      <c r="B325" s="255"/>
      <c r="C325" s="255"/>
      <c r="D325" s="255"/>
      <c r="E325" s="255"/>
      <c r="F325" s="255"/>
      <c r="G325" s="255"/>
      <c r="H325" s="267"/>
    </row>
    <row r="326" spans="1:8">
      <c r="A326" s="255"/>
      <c r="B326" s="255"/>
      <c r="C326" s="255"/>
      <c r="D326" s="255"/>
      <c r="E326" s="255"/>
      <c r="F326" s="255"/>
      <c r="G326" s="255"/>
      <c r="H326" s="267"/>
    </row>
    <row r="327" spans="1:8">
      <c r="A327" s="255"/>
      <c r="B327" s="255"/>
      <c r="C327" s="255"/>
      <c r="D327" s="255"/>
      <c r="E327" s="255"/>
      <c r="F327" s="255"/>
      <c r="G327" s="255"/>
      <c r="H327" s="267"/>
    </row>
    <row r="328" spans="1:8">
      <c r="A328" s="255"/>
      <c r="B328" s="255"/>
      <c r="C328" s="255"/>
      <c r="D328" s="255"/>
      <c r="E328" s="255"/>
      <c r="F328" s="255"/>
      <c r="G328" s="255"/>
      <c r="H328" s="267"/>
    </row>
    <row r="329" spans="1:8">
      <c r="A329" s="255"/>
      <c r="B329" s="255"/>
      <c r="C329" s="255"/>
      <c r="D329" s="255"/>
      <c r="E329" s="255"/>
      <c r="F329" s="255"/>
      <c r="G329" s="255"/>
      <c r="H329" s="267"/>
    </row>
    <row r="330" spans="1:8">
      <c r="A330" s="255"/>
      <c r="B330" s="255"/>
      <c r="C330" s="255"/>
      <c r="D330" s="255"/>
      <c r="E330" s="255"/>
      <c r="F330" s="255"/>
      <c r="G330" s="255"/>
      <c r="H330" s="267"/>
    </row>
    <row r="331" spans="1:8">
      <c r="A331" s="255"/>
      <c r="B331" s="255"/>
      <c r="C331" s="255"/>
      <c r="D331" s="255"/>
      <c r="E331" s="255"/>
      <c r="F331" s="255"/>
      <c r="G331" s="255"/>
      <c r="H331" s="267"/>
    </row>
    <row r="332" spans="1:8">
      <c r="A332" s="255"/>
      <c r="B332" s="255"/>
      <c r="C332" s="255"/>
      <c r="D332" s="255"/>
      <c r="E332" s="255"/>
      <c r="F332" s="255"/>
      <c r="G332" s="255"/>
      <c r="H332" s="267"/>
    </row>
    <row r="333" spans="1:8">
      <c r="A333" s="255"/>
      <c r="B333" s="255"/>
      <c r="C333" s="255"/>
      <c r="D333" s="255"/>
      <c r="E333" s="255"/>
      <c r="F333" s="255"/>
      <c r="G333" s="255"/>
      <c r="H333" s="267"/>
    </row>
    <row r="334" spans="1:8">
      <c r="A334" s="255"/>
      <c r="B334" s="255"/>
      <c r="C334" s="255"/>
      <c r="D334" s="255"/>
      <c r="E334" s="255"/>
      <c r="F334" s="255"/>
      <c r="G334" s="255"/>
      <c r="H334" s="267"/>
    </row>
    <row r="335" spans="1:8">
      <c r="A335" s="255"/>
      <c r="B335" s="255"/>
      <c r="C335" s="255"/>
      <c r="D335" s="255"/>
      <c r="E335" s="255"/>
      <c r="F335" s="255"/>
      <c r="G335" s="255"/>
      <c r="H335" s="267"/>
    </row>
    <row r="336" spans="1:8">
      <c r="A336" s="255"/>
      <c r="B336" s="255"/>
      <c r="C336" s="255"/>
      <c r="D336" s="255"/>
      <c r="E336" s="255"/>
      <c r="F336" s="255"/>
      <c r="G336" s="255"/>
      <c r="H336" s="267"/>
    </row>
    <row r="337" spans="1:8">
      <c r="A337" s="255"/>
      <c r="B337" s="255"/>
      <c r="C337" s="255"/>
      <c r="D337" s="255"/>
      <c r="E337" s="255"/>
      <c r="F337" s="255"/>
      <c r="G337" s="255"/>
      <c r="H337" s="267"/>
    </row>
    <row r="338" spans="1:8">
      <c r="A338" s="255"/>
      <c r="B338" s="255"/>
      <c r="C338" s="255"/>
      <c r="D338" s="255"/>
      <c r="E338" s="255"/>
      <c r="F338" s="255"/>
      <c r="G338" s="255"/>
      <c r="H338" s="267"/>
    </row>
    <row r="339" spans="1:8">
      <c r="A339" s="255"/>
      <c r="B339" s="255"/>
      <c r="C339" s="255"/>
      <c r="D339" s="255"/>
      <c r="E339" s="255"/>
      <c r="F339" s="255"/>
      <c r="G339" s="255"/>
      <c r="H339" s="267"/>
    </row>
    <row r="340" spans="1:8">
      <c r="A340" s="255"/>
      <c r="B340" s="255"/>
      <c r="C340" s="255"/>
      <c r="D340" s="255"/>
      <c r="E340" s="255"/>
      <c r="F340" s="255"/>
      <c r="G340" s="255"/>
      <c r="H340" s="267"/>
    </row>
    <row r="341" spans="1:8">
      <c r="A341" s="255"/>
      <c r="B341" s="255"/>
      <c r="C341" s="255"/>
      <c r="D341" s="255"/>
      <c r="E341" s="255"/>
      <c r="F341" s="255"/>
      <c r="G341" s="255"/>
      <c r="H341" s="267"/>
    </row>
    <row r="342" spans="1:8">
      <c r="A342" s="255"/>
      <c r="B342" s="255"/>
      <c r="C342" s="255"/>
      <c r="D342" s="255"/>
      <c r="E342" s="255"/>
      <c r="F342" s="255"/>
      <c r="G342" s="255"/>
      <c r="H342" s="267"/>
    </row>
    <row r="343" spans="1:8">
      <c r="A343" s="255"/>
      <c r="B343" s="255"/>
      <c r="C343" s="255"/>
      <c r="D343" s="255"/>
      <c r="E343" s="255"/>
      <c r="F343" s="255"/>
      <c r="G343" s="255"/>
      <c r="H343" s="267"/>
    </row>
    <row r="344" spans="1:8">
      <c r="A344" s="255"/>
      <c r="B344" s="255"/>
      <c r="C344" s="255"/>
      <c r="D344" s="255"/>
      <c r="E344" s="255"/>
      <c r="F344" s="255"/>
      <c r="G344" s="255"/>
      <c r="H344" s="267"/>
    </row>
    <row r="345" spans="1:8">
      <c r="A345" s="255"/>
      <c r="B345" s="255"/>
      <c r="C345" s="255"/>
      <c r="D345" s="255"/>
      <c r="E345" s="255"/>
      <c r="F345" s="255"/>
      <c r="G345" s="255"/>
      <c r="H345" s="267"/>
    </row>
    <row r="346" spans="1:8">
      <c r="A346" s="255"/>
      <c r="B346" s="255"/>
      <c r="C346" s="255"/>
      <c r="D346" s="255"/>
      <c r="E346" s="255"/>
      <c r="F346" s="255"/>
      <c r="G346" s="255"/>
      <c r="H346" s="267"/>
    </row>
    <row r="347" spans="1:8">
      <c r="A347" s="255"/>
      <c r="B347" s="255"/>
      <c r="C347" s="255"/>
      <c r="D347" s="255"/>
      <c r="E347" s="255"/>
      <c r="F347" s="255"/>
      <c r="G347" s="255"/>
      <c r="H347" s="267"/>
    </row>
    <row r="348" spans="1:8">
      <c r="A348" s="255"/>
      <c r="B348" s="255"/>
      <c r="C348" s="255"/>
      <c r="D348" s="255"/>
      <c r="E348" s="255"/>
      <c r="F348" s="255"/>
      <c r="G348" s="255"/>
      <c r="H348" s="267"/>
    </row>
    <row r="349" spans="1:8">
      <c r="A349" s="255"/>
      <c r="B349" s="255"/>
      <c r="C349" s="255"/>
      <c r="D349" s="255"/>
      <c r="E349" s="255"/>
      <c r="F349" s="255"/>
      <c r="G349" s="255"/>
      <c r="H349" s="267"/>
    </row>
    <row r="350" spans="1:8">
      <c r="A350" s="255"/>
      <c r="B350" s="255"/>
      <c r="C350" s="255"/>
      <c r="D350" s="255"/>
      <c r="E350" s="255"/>
      <c r="F350" s="255"/>
      <c r="G350" s="255"/>
      <c r="H350" s="267"/>
    </row>
    <row r="351" spans="1:8">
      <c r="A351" s="255"/>
      <c r="B351" s="255"/>
      <c r="C351" s="255"/>
      <c r="D351" s="255"/>
      <c r="E351" s="255"/>
      <c r="F351" s="255"/>
      <c r="G351" s="255"/>
      <c r="H351" s="267"/>
    </row>
    <row r="352" spans="1:8">
      <c r="A352" s="255"/>
      <c r="B352" s="255"/>
      <c r="C352" s="255"/>
      <c r="D352" s="255"/>
      <c r="E352" s="255"/>
      <c r="F352" s="255"/>
      <c r="G352" s="255"/>
      <c r="H352" s="267"/>
    </row>
    <row r="353" spans="1:8">
      <c r="A353" s="255"/>
      <c r="B353" s="255"/>
      <c r="C353" s="255"/>
      <c r="D353" s="255"/>
      <c r="E353" s="255"/>
      <c r="F353" s="255"/>
      <c r="G353" s="255"/>
      <c r="H353" s="267"/>
    </row>
    <row r="354" spans="1:8">
      <c r="A354" s="255"/>
      <c r="B354" s="255"/>
      <c r="C354" s="255"/>
      <c r="D354" s="255"/>
      <c r="E354" s="255"/>
      <c r="F354" s="255"/>
      <c r="G354" s="255"/>
      <c r="H354" s="267"/>
    </row>
    <row r="355" spans="1:8">
      <c r="A355" s="255"/>
      <c r="B355" s="255"/>
      <c r="C355" s="255"/>
      <c r="D355" s="255"/>
      <c r="E355" s="255"/>
      <c r="F355" s="255"/>
      <c r="G355" s="255"/>
      <c r="H355" s="267"/>
    </row>
    <row r="356" spans="1:8">
      <c r="A356" s="255"/>
      <c r="B356" s="255"/>
      <c r="C356" s="255"/>
      <c r="D356" s="255"/>
      <c r="E356" s="255"/>
      <c r="F356" s="255"/>
      <c r="G356" s="255"/>
      <c r="H356" s="267"/>
    </row>
    <row r="357" spans="1:8">
      <c r="A357" s="255"/>
      <c r="B357" s="255"/>
      <c r="C357" s="255"/>
      <c r="D357" s="255"/>
      <c r="E357" s="255"/>
      <c r="F357" s="255"/>
      <c r="G357" s="255"/>
      <c r="H357" s="267"/>
    </row>
    <row r="358" spans="1:8">
      <c r="A358" s="255"/>
      <c r="B358" s="255"/>
      <c r="C358" s="255"/>
      <c r="D358" s="255"/>
      <c r="E358" s="255"/>
      <c r="F358" s="255"/>
      <c r="G358" s="255"/>
      <c r="H358" s="267"/>
    </row>
    <row r="359" spans="1:8">
      <c r="A359" s="255"/>
      <c r="B359" s="255"/>
      <c r="C359" s="255"/>
      <c r="D359" s="255"/>
      <c r="E359" s="255"/>
      <c r="F359" s="255"/>
      <c r="G359" s="255"/>
      <c r="H359" s="267"/>
    </row>
    <row r="360" spans="1:8">
      <c r="A360" s="255"/>
      <c r="B360" s="255"/>
      <c r="C360" s="255"/>
      <c r="D360" s="255"/>
      <c r="E360" s="255"/>
      <c r="F360" s="255"/>
      <c r="G360" s="255"/>
      <c r="H360" s="267"/>
    </row>
    <row r="361" spans="1:8">
      <c r="A361" s="255"/>
      <c r="B361" s="255"/>
      <c r="C361" s="255"/>
      <c r="D361" s="255"/>
      <c r="E361" s="255"/>
      <c r="F361" s="255"/>
      <c r="G361" s="255"/>
      <c r="H361" s="267"/>
    </row>
    <row r="362" spans="1:8">
      <c r="A362" s="255"/>
      <c r="B362" s="255"/>
      <c r="C362" s="255"/>
      <c r="D362" s="255"/>
      <c r="E362" s="255"/>
      <c r="F362" s="255"/>
      <c r="G362" s="255"/>
      <c r="H362" s="267"/>
    </row>
    <row r="363" spans="1:8">
      <c r="A363" s="255"/>
      <c r="B363" s="255"/>
      <c r="C363" s="255"/>
      <c r="D363" s="255"/>
      <c r="E363" s="255"/>
      <c r="F363" s="255"/>
      <c r="G363" s="255"/>
      <c r="H363" s="267"/>
    </row>
    <row r="364" spans="1:8">
      <c r="A364" s="255"/>
      <c r="B364" s="255"/>
      <c r="C364" s="255"/>
      <c r="D364" s="255"/>
      <c r="E364" s="255"/>
      <c r="F364" s="255"/>
      <c r="G364" s="255"/>
      <c r="H364" s="267"/>
    </row>
    <row r="365" spans="1:8">
      <c r="A365" s="255"/>
      <c r="B365" s="255"/>
      <c r="C365" s="255"/>
      <c r="D365" s="255"/>
      <c r="E365" s="255"/>
      <c r="F365" s="255"/>
      <c r="G365" s="255"/>
      <c r="H365" s="267"/>
    </row>
    <row r="366" spans="1:8">
      <c r="A366" s="255"/>
      <c r="B366" s="255"/>
      <c r="C366" s="255"/>
      <c r="D366" s="255"/>
      <c r="E366" s="255"/>
      <c r="F366" s="255"/>
      <c r="G366" s="255"/>
      <c r="H366" s="267"/>
    </row>
    <row r="367" spans="1:8">
      <c r="A367" s="255"/>
      <c r="B367" s="255"/>
      <c r="C367" s="255"/>
      <c r="D367" s="255"/>
      <c r="E367" s="255"/>
      <c r="F367" s="255"/>
      <c r="G367" s="255"/>
      <c r="H367" s="267"/>
    </row>
    <row r="368" spans="1:8">
      <c r="A368" s="255"/>
      <c r="B368" s="255"/>
      <c r="C368" s="255"/>
      <c r="D368" s="255"/>
      <c r="E368" s="255"/>
      <c r="F368" s="255"/>
      <c r="G368" s="255"/>
      <c r="H368" s="267"/>
    </row>
    <row r="369" spans="1:8">
      <c r="A369" s="255"/>
      <c r="B369" s="255"/>
      <c r="C369" s="255"/>
      <c r="D369" s="255"/>
      <c r="E369" s="255"/>
      <c r="F369" s="255"/>
      <c r="G369" s="255"/>
      <c r="H369" s="267"/>
    </row>
    <row r="370" spans="1:8">
      <c r="A370" s="255"/>
      <c r="B370" s="255"/>
      <c r="C370" s="255"/>
      <c r="D370" s="255"/>
      <c r="E370" s="255"/>
      <c r="F370" s="255"/>
      <c r="G370" s="255"/>
      <c r="H370" s="267"/>
    </row>
    <row r="371" spans="1:8">
      <c r="A371" s="255"/>
      <c r="B371" s="255"/>
      <c r="C371" s="255"/>
      <c r="D371" s="255"/>
      <c r="E371" s="255"/>
      <c r="F371" s="255"/>
      <c r="G371" s="255"/>
      <c r="H371" s="267"/>
    </row>
    <row r="372" spans="1:8">
      <c r="A372" s="255"/>
      <c r="B372" s="255"/>
      <c r="C372" s="255"/>
      <c r="D372" s="255"/>
      <c r="E372" s="255"/>
      <c r="F372" s="255"/>
      <c r="G372" s="255"/>
      <c r="H372" s="267"/>
    </row>
    <row r="373" spans="1:8">
      <c r="A373" s="255"/>
      <c r="B373" s="255"/>
      <c r="C373" s="255"/>
      <c r="D373" s="255"/>
      <c r="E373" s="255"/>
      <c r="F373" s="255"/>
      <c r="G373" s="255"/>
      <c r="H373" s="267"/>
    </row>
    <row r="374" spans="1:8">
      <c r="A374" s="255"/>
      <c r="B374" s="255"/>
      <c r="C374" s="255"/>
      <c r="D374" s="255"/>
      <c r="E374" s="255"/>
      <c r="F374" s="255"/>
      <c r="G374" s="255"/>
      <c r="H374" s="267"/>
    </row>
    <row r="375" spans="1:8">
      <c r="A375" s="255"/>
      <c r="B375" s="255"/>
      <c r="C375" s="255"/>
      <c r="D375" s="255"/>
      <c r="E375" s="255"/>
      <c r="F375" s="255"/>
      <c r="G375" s="255"/>
      <c r="H375" s="267"/>
    </row>
    <row r="376" spans="1:8">
      <c r="A376" s="255"/>
      <c r="B376" s="255"/>
      <c r="C376" s="255"/>
      <c r="D376" s="255"/>
      <c r="E376" s="255"/>
      <c r="F376" s="255"/>
      <c r="G376" s="255"/>
      <c r="H376" s="267"/>
    </row>
    <row r="377" spans="1:8">
      <c r="A377" s="255"/>
      <c r="B377" s="255"/>
      <c r="C377" s="255"/>
      <c r="D377" s="255"/>
      <c r="E377" s="255"/>
      <c r="F377" s="255"/>
      <c r="G377" s="255"/>
      <c r="H377" s="267"/>
    </row>
    <row r="378" spans="1:8">
      <c r="A378" s="255"/>
      <c r="B378" s="255"/>
      <c r="C378" s="255"/>
      <c r="D378" s="255"/>
      <c r="E378" s="255"/>
      <c r="F378" s="255"/>
      <c r="G378" s="255"/>
      <c r="H378" s="267"/>
    </row>
    <row r="379" spans="1:8">
      <c r="A379" s="255"/>
      <c r="B379" s="255"/>
      <c r="C379" s="255"/>
      <c r="D379" s="255"/>
      <c r="E379" s="255"/>
      <c r="F379" s="255"/>
      <c r="G379" s="255"/>
      <c r="H379" s="267"/>
    </row>
    <row r="380" spans="1:8">
      <c r="A380" s="255"/>
      <c r="B380" s="255"/>
      <c r="C380" s="255"/>
      <c r="D380" s="255"/>
      <c r="E380" s="255"/>
      <c r="F380" s="255"/>
      <c r="G380" s="255"/>
      <c r="H380" s="267"/>
    </row>
    <row r="381" spans="1:8">
      <c r="A381" s="255"/>
      <c r="B381" s="255"/>
      <c r="C381" s="255"/>
      <c r="D381" s="255"/>
      <c r="E381" s="255"/>
      <c r="F381" s="255"/>
      <c r="G381" s="255"/>
      <c r="H381" s="267"/>
    </row>
    <row r="382" spans="1:8">
      <c r="A382" s="255"/>
      <c r="B382" s="255"/>
      <c r="C382" s="255"/>
      <c r="D382" s="255"/>
      <c r="E382" s="255"/>
      <c r="F382" s="255"/>
      <c r="G382" s="255"/>
      <c r="H382" s="267"/>
    </row>
    <row r="383" spans="1:8">
      <c r="A383" s="255"/>
      <c r="B383" s="255"/>
      <c r="C383" s="255"/>
      <c r="D383" s="255"/>
      <c r="E383" s="255"/>
      <c r="F383" s="255"/>
      <c r="G383" s="255"/>
      <c r="H383" s="267"/>
    </row>
    <row r="384" spans="1:8">
      <c r="A384" s="255"/>
      <c r="B384" s="255"/>
      <c r="C384" s="255"/>
      <c r="D384" s="255"/>
      <c r="E384" s="255"/>
      <c r="F384" s="255"/>
      <c r="G384" s="255"/>
      <c r="H384" s="267"/>
    </row>
    <row r="385" spans="1:8">
      <c r="A385" s="255"/>
      <c r="B385" s="255"/>
      <c r="C385" s="255"/>
      <c r="D385" s="255"/>
      <c r="E385" s="255"/>
      <c r="F385" s="255"/>
      <c r="G385" s="255"/>
      <c r="H385" s="267"/>
    </row>
    <row r="386" spans="1:8">
      <c r="A386" s="255"/>
      <c r="B386" s="255"/>
      <c r="C386" s="255"/>
      <c r="D386" s="255"/>
      <c r="E386" s="255"/>
      <c r="F386" s="255"/>
      <c r="G386" s="255"/>
      <c r="H386" s="267"/>
    </row>
    <row r="387" spans="1:8">
      <c r="A387" s="255"/>
      <c r="B387" s="255"/>
      <c r="C387" s="255"/>
      <c r="D387" s="255"/>
      <c r="E387" s="255"/>
      <c r="F387" s="255"/>
      <c r="G387" s="255"/>
      <c r="H387" s="267"/>
    </row>
    <row r="388" spans="1:8">
      <c r="A388" s="255"/>
      <c r="B388" s="255"/>
      <c r="C388" s="255"/>
      <c r="D388" s="255"/>
      <c r="E388" s="255"/>
      <c r="F388" s="255"/>
      <c r="G388" s="255"/>
      <c r="H388" s="267"/>
    </row>
    <row r="389" spans="1:8">
      <c r="A389" s="255"/>
      <c r="B389" s="255"/>
      <c r="C389" s="255"/>
      <c r="D389" s="255"/>
      <c r="E389" s="255"/>
      <c r="F389" s="255"/>
      <c r="G389" s="255"/>
      <c r="H389" s="267"/>
    </row>
    <row r="390" spans="1:8">
      <c r="A390" s="255"/>
      <c r="B390" s="255"/>
      <c r="C390" s="255"/>
      <c r="D390" s="255"/>
      <c r="E390" s="255"/>
      <c r="F390" s="255"/>
      <c r="G390" s="255"/>
      <c r="H390" s="267"/>
    </row>
    <row r="391" spans="1:8">
      <c r="A391" s="255"/>
      <c r="B391" s="255"/>
      <c r="C391" s="255"/>
      <c r="D391" s="255"/>
      <c r="E391" s="255"/>
      <c r="F391" s="255"/>
      <c r="G391" s="255"/>
      <c r="H391" s="267"/>
    </row>
    <row r="392" spans="1:8">
      <c r="A392" s="255"/>
      <c r="B392" s="255"/>
      <c r="C392" s="255"/>
      <c r="D392" s="255"/>
      <c r="E392" s="255"/>
      <c r="F392" s="255"/>
      <c r="G392" s="255"/>
      <c r="H392" s="267"/>
    </row>
    <row r="393" spans="1:8">
      <c r="A393" s="255"/>
      <c r="B393" s="255"/>
      <c r="C393" s="255"/>
      <c r="D393" s="255"/>
      <c r="E393" s="255"/>
      <c r="F393" s="255"/>
      <c r="G393" s="255"/>
      <c r="H393" s="267"/>
    </row>
    <row r="394" spans="1:8">
      <c r="A394" s="255"/>
      <c r="B394" s="255"/>
      <c r="C394" s="255"/>
      <c r="D394" s="255"/>
      <c r="E394" s="255"/>
      <c r="F394" s="255"/>
      <c r="G394" s="255"/>
      <c r="H394" s="267"/>
    </row>
    <row r="395" spans="1:8">
      <c r="A395" s="255"/>
      <c r="B395" s="255"/>
      <c r="C395" s="255"/>
      <c r="D395" s="255"/>
      <c r="E395" s="255"/>
      <c r="F395" s="255"/>
      <c r="G395" s="255"/>
      <c r="H395" s="267"/>
    </row>
    <row r="396" spans="1:8">
      <c r="A396" s="255"/>
      <c r="B396" s="255"/>
      <c r="C396" s="255"/>
      <c r="D396" s="255"/>
      <c r="E396" s="255"/>
      <c r="F396" s="255"/>
      <c r="G396" s="255"/>
      <c r="H396" s="267"/>
    </row>
    <row r="397" spans="1:8">
      <c r="A397" s="255"/>
      <c r="B397" s="255"/>
      <c r="C397" s="255"/>
      <c r="D397" s="255"/>
      <c r="E397" s="255"/>
      <c r="F397" s="255"/>
      <c r="G397" s="255"/>
      <c r="H397" s="267"/>
    </row>
    <row r="398" spans="1:8">
      <c r="A398" s="255"/>
      <c r="B398" s="255"/>
      <c r="C398" s="255"/>
      <c r="D398" s="255"/>
      <c r="E398" s="255"/>
      <c r="F398" s="255"/>
      <c r="G398" s="255"/>
      <c r="H398" s="267"/>
    </row>
    <row r="399" spans="1:8">
      <c r="A399" s="255"/>
      <c r="B399" s="255"/>
      <c r="C399" s="255"/>
      <c r="D399" s="255"/>
      <c r="E399" s="255"/>
      <c r="F399" s="255"/>
      <c r="G399" s="255"/>
      <c r="H399" s="267"/>
    </row>
    <row r="400" spans="1:8">
      <c r="A400" s="255"/>
      <c r="B400" s="255"/>
      <c r="C400" s="255"/>
      <c r="D400" s="255"/>
      <c r="E400" s="255"/>
      <c r="F400" s="255"/>
      <c r="G400" s="255"/>
      <c r="H400" s="267"/>
    </row>
    <row r="401" spans="1:8">
      <c r="A401" s="255"/>
      <c r="B401" s="255"/>
      <c r="C401" s="255"/>
      <c r="D401" s="255"/>
      <c r="E401" s="255"/>
      <c r="F401" s="255"/>
      <c r="G401" s="255"/>
      <c r="H401" s="267"/>
    </row>
    <row r="402" spans="1:8">
      <c r="A402" s="255"/>
      <c r="B402" s="255"/>
      <c r="C402" s="255"/>
      <c r="D402" s="255"/>
      <c r="E402" s="255"/>
      <c r="F402" s="255"/>
      <c r="G402" s="255"/>
      <c r="H402" s="267"/>
    </row>
    <row r="403" spans="1:8">
      <c r="A403" s="255"/>
      <c r="B403" s="255"/>
      <c r="C403" s="255"/>
      <c r="D403" s="255"/>
      <c r="E403" s="255"/>
      <c r="F403" s="255"/>
      <c r="G403" s="255"/>
      <c r="H403" s="267"/>
    </row>
    <row r="404" spans="1:8">
      <c r="A404" s="255"/>
      <c r="B404" s="255"/>
      <c r="C404" s="255"/>
      <c r="D404" s="255"/>
      <c r="E404" s="255"/>
      <c r="F404" s="255"/>
      <c r="G404" s="255"/>
      <c r="H404" s="267"/>
    </row>
    <row r="405" spans="1:8">
      <c r="A405" s="255"/>
      <c r="B405" s="255"/>
      <c r="C405" s="255"/>
      <c r="D405" s="255"/>
      <c r="E405" s="255"/>
      <c r="F405" s="255"/>
      <c r="G405" s="255"/>
      <c r="H405" s="267"/>
    </row>
    <row r="406" spans="1:8">
      <c r="A406" s="255"/>
      <c r="B406" s="255"/>
      <c r="C406" s="255"/>
      <c r="D406" s="255"/>
      <c r="E406" s="255"/>
      <c r="F406" s="255"/>
      <c r="G406" s="255"/>
      <c r="H406" s="267"/>
    </row>
    <row r="407" spans="1:8">
      <c r="A407" s="255"/>
      <c r="B407" s="255"/>
      <c r="C407" s="255"/>
      <c r="D407" s="255"/>
      <c r="E407" s="255"/>
      <c r="F407" s="255"/>
      <c r="G407" s="255"/>
      <c r="H407" s="267"/>
    </row>
    <row r="408" spans="1:8">
      <c r="A408" s="255"/>
      <c r="B408" s="255"/>
      <c r="C408" s="255"/>
      <c r="D408" s="255"/>
      <c r="E408" s="255"/>
      <c r="F408" s="255"/>
      <c r="G408" s="255"/>
      <c r="H408" s="267"/>
    </row>
  </sheetData>
  <mergeCells count="3">
    <mergeCell ref="B1:H1"/>
    <mergeCell ref="B69:H69"/>
    <mergeCell ref="B77:H7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GE699"/>
  <sheetViews>
    <sheetView topLeftCell="A64" zoomScale="80" zoomScaleNormal="80" workbookViewId="0">
      <selection activeCell="B96" sqref="B96"/>
    </sheetView>
  </sheetViews>
  <sheetFormatPr defaultColWidth="9.42578125" defaultRowHeight="12.75"/>
  <cols>
    <col min="1" max="1" width="9.42578125" style="8" customWidth="1"/>
    <col min="2" max="2" width="25.5703125" style="8" customWidth="1"/>
    <col min="3" max="4" width="12.42578125" style="8" customWidth="1"/>
    <col min="5" max="5" width="16.140625" style="8" hidden="1" customWidth="1"/>
    <col min="6" max="6" width="3.42578125" style="8" customWidth="1"/>
    <col min="7" max="7" width="55.5703125" style="8" bestFit="1" customWidth="1"/>
    <col min="8" max="8" width="3.5703125" style="8" customWidth="1"/>
    <col min="9" max="9" width="22.5703125" style="8" customWidth="1"/>
    <col min="10" max="10" width="12" style="8" customWidth="1"/>
    <col min="11" max="11" width="13.5703125" style="8" customWidth="1"/>
    <col min="12" max="12" width="14.5703125" style="8" customWidth="1"/>
    <col min="13" max="13" width="16.42578125" style="8" customWidth="1"/>
    <col min="14" max="14" width="17.5703125" style="2170" customWidth="1"/>
    <col min="15" max="17" width="9.42578125" style="8"/>
    <col min="18" max="187" width="9.42578125" style="255"/>
    <col min="188" max="16384" width="9.42578125" style="8"/>
  </cols>
  <sheetData>
    <row r="1" spans="1:14" ht="13.5" thickBot="1">
      <c r="A1" s="253"/>
      <c r="B1" s="2554" t="s">
        <v>546</v>
      </c>
      <c r="C1" s="2554"/>
      <c r="D1" s="2554"/>
      <c r="E1" s="2554"/>
      <c r="F1" s="2554"/>
      <c r="G1" s="2554"/>
      <c r="H1" s="253"/>
      <c r="I1" s="2587" t="s">
        <v>382</v>
      </c>
      <c r="J1" s="2587"/>
      <c r="K1" s="2587"/>
      <c r="L1" s="2587"/>
      <c r="M1" s="2587"/>
      <c r="N1" s="944"/>
    </row>
    <row r="2" spans="1:14" ht="13.5" thickBot="1">
      <c r="A2" s="253"/>
      <c r="B2" s="253"/>
      <c r="C2" s="253"/>
      <c r="D2" s="253"/>
      <c r="E2" s="253"/>
      <c r="F2" s="253"/>
      <c r="G2" s="253"/>
      <c r="H2" s="253"/>
      <c r="I2" s="254"/>
      <c r="J2" s="253"/>
      <c r="K2" s="253"/>
      <c r="L2" s="253"/>
      <c r="M2" s="253"/>
      <c r="N2" s="944"/>
    </row>
    <row r="3" spans="1:14">
      <c r="A3" s="253"/>
      <c r="B3" s="138" t="s">
        <v>0</v>
      </c>
      <c r="C3" s="139" t="s">
        <v>1</v>
      </c>
      <c r="D3" s="163" t="s">
        <v>2</v>
      </c>
      <c r="E3" s="253"/>
      <c r="F3" s="253"/>
      <c r="G3" s="253"/>
      <c r="H3" s="253"/>
      <c r="I3" s="254"/>
      <c r="J3" s="253"/>
      <c r="K3" s="253"/>
      <c r="L3" s="253"/>
      <c r="M3" s="253"/>
      <c r="N3" s="944"/>
    </row>
    <row r="4" spans="1:14">
      <c r="A4" s="253"/>
      <c r="B4" s="140" t="s">
        <v>370</v>
      </c>
      <c r="C4" s="141">
        <v>15</v>
      </c>
      <c r="D4" s="164">
        <f>C4*8</f>
        <v>120</v>
      </c>
      <c r="E4" s="253"/>
      <c r="F4" s="253"/>
      <c r="G4" s="38"/>
      <c r="H4" s="253"/>
      <c r="I4" s="253"/>
      <c r="J4" s="253"/>
      <c r="K4" s="253"/>
      <c r="L4" s="253"/>
      <c r="M4" s="253"/>
      <c r="N4" s="944"/>
    </row>
    <row r="5" spans="1:14">
      <c r="A5" s="253"/>
      <c r="B5" s="140" t="s">
        <v>378</v>
      </c>
      <c r="C5" s="141">
        <v>8</v>
      </c>
      <c r="D5" s="164">
        <f>C5*8</f>
        <v>64</v>
      </c>
      <c r="E5" s="253"/>
      <c r="F5" s="253"/>
      <c r="G5" s="39"/>
      <c r="H5" s="253"/>
      <c r="I5" s="253"/>
      <c r="J5" s="253"/>
      <c r="K5" s="253"/>
      <c r="L5" s="253"/>
      <c r="M5" s="253"/>
      <c r="N5" s="944"/>
    </row>
    <row r="6" spans="1:14">
      <c r="A6" s="253"/>
      <c r="B6" s="140" t="s">
        <v>372</v>
      </c>
      <c r="C6" s="141">
        <v>11</v>
      </c>
      <c r="D6" s="164">
        <f>C6*8</f>
        <v>88</v>
      </c>
      <c r="E6" s="253"/>
      <c r="F6" s="253"/>
      <c r="G6" s="39"/>
      <c r="H6" s="253"/>
      <c r="I6" s="253"/>
      <c r="J6" s="253"/>
      <c r="K6" s="253"/>
      <c r="L6" s="253"/>
      <c r="M6" s="253"/>
      <c r="N6" s="944"/>
    </row>
    <row r="7" spans="1:14">
      <c r="A7" s="253"/>
      <c r="B7" s="142" t="s">
        <v>902</v>
      </c>
      <c r="C7" s="141">
        <v>5</v>
      </c>
      <c r="D7" s="165">
        <f>C7*8</f>
        <v>40</v>
      </c>
      <c r="E7" s="253"/>
      <c r="F7" s="253"/>
      <c r="G7" s="39"/>
      <c r="H7" s="253"/>
      <c r="I7" s="253"/>
      <c r="J7" s="253"/>
      <c r="K7" s="253"/>
      <c r="L7" s="253"/>
      <c r="M7" s="253"/>
      <c r="N7" s="944"/>
    </row>
    <row r="8" spans="1:14" ht="13.5" thickBot="1">
      <c r="A8" s="253"/>
      <c r="B8" s="140"/>
      <c r="C8" s="143" t="s">
        <v>3</v>
      </c>
      <c r="D8" s="164">
        <f>SUM(D4:D7)</f>
        <v>312</v>
      </c>
      <c r="E8" s="253"/>
      <c r="F8" s="253"/>
      <c r="G8" s="39"/>
      <c r="H8" s="253"/>
      <c r="I8" s="253"/>
      <c r="J8" s="253"/>
      <c r="K8" s="253"/>
      <c r="L8" s="253"/>
      <c r="M8" s="253"/>
      <c r="N8" s="944"/>
    </row>
    <row r="9" spans="1:14" ht="15.75" customHeight="1" thickBot="1">
      <c r="A9" s="253"/>
      <c r="B9" s="144"/>
      <c r="C9" s="145" t="s">
        <v>4</v>
      </c>
      <c r="D9" s="166">
        <f>D8/(52*40)</f>
        <v>0.15</v>
      </c>
      <c r="E9" s="253"/>
      <c r="F9" s="253"/>
      <c r="G9" s="39"/>
      <c r="H9" s="253"/>
      <c r="I9" s="2588" t="s">
        <v>582</v>
      </c>
      <c r="J9" s="2589"/>
      <c r="K9" s="2589"/>
      <c r="L9" s="2589"/>
      <c r="M9" s="2590"/>
      <c r="N9" s="944"/>
    </row>
    <row r="10" spans="1:14" ht="13.5" thickBot="1">
      <c r="A10" s="253"/>
      <c r="B10" s="253"/>
      <c r="C10" s="253"/>
      <c r="D10" s="253"/>
      <c r="E10" s="253"/>
      <c r="F10" s="253"/>
      <c r="G10" s="40"/>
      <c r="H10" s="253"/>
      <c r="I10" s="146" t="s">
        <v>277</v>
      </c>
      <c r="J10" s="147">
        <v>5</v>
      </c>
      <c r="K10" s="148"/>
      <c r="L10" s="149" t="s">
        <v>133</v>
      </c>
      <c r="M10" s="150">
        <f>J10*365</f>
        <v>1825</v>
      </c>
      <c r="N10" s="944"/>
    </row>
    <row r="11" spans="1:14" ht="25.5">
      <c r="A11" s="253"/>
      <c r="B11" s="42"/>
      <c r="C11" s="154"/>
      <c r="D11" s="154" t="s">
        <v>41</v>
      </c>
      <c r="E11" s="1554" t="s">
        <v>1164</v>
      </c>
      <c r="F11" s="271"/>
      <c r="G11" s="259" t="s">
        <v>278</v>
      </c>
      <c r="H11" s="253"/>
      <c r="I11" s="106"/>
      <c r="J11" s="53"/>
      <c r="K11" s="54" t="s">
        <v>5</v>
      </c>
      <c r="L11" s="54" t="s">
        <v>6</v>
      </c>
      <c r="M11" s="107" t="s">
        <v>7</v>
      </c>
      <c r="N11" s="944"/>
    </row>
    <row r="12" spans="1:14">
      <c r="A12" s="253"/>
      <c r="B12" s="44" t="s">
        <v>29</v>
      </c>
      <c r="C12" s="45"/>
      <c r="D12" s="46"/>
      <c r="E12" s="383"/>
      <c r="F12" s="50"/>
      <c r="G12" s="301"/>
      <c r="H12" s="253"/>
      <c r="I12" s="100" t="str">
        <f t="shared" ref="I12:I18" si="0">B12</f>
        <v>Management</v>
      </c>
      <c r="J12" s="55"/>
      <c r="K12" s="56"/>
      <c r="L12" s="56"/>
      <c r="M12" s="108"/>
      <c r="N12" s="944"/>
    </row>
    <row r="13" spans="1:14">
      <c r="A13" s="253"/>
      <c r="B13" s="2298" t="str">
        <f>'Clin_Int '!B13</f>
        <v xml:space="preserve">Program Functional Oversight </v>
      </c>
      <c r="C13" s="2388"/>
      <c r="D13" s="2389">
        <f>'M2022 BLS SALARY CHART (53_PCT)'!C22</f>
        <v>79415.232000000018</v>
      </c>
      <c r="E13" s="2390">
        <v>92496.84919424048</v>
      </c>
      <c r="F13" s="2391"/>
      <c r="G13" s="2387" t="str">
        <f>'Clin_Int '!G13</f>
        <v>BLS Benchmark M2022 53rd Percentile</v>
      </c>
      <c r="H13" s="253"/>
      <c r="I13" s="104" t="str">
        <f t="shared" si="0"/>
        <v xml:space="preserve">Program Functional Oversight </v>
      </c>
      <c r="J13" s="57"/>
      <c r="K13" s="1003">
        <f>D13</f>
        <v>79415.232000000018</v>
      </c>
      <c r="L13" s="59">
        <f>C41</f>
        <v>0.1</v>
      </c>
      <c r="M13" s="110">
        <f>K13*L13</f>
        <v>7941.5232000000024</v>
      </c>
      <c r="N13" s="944"/>
    </row>
    <row r="14" spans="1:14" ht="25.5">
      <c r="A14" s="253"/>
      <c r="B14" s="48" t="s">
        <v>402</v>
      </c>
      <c r="C14" s="85"/>
      <c r="D14" s="1003">
        <f>'Integrated Team '!E14</f>
        <v>80606.448000000004</v>
      </c>
      <c r="E14" s="636">
        <v>60923</v>
      </c>
      <c r="F14" s="50"/>
      <c r="G14" s="858" t="str">
        <f>'Int_Fire_Safety '!G14</f>
        <v xml:space="preserve">BLS /OES Benchmark M2022 535rd percentile (CW LICSW Level) </v>
      </c>
      <c r="H14" s="253"/>
      <c r="I14" s="104" t="str">
        <f>B14</f>
        <v xml:space="preserve">  Specialty Site Manager</v>
      </c>
      <c r="J14" s="57"/>
      <c r="K14" s="1003">
        <f>D14</f>
        <v>80606.448000000004</v>
      </c>
      <c r="L14" s="59">
        <f>C42</f>
        <v>1</v>
      </c>
      <c r="M14" s="110">
        <f>K14*L14</f>
        <v>80606.448000000004</v>
      </c>
      <c r="N14" s="944"/>
    </row>
    <row r="15" spans="1:14">
      <c r="A15" s="253"/>
      <c r="B15" s="44" t="s">
        <v>30</v>
      </c>
      <c r="C15" s="85"/>
      <c r="D15" s="1003"/>
      <c r="E15" s="636"/>
      <c r="F15" s="50"/>
      <c r="G15" s="275"/>
      <c r="H15" s="253"/>
      <c r="I15" s="100" t="str">
        <f t="shared" si="0"/>
        <v>Medical and Clinical</v>
      </c>
      <c r="J15" s="57"/>
      <c r="K15" s="1003"/>
      <c r="L15" s="59"/>
      <c r="M15" s="110"/>
      <c r="N15" s="944"/>
    </row>
    <row r="16" spans="1:14">
      <c r="A16" s="253"/>
      <c r="B16" s="374" t="s">
        <v>47</v>
      </c>
      <c r="C16" s="381"/>
      <c r="D16" s="1003">
        <f>'Int_Beh FY25'!D17</f>
        <v>80606.448000000004</v>
      </c>
      <c r="E16" s="636">
        <v>60923.199999999997</v>
      </c>
      <c r="F16" s="383"/>
      <c r="G16" s="304" t="s">
        <v>1401</v>
      </c>
      <c r="H16" s="349"/>
      <c r="I16" s="385" t="str">
        <f t="shared" si="0"/>
        <v xml:space="preserve">  LPHA</v>
      </c>
      <c r="J16" s="377"/>
      <c r="K16" s="1003">
        <f>D16</f>
        <v>80606.448000000004</v>
      </c>
      <c r="L16" s="382">
        <f>C44</f>
        <v>1</v>
      </c>
      <c r="M16" s="379">
        <f>K16*L16</f>
        <v>80606.448000000004</v>
      </c>
      <c r="N16" s="944"/>
    </row>
    <row r="17" spans="1:14">
      <c r="A17" s="253"/>
      <c r="B17" s="48" t="s">
        <v>126</v>
      </c>
      <c r="C17" s="85"/>
      <c r="D17" s="1003">
        <f>'Int_Beh FY25'!D18</f>
        <v>65676.416000000012</v>
      </c>
      <c r="E17" s="636">
        <v>57449.599999999999</v>
      </c>
      <c r="F17" s="50"/>
      <c r="G17" s="304" t="s">
        <v>1401</v>
      </c>
      <c r="H17" s="253"/>
      <c r="I17" s="104" t="str">
        <f t="shared" si="0"/>
        <v xml:space="preserve">  LPN</v>
      </c>
      <c r="J17" s="57"/>
      <c r="K17" s="1003">
        <f>D17</f>
        <v>65676.416000000012</v>
      </c>
      <c r="L17" s="59">
        <f>C45</f>
        <v>0.25</v>
      </c>
      <c r="M17" s="110">
        <f>K17*L17</f>
        <v>16419.104000000003</v>
      </c>
      <c r="N17" s="944"/>
    </row>
    <row r="18" spans="1:14">
      <c r="A18" s="253"/>
      <c r="B18" s="44" t="s">
        <v>31</v>
      </c>
      <c r="C18" s="85"/>
      <c r="D18" s="1003"/>
      <c r="E18" s="636"/>
      <c r="F18" s="50"/>
      <c r="G18" s="384"/>
      <c r="H18" s="253"/>
      <c r="I18" s="100" t="str">
        <f t="shared" si="0"/>
        <v>Direct Care</v>
      </c>
      <c r="J18" s="57"/>
      <c r="K18" s="1003"/>
      <c r="L18" s="59"/>
      <c r="M18" s="110"/>
      <c r="N18" s="944"/>
    </row>
    <row r="19" spans="1:14">
      <c r="A19" s="253"/>
      <c r="B19" s="48" t="s">
        <v>875</v>
      </c>
      <c r="C19" s="85"/>
      <c r="D19" s="1003">
        <f>'Int_Beh FY25'!D21</f>
        <v>53206.566400000003</v>
      </c>
      <c r="E19" s="636">
        <v>41516.800000000003</v>
      </c>
      <c r="F19" s="46"/>
      <c r="G19" s="304" t="s">
        <v>1401</v>
      </c>
      <c r="H19" s="253"/>
      <c r="I19" s="104" t="str">
        <f>B19</f>
        <v xml:space="preserve">  Direct Care III</v>
      </c>
      <c r="J19" s="57"/>
      <c r="K19" s="1003">
        <f>D19</f>
        <v>53206.566400000003</v>
      </c>
      <c r="L19" s="59">
        <f>C48</f>
        <v>4.0999999999999996</v>
      </c>
      <c r="M19" s="110">
        <f>K19*L19</f>
        <v>218146.92223999999</v>
      </c>
      <c r="N19" s="944">
        <v>2.5</v>
      </c>
    </row>
    <row r="20" spans="1:14">
      <c r="A20" s="253"/>
      <c r="B20" s="48" t="s">
        <v>1332</v>
      </c>
      <c r="C20" s="85"/>
      <c r="D20" s="1003">
        <f>'Int_Beh FY25'!D22</f>
        <v>41600</v>
      </c>
      <c r="E20" s="636">
        <v>32198.400000000001</v>
      </c>
      <c r="F20" s="46"/>
      <c r="G20" s="304" t="s">
        <v>1401</v>
      </c>
      <c r="H20" s="253"/>
      <c r="I20" s="104" t="str">
        <f>B20</f>
        <v xml:space="preserve">  Direct Care </v>
      </c>
      <c r="J20" s="57"/>
      <c r="K20" s="1003">
        <f>D20</f>
        <v>41600</v>
      </c>
      <c r="L20" s="59">
        <f>C47</f>
        <v>4.0999999999999996</v>
      </c>
      <c r="M20" s="110">
        <f>K20*L20</f>
        <v>170559.99999999997</v>
      </c>
      <c r="N20" s="944">
        <v>5.7</v>
      </c>
    </row>
    <row r="21" spans="1:14">
      <c r="A21" s="253"/>
      <c r="B21" s="48" t="s">
        <v>439</v>
      </c>
      <c r="C21" s="85"/>
      <c r="D21" s="1003">
        <f>'Integrated Team '!E26</f>
        <v>41600</v>
      </c>
      <c r="E21" s="636">
        <v>32198.400000000001</v>
      </c>
      <c r="F21" s="325"/>
      <c r="G21" s="304" t="s">
        <v>1401</v>
      </c>
      <c r="H21" s="253"/>
      <c r="I21" s="104" t="str">
        <f>B21</f>
        <v xml:space="preserve">  Peer &amp; Family Specialist</v>
      </c>
      <c r="J21" s="57"/>
      <c r="K21" s="1003">
        <f>D21</f>
        <v>41600</v>
      </c>
      <c r="L21" s="59">
        <f>C49</f>
        <v>0.2</v>
      </c>
      <c r="M21" s="110">
        <f>K21*L21</f>
        <v>8320</v>
      </c>
      <c r="N21" s="944"/>
    </row>
    <row r="22" spans="1:14">
      <c r="A22" s="253"/>
      <c r="B22" s="48" t="s">
        <v>349</v>
      </c>
      <c r="C22" s="85"/>
      <c r="D22" s="1003">
        <f>'M2022 BLS SALARY CHART (53_PCT)'!C6</f>
        <v>41600</v>
      </c>
      <c r="E22" s="636">
        <v>32198.400000000001</v>
      </c>
      <c r="F22" s="50"/>
      <c r="G22" s="304" t="s">
        <v>1401</v>
      </c>
      <c r="H22" s="253"/>
      <c r="I22" s="104" t="str">
        <f>B22</f>
        <v xml:space="preserve">  Relief</v>
      </c>
      <c r="J22" s="57"/>
      <c r="K22" s="1003">
        <f>D22</f>
        <v>41600</v>
      </c>
      <c r="L22" s="59">
        <f>C50</f>
        <v>1.2599999999999998</v>
      </c>
      <c r="M22" s="110">
        <f>K22*L22</f>
        <v>52415.999999999993</v>
      </c>
      <c r="N22" s="944"/>
    </row>
    <row r="23" spans="1:14">
      <c r="A23" s="253"/>
      <c r="B23" s="48"/>
      <c r="C23" s="45"/>
      <c r="D23" s="46"/>
      <c r="E23" s="45"/>
      <c r="F23" s="45"/>
      <c r="G23" s="301"/>
      <c r="H23" s="253"/>
      <c r="I23" s="114" t="s">
        <v>13</v>
      </c>
      <c r="J23" s="3"/>
      <c r="K23" s="3"/>
      <c r="L23" s="64">
        <f>SUM(L13:L22)</f>
        <v>12.009999999999998</v>
      </c>
      <c r="M23" s="115">
        <f>SUM(M13:M22)</f>
        <v>635016.44543999992</v>
      </c>
      <c r="N23" s="944"/>
    </row>
    <row r="24" spans="1:14">
      <c r="A24" s="253"/>
      <c r="C24" s="45"/>
      <c r="D24" s="82"/>
      <c r="E24" s="45"/>
      <c r="F24" s="45"/>
      <c r="G24" s="372"/>
      <c r="H24" s="253"/>
      <c r="I24" s="104"/>
      <c r="J24" s="72"/>
      <c r="K24" s="72"/>
      <c r="L24" s="72"/>
      <c r="M24" s="116"/>
      <c r="N24" s="944"/>
    </row>
    <row r="25" spans="1:14">
      <c r="A25" s="253"/>
      <c r="B25" s="81"/>
      <c r="C25" s="45"/>
      <c r="D25" s="82" t="s">
        <v>42</v>
      </c>
      <c r="E25" s="45"/>
      <c r="F25" s="45"/>
      <c r="G25" s="373"/>
      <c r="H25" s="253"/>
      <c r="I25" s="100" t="s">
        <v>15</v>
      </c>
      <c r="J25" s="72"/>
      <c r="K25" s="72"/>
      <c r="L25" s="4" t="s">
        <v>16</v>
      </c>
      <c r="M25" s="105"/>
      <c r="N25" s="944"/>
    </row>
    <row r="26" spans="1:14">
      <c r="A26" s="253"/>
      <c r="B26" s="81" t="s">
        <v>434</v>
      </c>
      <c r="C26" s="45"/>
      <c r="D26" s="2021">
        <f>'Integrated Team '!E32</f>
        <v>0.27379999999999999</v>
      </c>
      <c r="F26" s="50"/>
      <c r="G26" s="1880" t="s">
        <v>1403</v>
      </c>
      <c r="H26" s="253"/>
      <c r="I26" s="104" t="str">
        <f>B26</f>
        <v xml:space="preserve">  Tax and Fringe</v>
      </c>
      <c r="J26" s="72"/>
      <c r="K26" s="1811">
        <f>D26</f>
        <v>0.27379999999999999</v>
      </c>
      <c r="L26" s="72"/>
      <c r="M26" s="117">
        <f>K26*M23</f>
        <v>173867.50276147196</v>
      </c>
      <c r="N26" s="944"/>
    </row>
    <row r="27" spans="1:14">
      <c r="A27" s="253"/>
      <c r="B27" s="81"/>
      <c r="C27" s="45"/>
      <c r="D27" s="175"/>
      <c r="E27" s="45"/>
      <c r="F27" s="45"/>
      <c r="G27" s="373"/>
      <c r="H27" s="253"/>
      <c r="I27" s="114" t="s">
        <v>18</v>
      </c>
      <c r="J27" s="3"/>
      <c r="K27" s="3"/>
      <c r="L27" s="63"/>
      <c r="M27" s="118">
        <f>M23+M26</f>
        <v>808883.94820147194</v>
      </c>
      <c r="N27" s="944"/>
    </row>
    <row r="28" spans="1:14">
      <c r="A28" s="253"/>
      <c r="B28" s="2374"/>
      <c r="C28" s="2375"/>
      <c r="D28" s="2376" t="s">
        <v>367</v>
      </c>
      <c r="E28" s="2375"/>
      <c r="F28" s="2375"/>
      <c r="G28" s="2377"/>
      <c r="H28" s="253"/>
      <c r="I28" s="104"/>
      <c r="J28" s="72"/>
      <c r="L28" s="1151"/>
      <c r="M28" s="290"/>
      <c r="N28" s="944"/>
    </row>
    <row r="29" spans="1:14">
      <c r="A29" s="253"/>
      <c r="B29" s="2298" t="str">
        <f>'Clin_Int (FY21)'!B31</f>
        <v xml:space="preserve">  Staff Training</v>
      </c>
      <c r="C29" s="2378"/>
      <c r="D29" s="2379">
        <f ca="1">'Clin_Int '!D32</f>
        <v>192.10807561388694</v>
      </c>
      <c r="E29" s="2380">
        <v>277.77888799999999</v>
      </c>
      <c r="F29" s="2378"/>
      <c r="G29" s="2381" t="s">
        <v>1105</v>
      </c>
      <c r="H29" s="253"/>
      <c r="I29" s="1091" t="str">
        <f>B29</f>
        <v xml:space="preserve">  Staff Training</v>
      </c>
      <c r="J29" s="156"/>
      <c r="K29" s="156"/>
      <c r="L29" s="1151">
        <f ca="1">D29</f>
        <v>192.10807561388694</v>
      </c>
      <c r="M29" s="1098">
        <f ca="1">L29*L23</f>
        <v>2307.2179881227817</v>
      </c>
      <c r="N29" s="944"/>
    </row>
    <row r="30" spans="1:14">
      <c r="A30" s="253"/>
      <c r="B30" s="2382" t="s">
        <v>435</v>
      </c>
      <c r="C30" s="2383"/>
      <c r="D30" s="2384">
        <f>'GLE SIE'!C36</f>
        <v>2.0190812303224459</v>
      </c>
      <c r="E30" s="2380">
        <v>6191.6539525126345</v>
      </c>
      <c r="F30" s="2385"/>
      <c r="G30" s="2381" t="s">
        <v>1306</v>
      </c>
      <c r="H30" s="253"/>
      <c r="I30" s="48" t="str">
        <f>B30</f>
        <v xml:space="preserve">  Transportation</v>
      </c>
      <c r="J30" s="156"/>
      <c r="K30" s="156"/>
      <c r="L30" s="1151">
        <f>D30</f>
        <v>2.0190812303224459</v>
      </c>
      <c r="M30" s="123">
        <v>6192</v>
      </c>
      <c r="N30" s="944"/>
    </row>
    <row r="31" spans="1:14">
      <c r="A31" s="253"/>
      <c r="B31" s="2382" t="s">
        <v>454</v>
      </c>
      <c r="C31" s="2383"/>
      <c r="D31" s="2379">
        <f ca="1">'Integrated Team '!E43</f>
        <v>693.71474143152727</v>
      </c>
      <c r="E31" s="2380">
        <v>642.72053101483573</v>
      </c>
      <c r="F31" s="2383"/>
      <c r="G31" s="2381" t="str">
        <f>Int_Fire_Safety!G33</f>
        <v>Program Supplies &amp; Materials (33E) per FTE.</v>
      </c>
      <c r="H31" s="253"/>
      <c r="I31" s="109" t="str">
        <f>B32</f>
        <v xml:space="preserve">  Meals / Food***</v>
      </c>
      <c r="J31" s="156"/>
      <c r="K31" s="156"/>
      <c r="L31" s="1358">
        <f>D32</f>
        <v>10.004761904761907</v>
      </c>
      <c r="M31" s="123">
        <f>L31*M10</f>
        <v>18258.690476190481</v>
      </c>
      <c r="N31" s="944"/>
    </row>
    <row r="32" spans="1:14">
      <c r="A32" s="253"/>
      <c r="B32" s="2298" t="s">
        <v>792</v>
      </c>
      <c r="C32" s="2378"/>
      <c r="D32" s="2386">
        <f>'GLE SIE'!C33</f>
        <v>10.004761904761907</v>
      </c>
      <c r="E32" s="2380">
        <v>8.16</v>
      </c>
      <c r="F32" s="2378"/>
      <c r="G32" s="2387" t="str">
        <f>'GLE SIE'!H33</f>
        <v>Benchmark: USDA September 2023</v>
      </c>
      <c r="H32" s="253"/>
      <c r="I32" s="81" t="str">
        <f>B31</f>
        <v xml:space="preserve">  Program Supplies &amp; Materials</v>
      </c>
      <c r="J32" s="72"/>
      <c r="K32" s="72"/>
      <c r="L32" s="170">
        <f ca="1">D31</f>
        <v>693.71474143152727</v>
      </c>
      <c r="M32" s="123">
        <f ca="1">L32*$L23</f>
        <v>8331.5140445926409</v>
      </c>
      <c r="N32" s="944"/>
    </row>
    <row r="33" spans="1:16">
      <c r="A33" s="253"/>
      <c r="B33" s="81"/>
      <c r="C33" s="45"/>
      <c r="D33" s="45"/>
      <c r="E33" s="45"/>
      <c r="F33" s="45"/>
      <c r="G33" s="372"/>
      <c r="H33" s="253"/>
      <c r="I33" s="100"/>
      <c r="J33" s="72"/>
      <c r="K33" s="72"/>
      <c r="L33" s="185"/>
      <c r="M33" s="124">
        <f ca="1">SUM(M28:M32)</f>
        <v>35089.422508905904</v>
      </c>
      <c r="N33" s="944"/>
    </row>
    <row r="34" spans="1:16">
      <c r="A34" s="253"/>
      <c r="B34" s="81" t="s">
        <v>437</v>
      </c>
      <c r="C34" s="45"/>
      <c r="D34" s="983">
        <f>'Integrated Team (FY21)'!E46</f>
        <v>0.12</v>
      </c>
      <c r="E34" s="45"/>
      <c r="F34" s="45"/>
      <c r="G34" s="384" t="s">
        <v>1099</v>
      </c>
      <c r="H34" s="253"/>
      <c r="I34" s="104"/>
      <c r="J34" s="72"/>
      <c r="K34" s="72"/>
      <c r="L34" s="66"/>
      <c r="M34" s="950"/>
      <c r="N34" s="944"/>
    </row>
    <row r="35" spans="1:16">
      <c r="A35" s="253"/>
      <c r="B35" s="935"/>
      <c r="C35" s="72"/>
      <c r="D35" s="937"/>
      <c r="E35" s="45"/>
      <c r="F35" s="45"/>
      <c r="G35" s="49"/>
      <c r="H35" s="253"/>
      <c r="I35" s="114" t="s">
        <v>23</v>
      </c>
      <c r="J35" s="3"/>
      <c r="K35" s="3"/>
      <c r="L35" s="3"/>
      <c r="M35" s="126">
        <f ca="1">SUM(M27,M33)</f>
        <v>843973.37071037781</v>
      </c>
      <c r="N35" s="944"/>
    </row>
    <row r="36" spans="1:16">
      <c r="A36" s="253"/>
      <c r="B36" s="81"/>
      <c r="C36" s="45"/>
      <c r="D36" s="389"/>
      <c r="E36" s="389"/>
      <c r="F36" s="389"/>
      <c r="G36" s="1837"/>
      <c r="H36" s="253"/>
      <c r="I36" s="104"/>
      <c r="J36" s="72"/>
      <c r="K36" s="72"/>
      <c r="L36" s="73"/>
      <c r="M36" s="127"/>
      <c r="N36" s="944"/>
    </row>
    <row r="37" spans="1:16">
      <c r="A37" s="253"/>
      <c r="B37" s="889" t="s">
        <v>438</v>
      </c>
      <c r="C37" s="45"/>
      <c r="D37" s="1428">
        <f>'Integrated Team '!E47</f>
        <v>2.5758086673353865E-2</v>
      </c>
      <c r="E37" s="389"/>
      <c r="F37" s="389"/>
      <c r="G37" s="1837" t="s">
        <v>893</v>
      </c>
      <c r="H37" s="253"/>
      <c r="I37" s="104" t="str">
        <f>B34</f>
        <v xml:space="preserve">  Admin. Allocation</v>
      </c>
      <c r="J37" s="72"/>
      <c r="K37" s="1033">
        <f>D34</f>
        <v>0.12</v>
      </c>
      <c r="L37" s="72"/>
      <c r="M37" s="117">
        <f ca="1">K37*M35</f>
        <v>101276.80448524533</v>
      </c>
      <c r="N37" s="944"/>
    </row>
    <row r="38" spans="1:16">
      <c r="A38" s="253"/>
      <c r="B38" s="265"/>
      <c r="C38" s="253"/>
      <c r="D38" s="253"/>
      <c r="E38" s="253"/>
      <c r="F38" s="253"/>
      <c r="G38" s="260"/>
      <c r="H38" s="253"/>
      <c r="I38" s="104"/>
      <c r="J38" s="72"/>
      <c r="K38" s="904"/>
      <c r="L38" s="72"/>
      <c r="M38" s="290"/>
      <c r="N38" s="944"/>
    </row>
    <row r="39" spans="1:16" ht="13.5" thickBot="1">
      <c r="A39" s="253"/>
      <c r="B39" s="394" t="s">
        <v>35</v>
      </c>
      <c r="C39" s="390" t="s">
        <v>424</v>
      </c>
      <c r="D39" s="391" t="s">
        <v>425</v>
      </c>
      <c r="E39" s="409"/>
      <c r="F39" s="253"/>
      <c r="G39" s="260"/>
      <c r="H39" s="253"/>
      <c r="I39" s="129" t="s">
        <v>25</v>
      </c>
      <c r="J39" s="74"/>
      <c r="K39" s="74"/>
      <c r="L39" s="74"/>
      <c r="M39" s="130">
        <f ca="1">SUM(M35:M37)</f>
        <v>945250.17519562319</v>
      </c>
      <c r="N39" s="944"/>
    </row>
    <row r="40" spans="1:16" ht="13.5" thickTop="1">
      <c r="A40" s="253"/>
      <c r="B40" s="344" t="str">
        <f t="shared" ref="B40:B46" si="1">B12</f>
        <v>Management</v>
      </c>
      <c r="C40" s="253"/>
      <c r="D40" s="253"/>
      <c r="E40" s="253"/>
      <c r="F40" s="253"/>
      <c r="G40" s="260"/>
      <c r="H40" s="253"/>
      <c r="I40" s="104"/>
      <c r="J40" s="72"/>
      <c r="K40" s="1033"/>
      <c r="L40" s="72"/>
      <c r="M40" s="105"/>
      <c r="N40" s="944"/>
    </row>
    <row r="41" spans="1:16">
      <c r="A41" s="253"/>
      <c r="B41" s="265" t="str">
        <f t="shared" si="1"/>
        <v xml:space="preserve">Program Functional Oversight </v>
      </c>
      <c r="C41" s="85">
        <v>0.1</v>
      </c>
      <c r="D41" s="85">
        <v>0.1</v>
      </c>
      <c r="E41" s="85"/>
      <c r="F41" s="253"/>
      <c r="G41" s="260"/>
      <c r="H41" s="253"/>
      <c r="I41" s="104" t="str">
        <f>B37</f>
        <v xml:space="preserve">  CAF</v>
      </c>
      <c r="J41" s="72"/>
      <c r="K41" s="1033">
        <f>D37</f>
        <v>2.5758086673353865E-2</v>
      </c>
      <c r="L41" s="72"/>
      <c r="M41" s="132">
        <f ca="1">M39+(M39*K41)-(M23*K41)</f>
        <v>953241.20249566634</v>
      </c>
      <c r="N41" s="944"/>
    </row>
    <row r="42" spans="1:16" ht="13.5" thickBot="1">
      <c r="A42" s="253"/>
      <c r="B42" s="265" t="str">
        <f t="shared" si="1"/>
        <v xml:space="preserve">  Specialty Site Manager</v>
      </c>
      <c r="C42" s="85">
        <v>1</v>
      </c>
      <c r="D42" s="85">
        <v>1</v>
      </c>
      <c r="E42" s="85"/>
      <c r="F42" s="253"/>
      <c r="G42" s="260"/>
      <c r="H42" s="253"/>
      <c r="I42" s="1561"/>
      <c r="J42" s="72"/>
      <c r="L42" s="571"/>
      <c r="M42" s="575"/>
      <c r="N42" s="944"/>
    </row>
    <row r="43" spans="1:16" ht="13.5" thickTop="1">
      <c r="A43" s="45"/>
      <c r="B43" s="344" t="str">
        <f t="shared" si="1"/>
        <v>Medical and Clinical</v>
      </c>
      <c r="C43" s="85"/>
      <c r="D43" s="85"/>
      <c r="E43" s="85"/>
      <c r="F43" s="253"/>
      <c r="G43" s="260"/>
      <c r="H43" s="253"/>
      <c r="I43" s="104"/>
      <c r="J43" s="72"/>
      <c r="K43" s="131"/>
      <c r="L43" s="72"/>
      <c r="M43" s="1560">
        <f ca="1">M41+M42</f>
        <v>953241.20249566634</v>
      </c>
      <c r="N43" s="944"/>
    </row>
    <row r="44" spans="1:16">
      <c r="A44" s="45"/>
      <c r="B44" s="265" t="str">
        <f t="shared" si="1"/>
        <v xml:space="preserve">  LPHA</v>
      </c>
      <c r="C44" s="381">
        <v>1</v>
      </c>
      <c r="D44" s="381">
        <v>1.5</v>
      </c>
      <c r="E44" s="381"/>
      <c r="F44" s="45"/>
      <c r="G44" s="302"/>
      <c r="H44" s="253"/>
      <c r="I44" s="104"/>
      <c r="J44" s="72"/>
      <c r="K44" s="72"/>
      <c r="L44" s="72"/>
      <c r="M44" s="136"/>
      <c r="N44" s="944"/>
    </row>
    <row r="45" spans="1:16">
      <c r="A45" s="45"/>
      <c r="B45" s="265" t="str">
        <f t="shared" si="1"/>
        <v xml:space="preserve">  LPN</v>
      </c>
      <c r="C45" s="85">
        <v>0.25</v>
      </c>
      <c r="D45" s="85">
        <v>0.25</v>
      </c>
      <c r="E45" s="85"/>
      <c r="F45" s="45"/>
      <c r="G45" s="302"/>
      <c r="H45" s="253"/>
      <c r="I45" s="104"/>
      <c r="J45" s="72"/>
      <c r="K45" s="72"/>
      <c r="L45" s="72"/>
      <c r="M45" s="136"/>
      <c r="N45" s="944"/>
    </row>
    <row r="46" spans="1:16" ht="13.5" thickBot="1">
      <c r="A46" s="253"/>
      <c r="B46" s="344" t="str">
        <f t="shared" si="1"/>
        <v>Direct Care</v>
      </c>
      <c r="C46" s="85"/>
      <c r="D46" s="85"/>
      <c r="E46" s="85"/>
      <c r="F46" s="253"/>
      <c r="G46" s="260"/>
      <c r="H46" s="253"/>
      <c r="I46" s="104"/>
      <c r="J46" s="72"/>
      <c r="K46" s="72"/>
      <c r="L46" s="73"/>
      <c r="M46" s="568"/>
      <c r="N46" s="944"/>
    </row>
    <row r="47" spans="1:16" ht="13.5" thickBot="1">
      <c r="A47" s="253"/>
      <c r="B47" s="265" t="str">
        <f>B20</f>
        <v xml:space="preserve">  Direct Care </v>
      </c>
      <c r="C47" s="85">
        <v>4.0999999999999996</v>
      </c>
      <c r="D47" s="85">
        <v>5.25</v>
      </c>
      <c r="E47" s="85"/>
      <c r="F47" s="253"/>
      <c r="G47" s="260"/>
      <c r="H47" s="253"/>
      <c r="I47" s="584" t="s">
        <v>794</v>
      </c>
      <c r="J47" s="358"/>
      <c r="K47" s="359"/>
      <c r="L47" s="360"/>
      <c r="M47" s="1569">
        <f ca="1">M43/M10+3.56</f>
        <v>525.88394657296783</v>
      </c>
      <c r="N47" s="939">
        <f ca="1">M49/M48</f>
        <v>0.2125802913900893</v>
      </c>
      <c r="P47" s="1718"/>
    </row>
    <row r="48" spans="1:16">
      <c r="A48" s="253"/>
      <c r="B48" s="265" t="s">
        <v>875</v>
      </c>
      <c r="C48" s="85">
        <v>4.0999999999999996</v>
      </c>
      <c r="D48" s="85">
        <v>5.25</v>
      </c>
      <c r="E48" s="85"/>
      <c r="F48" s="253"/>
      <c r="G48" s="260"/>
      <c r="H48" s="253"/>
      <c r="I48" s="253"/>
      <c r="J48" s="253"/>
      <c r="K48" s="253"/>
      <c r="L48" s="253" t="s">
        <v>819</v>
      </c>
      <c r="M48" s="253">
        <v>433.69</v>
      </c>
      <c r="N48" s="944"/>
      <c r="P48" s="1719"/>
    </row>
    <row r="49" spans="1:14">
      <c r="A49" s="253"/>
      <c r="B49" s="265" t="str">
        <f>B21</f>
        <v xml:space="preserve">  Peer &amp; Family Specialist</v>
      </c>
      <c r="C49" s="85">
        <v>0.2</v>
      </c>
      <c r="D49" s="85">
        <v>0.2</v>
      </c>
      <c r="E49" s="85"/>
      <c r="F49" s="253"/>
      <c r="G49" s="260"/>
      <c r="H49" s="253"/>
      <c r="I49" s="253"/>
      <c r="J49" s="253"/>
      <c r="K49" s="253"/>
      <c r="L49" s="253"/>
      <c r="M49" s="482">
        <f ca="1">M47-M48</f>
        <v>92.193946572967832</v>
      </c>
      <c r="N49" s="944"/>
    </row>
    <row r="50" spans="1:14" ht="13.5" thickBot="1">
      <c r="A50" s="253"/>
      <c r="B50" s="342" t="str">
        <f>B22</f>
        <v xml:space="preserve">  Relief</v>
      </c>
      <c r="C50" s="393">
        <f>(C47+C48+C49)*D9</f>
        <v>1.2599999999999998</v>
      </c>
      <c r="D50" s="393">
        <f>(D47+D48+D49)*$D$9</f>
        <v>1.6049999999999998</v>
      </c>
      <c r="E50" s="393"/>
      <c r="F50" s="261"/>
      <c r="G50" s="262"/>
      <c r="H50" s="349"/>
      <c r="I50" s="253"/>
      <c r="J50" s="253"/>
      <c r="K50" s="253"/>
      <c r="L50" s="253"/>
      <c r="M50" s="253"/>
      <c r="N50" s="944"/>
    </row>
    <row r="51" spans="1:14" ht="13.5" thickBot="1">
      <c r="A51" s="253"/>
      <c r="B51" s="2610"/>
      <c r="C51" s="2610"/>
      <c r="D51" s="2610"/>
      <c r="E51" s="2610"/>
      <c r="F51" s="2610"/>
      <c r="G51" s="2610"/>
      <c r="H51" s="253"/>
      <c r="I51" s="2588" t="s">
        <v>583</v>
      </c>
      <c r="J51" s="2589"/>
      <c r="K51" s="2589"/>
      <c r="L51" s="2589"/>
      <c r="M51" s="2590"/>
      <c r="N51" s="944"/>
    </row>
    <row r="52" spans="1:14">
      <c r="A52" s="253"/>
      <c r="B52" s="2611"/>
      <c r="C52" s="2611"/>
      <c r="D52" s="2611"/>
      <c r="E52" s="2611"/>
      <c r="F52" s="2611"/>
      <c r="G52" s="2611"/>
      <c r="H52" s="253"/>
      <c r="I52" s="146" t="s">
        <v>277</v>
      </c>
      <c r="J52" s="147">
        <v>8</v>
      </c>
      <c r="K52" s="148"/>
      <c r="L52" s="149" t="s">
        <v>133</v>
      </c>
      <c r="M52" s="150">
        <f>J52*365</f>
        <v>2920</v>
      </c>
      <c r="N52" s="944"/>
    </row>
    <row r="53" spans="1:14">
      <c r="A53" s="253"/>
      <c r="B53" s="253"/>
      <c r="C53" s="253"/>
      <c r="D53" s="253"/>
      <c r="E53" s="253"/>
      <c r="F53" s="253"/>
      <c r="G53" s="253"/>
      <c r="H53" s="253"/>
      <c r="I53" s="106"/>
      <c r="J53" s="53"/>
      <c r="K53" s="54" t="s">
        <v>5</v>
      </c>
      <c r="L53" s="54" t="s">
        <v>6</v>
      </c>
      <c r="M53" s="107" t="s">
        <v>7</v>
      </c>
      <c r="N53" s="944"/>
    </row>
    <row r="54" spans="1:14">
      <c r="A54" s="253"/>
      <c r="B54" s="253"/>
      <c r="C54" s="253"/>
      <c r="D54" s="253"/>
      <c r="E54" s="253"/>
      <c r="F54" s="253"/>
      <c r="G54" s="253"/>
      <c r="H54" s="253"/>
      <c r="I54" s="100" t="str">
        <f t="shared" ref="I54:I60" si="2">B12</f>
        <v>Management</v>
      </c>
      <c r="J54" s="55"/>
      <c r="K54" s="56"/>
      <c r="L54" s="56"/>
      <c r="M54" s="108"/>
      <c r="N54" s="944"/>
    </row>
    <row r="55" spans="1:14">
      <c r="A55" s="253"/>
      <c r="B55" s="253"/>
      <c r="C55" s="253"/>
      <c r="D55" s="253"/>
      <c r="E55" s="253"/>
      <c r="F55" s="253"/>
      <c r="G55" s="253"/>
      <c r="H55" s="253"/>
      <c r="I55" s="104" t="str">
        <f t="shared" si="2"/>
        <v xml:space="preserve">Program Functional Oversight </v>
      </c>
      <c r="J55" s="57"/>
      <c r="K55" s="1003">
        <f>D13</f>
        <v>79415.232000000018</v>
      </c>
      <c r="L55" s="59">
        <f>D41</f>
        <v>0.1</v>
      </c>
      <c r="M55" s="110">
        <f>K55*L55</f>
        <v>7941.5232000000024</v>
      </c>
      <c r="N55" s="944"/>
    </row>
    <row r="56" spans="1:14">
      <c r="A56" s="253"/>
      <c r="B56" s="253"/>
      <c r="C56" s="253"/>
      <c r="D56" s="253"/>
      <c r="E56" s="253"/>
      <c r="F56" s="253"/>
      <c r="G56" s="253"/>
      <c r="H56" s="253"/>
      <c r="I56" s="104" t="str">
        <f t="shared" si="2"/>
        <v xml:space="preserve">  Specialty Site Manager</v>
      </c>
      <c r="J56" s="57"/>
      <c r="K56" s="1003">
        <f>D14</f>
        <v>80606.448000000004</v>
      </c>
      <c r="L56" s="59">
        <f>D42</f>
        <v>1</v>
      </c>
      <c r="M56" s="110">
        <f>K56*L56</f>
        <v>80606.448000000004</v>
      </c>
      <c r="N56" s="944"/>
    </row>
    <row r="57" spans="1:14">
      <c r="A57" s="253"/>
      <c r="B57" s="253"/>
      <c r="C57" s="253"/>
      <c r="D57" s="253"/>
      <c r="E57" s="253"/>
      <c r="F57" s="253"/>
      <c r="G57" s="253"/>
      <c r="H57" s="253"/>
      <c r="I57" s="100" t="str">
        <f t="shared" si="2"/>
        <v>Medical and Clinical</v>
      </c>
      <c r="J57" s="57"/>
      <c r="K57" s="1003"/>
      <c r="L57" s="59"/>
      <c r="M57" s="110"/>
      <c r="N57" s="944"/>
    </row>
    <row r="58" spans="1:14">
      <c r="A58" s="253"/>
      <c r="B58" s="253"/>
      <c r="C58" s="253"/>
      <c r="D58" s="253"/>
      <c r="E58" s="253"/>
      <c r="F58" s="253"/>
      <c r="G58" s="253"/>
      <c r="H58" s="253"/>
      <c r="I58" s="104" t="str">
        <f t="shared" si="2"/>
        <v xml:space="preserve">  LPHA</v>
      </c>
      <c r="J58" s="57"/>
      <c r="K58" s="1003">
        <f>D16</f>
        <v>80606.448000000004</v>
      </c>
      <c r="L58" s="382">
        <f>D44</f>
        <v>1.5</v>
      </c>
      <c r="M58" s="379">
        <f>K58*L58</f>
        <v>120909.67200000001</v>
      </c>
      <c r="N58" s="944"/>
    </row>
    <row r="59" spans="1:14">
      <c r="A59" s="253"/>
      <c r="B59" s="253"/>
      <c r="C59" s="253"/>
      <c r="D59" s="253"/>
      <c r="E59" s="253"/>
      <c r="F59" s="253"/>
      <c r="G59" s="253"/>
      <c r="H59" s="253"/>
      <c r="I59" s="104" t="str">
        <f t="shared" si="2"/>
        <v xml:space="preserve">  LPN</v>
      </c>
      <c r="J59" s="57"/>
      <c r="K59" s="1003">
        <f>D17</f>
        <v>65676.416000000012</v>
      </c>
      <c r="L59" s="59">
        <f>D45</f>
        <v>0.25</v>
      </c>
      <c r="M59" s="110">
        <f>K59*L59</f>
        <v>16419.104000000003</v>
      </c>
      <c r="N59" s="944"/>
    </row>
    <row r="60" spans="1:14">
      <c r="A60" s="253"/>
      <c r="B60" s="253"/>
      <c r="C60" s="253"/>
      <c r="D60" s="253"/>
      <c r="E60" s="253"/>
      <c r="F60" s="253"/>
      <c r="G60" s="253"/>
      <c r="H60" s="253"/>
      <c r="I60" s="100" t="str">
        <f t="shared" si="2"/>
        <v>Direct Care</v>
      </c>
      <c r="J60" s="57"/>
      <c r="K60" s="1003"/>
      <c r="L60" s="59"/>
      <c r="M60" s="110"/>
      <c r="N60" s="944"/>
    </row>
    <row r="61" spans="1:14">
      <c r="A61" s="253"/>
      <c r="B61" s="253"/>
      <c r="C61" s="253"/>
      <c r="D61" s="253"/>
      <c r="E61" s="253"/>
      <c r="F61" s="253"/>
      <c r="G61" s="253"/>
      <c r="H61" s="253"/>
      <c r="I61" s="104" t="str">
        <f>B19</f>
        <v xml:space="preserve">  Direct Care III</v>
      </c>
      <c r="J61" s="57"/>
      <c r="K61" s="1003">
        <f>D19</f>
        <v>53206.566400000003</v>
      </c>
      <c r="L61" s="59">
        <f>D48</f>
        <v>5.25</v>
      </c>
      <c r="M61" s="110">
        <f>K61*L61</f>
        <v>279334.47360000003</v>
      </c>
      <c r="N61" s="944">
        <v>2.75</v>
      </c>
    </row>
    <row r="62" spans="1:14">
      <c r="A62" s="253"/>
      <c r="B62" s="253"/>
      <c r="C62" s="253"/>
      <c r="D62" s="253"/>
      <c r="E62" s="253"/>
      <c r="F62" s="253"/>
      <c r="G62" s="253"/>
      <c r="H62" s="253"/>
      <c r="I62" s="104" t="str">
        <f>B20</f>
        <v xml:space="preserve">  Direct Care </v>
      </c>
      <c r="J62" s="57"/>
      <c r="K62" s="1003">
        <f>D20</f>
        <v>41600</v>
      </c>
      <c r="L62" s="59">
        <f>D47</f>
        <v>5.25</v>
      </c>
      <c r="M62" s="110">
        <f>K62*L62</f>
        <v>218400</v>
      </c>
      <c r="N62" s="944">
        <v>7.75</v>
      </c>
    </row>
    <row r="63" spans="1:14">
      <c r="A63" s="253"/>
      <c r="B63" s="253"/>
      <c r="C63" s="253"/>
      <c r="D63" s="253"/>
      <c r="E63" s="253"/>
      <c r="F63" s="253"/>
      <c r="G63" s="253"/>
      <c r="H63" s="253"/>
      <c r="I63" s="104" t="str">
        <f>B21</f>
        <v xml:space="preserve">  Peer &amp; Family Specialist</v>
      </c>
      <c r="J63" s="57"/>
      <c r="K63" s="1003">
        <f>D21</f>
        <v>41600</v>
      </c>
      <c r="L63" s="59">
        <f>D49</f>
        <v>0.2</v>
      </c>
      <c r="M63" s="110">
        <f>K63*L63</f>
        <v>8320</v>
      </c>
      <c r="N63" s="944"/>
    </row>
    <row r="64" spans="1:14">
      <c r="A64" s="253"/>
      <c r="B64" s="253"/>
      <c r="C64" s="253"/>
      <c r="D64" s="253"/>
      <c r="E64" s="253"/>
      <c r="F64" s="253"/>
      <c r="G64" s="253"/>
      <c r="H64" s="253"/>
      <c r="I64" s="104" t="str">
        <f>B22</f>
        <v xml:space="preserve">  Relief</v>
      </c>
      <c r="J64" s="57"/>
      <c r="K64" s="1003">
        <f>D22</f>
        <v>41600</v>
      </c>
      <c r="L64" s="59">
        <f>D50</f>
        <v>1.6049999999999998</v>
      </c>
      <c r="M64" s="110">
        <f>K64*L64</f>
        <v>66767.999999999985</v>
      </c>
      <c r="N64" s="944"/>
    </row>
    <row r="65" spans="1:17">
      <c r="A65" s="253"/>
      <c r="B65" s="253"/>
      <c r="C65" s="253"/>
      <c r="D65" s="253"/>
      <c r="E65" s="253"/>
      <c r="F65" s="253"/>
      <c r="G65" s="253"/>
      <c r="H65" s="253"/>
      <c r="I65" s="114" t="s">
        <v>13</v>
      </c>
      <c r="J65" s="3"/>
      <c r="K65" s="3"/>
      <c r="L65" s="64">
        <f>SUM(L55:L64)</f>
        <v>15.154999999999999</v>
      </c>
      <c r="M65" s="115">
        <f>SUM(M55:M64)</f>
        <v>798699.22080000001</v>
      </c>
      <c r="N65" s="944"/>
    </row>
    <row r="66" spans="1:17">
      <c r="A66" s="253"/>
      <c r="B66" s="253"/>
      <c r="C66" s="253"/>
      <c r="D66" s="253"/>
      <c r="E66" s="253"/>
      <c r="F66" s="253"/>
      <c r="G66" s="253"/>
      <c r="H66" s="253"/>
      <c r="I66" s="104"/>
      <c r="J66" s="72"/>
      <c r="K66" s="72"/>
      <c r="L66" s="72"/>
      <c r="M66" s="116"/>
      <c r="N66" s="944"/>
    </row>
    <row r="67" spans="1:17">
      <c r="A67" s="253"/>
      <c r="B67" s="253"/>
      <c r="C67" s="253"/>
      <c r="D67" s="253"/>
      <c r="E67" s="253"/>
      <c r="F67" s="253"/>
      <c r="G67" s="253"/>
      <c r="H67" s="253"/>
      <c r="I67" s="100" t="s">
        <v>15</v>
      </c>
      <c r="J67" s="72"/>
      <c r="K67" s="72"/>
      <c r="L67" s="4" t="s">
        <v>16</v>
      </c>
      <c r="M67" s="105"/>
      <c r="N67" s="944"/>
    </row>
    <row r="68" spans="1:17">
      <c r="A68" s="253"/>
      <c r="B68" s="253"/>
      <c r="C68" s="253"/>
      <c r="D68" s="253"/>
      <c r="E68" s="253"/>
      <c r="F68" s="253"/>
      <c r="G68" s="253"/>
      <c r="H68" s="253"/>
      <c r="I68" s="104" t="str">
        <f>B26</f>
        <v xml:space="preserve">  Tax and Fringe</v>
      </c>
      <c r="J68" s="72"/>
      <c r="K68" s="1811">
        <f>D26</f>
        <v>0.27379999999999999</v>
      </c>
      <c r="L68" s="72"/>
      <c r="M68" s="117">
        <f>K68*M65</f>
        <v>218683.84665503999</v>
      </c>
      <c r="N68" s="944"/>
    </row>
    <row r="69" spans="1:17">
      <c r="A69" s="253"/>
      <c r="B69" s="253"/>
      <c r="C69" s="253"/>
      <c r="D69" s="253"/>
      <c r="E69" s="253"/>
      <c r="F69" s="253"/>
      <c r="G69" s="253"/>
      <c r="H69" s="253"/>
      <c r="I69" s="114" t="s">
        <v>18</v>
      </c>
      <c r="J69" s="3"/>
      <c r="K69" s="3"/>
      <c r="L69" s="63"/>
      <c r="M69" s="118">
        <f>M65+M68</f>
        <v>1017383.0674550401</v>
      </c>
      <c r="N69" s="944"/>
    </row>
    <row r="70" spans="1:17">
      <c r="A70" s="253"/>
      <c r="B70" s="253"/>
      <c r="C70" s="253"/>
      <c r="D70" s="253"/>
      <c r="E70" s="253"/>
      <c r="F70" s="253"/>
      <c r="G70" s="253"/>
      <c r="H70" s="253"/>
      <c r="I70" s="104"/>
      <c r="J70" s="4"/>
      <c r="K70" s="4"/>
      <c r="L70" s="937"/>
      <c r="M70" s="290"/>
      <c r="N70" s="944"/>
    </row>
    <row r="71" spans="1:17">
      <c r="A71" s="253"/>
      <c r="B71" s="253"/>
      <c r="C71" s="253"/>
      <c r="D71" s="253"/>
      <c r="E71" s="253"/>
      <c r="F71" s="253"/>
      <c r="G71" s="253"/>
      <c r="H71" s="253"/>
      <c r="I71" s="1091" t="str">
        <f>B29</f>
        <v xml:space="preserve">  Staff Training</v>
      </c>
      <c r="J71" s="156"/>
      <c r="K71" s="156"/>
      <c r="L71" s="1151">
        <f ca="1">D29</f>
        <v>192.10807561388694</v>
      </c>
      <c r="M71" s="1098">
        <f ca="1">L71*L65</f>
        <v>2911.3978859284566</v>
      </c>
      <c r="N71" s="944"/>
    </row>
    <row r="72" spans="1:17">
      <c r="A72" s="253"/>
      <c r="B72" s="253"/>
      <c r="C72" s="253"/>
      <c r="D72" s="253"/>
      <c r="E72" s="253"/>
      <c r="F72" s="253"/>
      <c r="G72" s="253"/>
      <c r="H72" s="253"/>
      <c r="I72" s="48" t="str">
        <f>B30</f>
        <v xml:space="preserve">  Transportation</v>
      </c>
      <c r="J72" s="156"/>
      <c r="K72" s="156"/>
      <c r="L72" s="1151">
        <f>D30</f>
        <v>2.0190812303224459</v>
      </c>
      <c r="M72" s="1025">
        <f>L72*M52</f>
        <v>5895.7171925415423</v>
      </c>
      <c r="N72" s="944"/>
    </row>
    <row r="73" spans="1:17">
      <c r="A73" s="253"/>
      <c r="B73" s="253"/>
      <c r="C73" s="253"/>
      <c r="D73" s="253"/>
      <c r="E73" s="253"/>
      <c r="F73" s="253"/>
      <c r="G73" s="253"/>
      <c r="H73" s="253"/>
      <c r="I73" s="109" t="str">
        <f>B32</f>
        <v xml:space="preserve">  Meals / Food***</v>
      </c>
      <c r="J73" s="156"/>
      <c r="K73" s="156"/>
      <c r="L73" s="1358">
        <f>D32</f>
        <v>10.004761904761907</v>
      </c>
      <c r="M73" s="1025">
        <f>L73*M52</f>
        <v>29213.904761904767</v>
      </c>
      <c r="N73" s="944"/>
    </row>
    <row r="74" spans="1:17">
      <c r="A74" s="253"/>
      <c r="B74" s="253"/>
      <c r="C74" s="253"/>
      <c r="D74" s="253"/>
      <c r="E74" s="253"/>
      <c r="F74" s="253"/>
      <c r="G74" s="253"/>
      <c r="H74" s="253"/>
      <c r="I74" s="81" t="str">
        <f>B31</f>
        <v xml:space="preserve">  Program Supplies &amp; Materials</v>
      </c>
      <c r="J74" s="72"/>
      <c r="K74" s="72"/>
      <c r="L74" s="122">
        <f ca="1">D31</f>
        <v>693.71474143152727</v>
      </c>
      <c r="M74" s="123">
        <f ca="1">L74*$L$65</f>
        <v>10513.246906394796</v>
      </c>
      <c r="N74" s="944"/>
    </row>
    <row r="75" spans="1:17">
      <c r="A75" s="253"/>
      <c r="B75" s="253"/>
      <c r="C75" s="253"/>
      <c r="D75" s="253"/>
      <c r="E75" s="253"/>
      <c r="F75" s="253"/>
      <c r="G75" s="253"/>
      <c r="H75" s="253"/>
      <c r="I75" s="100"/>
      <c r="J75" s="72"/>
      <c r="K75" s="72"/>
      <c r="L75" s="71">
        <f ca="1">SUM(L72:L74)</f>
        <v>705.73858456661162</v>
      </c>
      <c r="M75" s="124">
        <f ca="1">SUM(M70:M74)</f>
        <v>48534.266746769557</v>
      </c>
      <c r="N75" s="944"/>
    </row>
    <row r="76" spans="1:17">
      <c r="A76" s="253"/>
      <c r="B76" s="253"/>
      <c r="C76" s="253"/>
      <c r="D76" s="253"/>
      <c r="E76" s="253"/>
      <c r="F76" s="253"/>
      <c r="G76" s="253"/>
      <c r="H76" s="253"/>
      <c r="I76" s="104"/>
      <c r="J76" s="72"/>
      <c r="K76" s="72"/>
      <c r="L76" s="66"/>
      <c r="M76" s="125"/>
      <c r="N76" s="944"/>
    </row>
    <row r="77" spans="1:17">
      <c r="A77" s="253"/>
      <c r="B77" s="253"/>
      <c r="C77" s="253"/>
      <c r="D77" s="253"/>
      <c r="E77" s="253"/>
      <c r="F77" s="253"/>
      <c r="G77" s="253"/>
      <c r="H77" s="253"/>
      <c r="I77" s="114" t="s">
        <v>23</v>
      </c>
      <c r="J77" s="3"/>
      <c r="K77" s="3"/>
      <c r="L77" s="3"/>
      <c r="M77" s="126">
        <f ca="1">SUM(M69,M75)</f>
        <v>1065917.3342018097</v>
      </c>
      <c r="N77" s="944"/>
    </row>
    <row r="78" spans="1:17">
      <c r="A78" s="253"/>
      <c r="B78" s="253"/>
      <c r="C78" s="253"/>
      <c r="D78" s="253"/>
      <c r="E78" s="253"/>
      <c r="F78" s="253"/>
      <c r="G78" s="253"/>
      <c r="H78" s="253"/>
      <c r="I78" s="104"/>
      <c r="J78" s="72"/>
      <c r="K78" s="72"/>
      <c r="L78" s="73"/>
      <c r="M78" s="127"/>
      <c r="N78" s="944"/>
    </row>
    <row r="79" spans="1:17">
      <c r="A79" s="253"/>
      <c r="B79" s="253"/>
      <c r="C79" s="253"/>
      <c r="D79" s="253"/>
      <c r="E79" s="253"/>
      <c r="F79" s="253"/>
      <c r="G79" s="45"/>
      <c r="H79" s="253"/>
      <c r="I79" s="104" t="str">
        <f>B34</f>
        <v xml:space="preserve">  Admin. Allocation</v>
      </c>
      <c r="J79" s="72"/>
      <c r="K79" s="1033">
        <f>D34</f>
        <v>0.12</v>
      </c>
      <c r="L79" s="72"/>
      <c r="M79" s="123">
        <f ca="1">K79*M77</f>
        <v>127910.08010421717</v>
      </c>
      <c r="N79" s="944"/>
    </row>
    <row r="80" spans="1:17" s="255" customFormat="1">
      <c r="A80" s="253"/>
      <c r="B80" s="253"/>
      <c r="C80" s="253"/>
      <c r="D80" s="253"/>
      <c r="E80" s="253"/>
      <c r="F80" s="253"/>
      <c r="G80" s="45"/>
      <c r="H80" s="253"/>
      <c r="I80" s="104"/>
      <c r="J80" s="72"/>
      <c r="K80" s="156"/>
      <c r="L80" s="72"/>
      <c r="M80" s="128"/>
      <c r="N80" s="944"/>
      <c r="O80" s="8"/>
      <c r="P80" s="8"/>
      <c r="Q80" s="8"/>
    </row>
    <row r="81" spans="1:17" s="255" customFormat="1">
      <c r="A81" s="253"/>
      <c r="B81" s="253"/>
      <c r="C81" s="253"/>
      <c r="D81" s="253"/>
      <c r="E81" s="253"/>
      <c r="F81" s="253"/>
      <c r="G81" s="45"/>
      <c r="H81" s="253"/>
      <c r="I81" s="104"/>
      <c r="J81" s="72"/>
      <c r="K81" s="156"/>
      <c r="L81" s="72"/>
      <c r="M81" s="128"/>
      <c r="N81" s="944"/>
      <c r="O81" s="8"/>
      <c r="P81" s="8"/>
      <c r="Q81" s="8"/>
    </row>
    <row r="82" spans="1:17" s="255" customFormat="1" ht="13.5" thickBot="1">
      <c r="A82" s="253"/>
      <c r="B82" s="253"/>
      <c r="C82" s="253"/>
      <c r="D82" s="253"/>
      <c r="E82" s="253"/>
      <c r="F82" s="253"/>
      <c r="G82" s="45"/>
      <c r="H82" s="253"/>
      <c r="I82" s="129" t="s">
        <v>25</v>
      </c>
      <c r="J82" s="74"/>
      <c r="K82" s="1043"/>
      <c r="L82" s="74"/>
      <c r="M82" s="130">
        <f ca="1">SUM(M77:M79)</f>
        <v>1193827.4143060269</v>
      </c>
      <c r="N82" s="944"/>
      <c r="O82" s="8"/>
      <c r="P82" s="8"/>
      <c r="Q82" s="8"/>
    </row>
    <row r="83" spans="1:17" s="255" customFormat="1" ht="13.5" thickTop="1">
      <c r="A83" s="253"/>
      <c r="B83" s="253"/>
      <c r="C83" s="253"/>
      <c r="D83" s="253"/>
      <c r="E83" s="253"/>
      <c r="F83" s="253"/>
      <c r="G83" s="45"/>
      <c r="H83" s="253"/>
      <c r="I83" s="104"/>
      <c r="J83" s="72"/>
      <c r="K83" s="156"/>
      <c r="L83" s="72"/>
      <c r="M83" s="105"/>
      <c r="N83" s="944"/>
      <c r="O83" s="8"/>
      <c r="P83" s="8"/>
      <c r="Q83" s="8"/>
    </row>
    <row r="84" spans="1:17" s="255" customFormat="1">
      <c r="A84" s="253"/>
      <c r="B84" s="253"/>
      <c r="C84" s="253"/>
      <c r="D84" s="253"/>
      <c r="E84" s="253"/>
      <c r="F84" s="253"/>
      <c r="G84" s="45"/>
      <c r="H84" s="253"/>
      <c r="I84" s="104" t="str">
        <f>I41</f>
        <v xml:space="preserve">  CAF</v>
      </c>
      <c r="J84" s="72"/>
      <c r="K84" s="1033">
        <f>K41</f>
        <v>2.5758086673353865E-2</v>
      </c>
      <c r="L84" s="72"/>
      <c r="M84" s="132">
        <f ca="1">M82+(M82*K84)-(M65*K84)</f>
        <v>1204005.160561441</v>
      </c>
      <c r="N84" s="944"/>
      <c r="O84" s="8"/>
      <c r="P84" s="8"/>
      <c r="Q84" s="8"/>
    </row>
    <row r="85" spans="1:17" s="255" customFormat="1" ht="13.5" thickBot="1">
      <c r="A85" s="253"/>
      <c r="B85" s="253"/>
      <c r="C85" s="253"/>
      <c r="D85" s="253"/>
      <c r="E85" s="253"/>
      <c r="F85" s="253"/>
      <c r="G85" s="45"/>
      <c r="H85" s="253"/>
      <c r="I85" s="570"/>
      <c r="J85" s="571"/>
      <c r="K85" s="971"/>
      <c r="L85" s="571"/>
      <c r="M85" s="575"/>
      <c r="N85" s="944"/>
      <c r="O85" s="8"/>
      <c r="P85" s="8"/>
      <c r="Q85" s="8"/>
    </row>
    <row r="86" spans="1:17" s="255" customFormat="1" ht="13.5" thickTop="1">
      <c r="A86" s="253"/>
      <c r="B86" s="253"/>
      <c r="C86" s="253"/>
      <c r="D86" s="253"/>
      <c r="E86" s="253"/>
      <c r="F86" s="253"/>
      <c r="G86" s="45"/>
      <c r="H86" s="253"/>
      <c r="I86" s="104"/>
      <c r="J86" s="72"/>
      <c r="K86" s="131"/>
      <c r="L86" s="72"/>
      <c r="M86" s="1560"/>
      <c r="N86" s="944"/>
      <c r="O86" s="8"/>
      <c r="P86" s="8"/>
      <c r="Q86" s="8"/>
    </row>
    <row r="87" spans="1:17" s="255" customFormat="1">
      <c r="A87" s="253"/>
      <c r="B87" s="253"/>
      <c r="C87" s="253"/>
      <c r="D87" s="253"/>
      <c r="E87" s="253"/>
      <c r="F87" s="253"/>
      <c r="G87" s="45"/>
      <c r="H87" s="253"/>
      <c r="I87" s="104"/>
      <c r="J87" s="72"/>
      <c r="K87" s="72"/>
      <c r="L87" s="72"/>
      <c r="M87" s="136"/>
      <c r="N87" s="944"/>
      <c r="O87" s="8"/>
      <c r="P87" s="8"/>
      <c r="Q87" s="8"/>
    </row>
    <row r="88" spans="1:17" s="255" customFormat="1">
      <c r="A88" s="253"/>
      <c r="B88" s="253"/>
      <c r="C88" s="253"/>
      <c r="D88" s="253"/>
      <c r="E88" s="253"/>
      <c r="F88" s="253"/>
      <c r="G88" s="45"/>
      <c r="H88" s="253"/>
      <c r="I88" s="104"/>
      <c r="J88" s="72"/>
      <c r="K88" s="72"/>
      <c r="L88" s="72"/>
      <c r="M88" s="136"/>
      <c r="N88" s="944"/>
      <c r="O88" s="8"/>
      <c r="P88" s="8"/>
      <c r="Q88" s="8"/>
    </row>
    <row r="89" spans="1:17" s="255" customFormat="1" ht="13.5" thickBot="1">
      <c r="A89" s="253"/>
      <c r="B89" s="253"/>
      <c r="C89" s="253"/>
      <c r="D89" s="253"/>
      <c r="E89" s="253"/>
      <c r="F89" s="253"/>
      <c r="G89" s="45"/>
      <c r="H89" s="253"/>
      <c r="I89" s="104"/>
      <c r="J89" s="72"/>
      <c r="K89" s="72"/>
      <c r="L89" s="73"/>
      <c r="M89" s="568"/>
      <c r="N89" s="944"/>
      <c r="O89" s="8"/>
      <c r="P89" s="8"/>
      <c r="Q89" s="8"/>
    </row>
    <row r="90" spans="1:17" s="255" customFormat="1" ht="13.5" thickBot="1">
      <c r="A90" s="253"/>
      <c r="B90" s="253"/>
      <c r="C90" s="253"/>
      <c r="D90" s="253"/>
      <c r="E90" s="253"/>
      <c r="F90" s="253"/>
      <c r="G90" s="45"/>
      <c r="H90" s="253"/>
      <c r="I90" s="584" t="s">
        <v>794</v>
      </c>
      <c r="J90" s="358"/>
      <c r="K90" s="359"/>
      <c r="L90" s="360"/>
      <c r="M90" s="1569">
        <f ca="1">M84/M52</f>
        <v>412.33053443884967</v>
      </c>
      <c r="N90" s="944"/>
      <c r="O90" s="8"/>
      <c r="P90" s="8"/>
      <c r="Q90" s="8"/>
    </row>
    <row r="91" spans="1:17" s="255" customFormat="1">
      <c r="A91" s="253"/>
      <c r="B91" s="253"/>
      <c r="C91" s="253"/>
      <c r="D91" s="253"/>
      <c r="E91" s="253"/>
      <c r="F91" s="253"/>
      <c r="G91" s="45"/>
      <c r="H91" s="253"/>
      <c r="I91" s="72"/>
      <c r="J91" s="410"/>
      <c r="K91" s="72"/>
      <c r="L91" s="253" t="s">
        <v>819</v>
      </c>
      <c r="M91" s="907">
        <v>339.3</v>
      </c>
      <c r="N91" s="944"/>
      <c r="O91" s="8"/>
      <c r="P91" s="8"/>
      <c r="Q91" s="8"/>
    </row>
    <row r="92" spans="1:17" s="255" customFormat="1">
      <c r="A92" s="253"/>
      <c r="B92" s="8"/>
      <c r="C92" s="8"/>
      <c r="D92" s="8"/>
      <c r="E92" s="8"/>
      <c r="F92" s="8"/>
      <c r="G92" s="8"/>
      <c r="H92" s="8"/>
      <c r="I92" s="72"/>
      <c r="J92" s="410"/>
      <c r="K92" s="72"/>
      <c r="L92" s="253"/>
      <c r="M92" s="482">
        <f ca="1">M90-M91</f>
        <v>73.030534438849656</v>
      </c>
      <c r="N92" s="939">
        <f ca="1">M92/M91</f>
        <v>0.21523882829015517</v>
      </c>
      <c r="O92" s="8"/>
      <c r="P92" s="8"/>
      <c r="Q92" s="8"/>
    </row>
    <row r="93" spans="1:17" s="255" customFormat="1">
      <c r="A93" s="253"/>
      <c r="B93" s="8"/>
      <c r="C93" s="8"/>
      <c r="D93" s="8"/>
      <c r="E93" s="8"/>
      <c r="F93" s="8"/>
      <c r="G93" s="8"/>
      <c r="H93" s="8"/>
      <c r="I93" s="936"/>
      <c r="J93" s="1974"/>
      <c r="K93" s="936"/>
      <c r="L93" s="1975"/>
      <c r="M93" s="936"/>
      <c r="N93" s="2170"/>
      <c r="O93" s="8"/>
      <c r="P93" s="8"/>
      <c r="Q93" s="8"/>
    </row>
    <row r="94" spans="1:17" s="255" customFormat="1" ht="21">
      <c r="A94" s="253"/>
      <c r="B94" s="2247"/>
      <c r="C94" s="2248"/>
      <c r="D94" s="2248"/>
      <c r="E94" s="2248"/>
      <c r="F94" s="1879"/>
      <c r="G94" s="1879"/>
      <c r="H94" s="8"/>
      <c r="I94" s="936"/>
      <c r="J94" s="1974"/>
      <c r="K94" s="936"/>
      <c r="L94" s="1975"/>
      <c r="M94" s="936"/>
      <c r="N94" s="2170"/>
      <c r="O94" s="8"/>
      <c r="P94" s="8"/>
      <c r="Q94" s="8"/>
    </row>
    <row r="95" spans="1:17" s="255" customFormat="1" ht="15">
      <c r="A95" s="253"/>
      <c r="B95" s="2401"/>
      <c r="C95" s="985"/>
      <c r="D95" s="1400"/>
      <c r="E95" s="1400"/>
      <c r="F95" s="985"/>
      <c r="G95" s="1879"/>
      <c r="H95" s="8"/>
      <c r="I95" s="936"/>
      <c r="J95" s="1974"/>
      <c r="K95" s="936"/>
      <c r="L95" s="1975"/>
      <c r="M95" s="936"/>
      <c r="N95" s="2170"/>
      <c r="O95" s="8"/>
      <c r="P95" s="8"/>
      <c r="Q95" s="8"/>
    </row>
    <row r="96" spans="1:17" s="255" customFormat="1" ht="15">
      <c r="A96" s="253"/>
      <c r="B96" s="2402"/>
      <c r="C96" s="985"/>
      <c r="D96" s="1400"/>
      <c r="E96" s="1400"/>
      <c r="F96" s="985"/>
      <c r="G96" s="1879"/>
      <c r="H96" s="8"/>
      <c r="I96" s="936"/>
      <c r="J96" s="1974"/>
      <c r="K96" s="936"/>
      <c r="L96" s="1975"/>
      <c r="M96" s="936"/>
      <c r="N96" s="2170"/>
      <c r="O96" s="8"/>
      <c r="P96" s="8"/>
      <c r="Q96" s="8"/>
    </row>
    <row r="97" spans="1:17" s="255" customFormat="1" ht="15">
      <c r="A97" s="253"/>
      <c r="B97" s="2402"/>
      <c r="C97" s="985"/>
      <c r="D97" s="1400"/>
      <c r="E97" s="1400"/>
      <c r="F97" s="985"/>
      <c r="G97" s="1879"/>
      <c r="H97" s="8"/>
      <c r="I97" s="936"/>
      <c r="J97" s="1974"/>
      <c r="K97" s="936"/>
      <c r="L97" s="1975"/>
      <c r="M97" s="936"/>
      <c r="N97" s="2170"/>
      <c r="O97" s="8"/>
      <c r="P97" s="8"/>
      <c r="Q97" s="8"/>
    </row>
    <row r="98" spans="1:17" s="255" customFormat="1" ht="15">
      <c r="A98" s="253"/>
      <c r="B98" s="2402"/>
      <c r="C98" s="985"/>
      <c r="D98" s="1400"/>
      <c r="E98" s="1400"/>
      <c r="F98" s="985"/>
      <c r="G98" s="1879"/>
      <c r="H98" s="8"/>
      <c r="I98" s="936"/>
      <c r="J98" s="1974"/>
      <c r="K98" s="936"/>
      <c r="L98" s="1975"/>
      <c r="M98" s="936"/>
      <c r="N98" s="2170"/>
      <c r="O98" s="8"/>
      <c r="P98" s="8"/>
      <c r="Q98" s="8"/>
    </row>
    <row r="99" spans="1:17" s="255" customFormat="1" ht="21">
      <c r="A99" s="253"/>
      <c r="B99" s="2171"/>
      <c r="C99" s="1879"/>
      <c r="D99" s="1879"/>
      <c r="E99" s="1879"/>
      <c r="F99" s="1879"/>
      <c r="G99" s="1879"/>
      <c r="H99" s="8"/>
      <c r="I99" s="936"/>
      <c r="J99" s="1974"/>
      <c r="K99" s="936"/>
      <c r="L99" s="1975"/>
      <c r="M99" s="936"/>
      <c r="N99" s="2170"/>
      <c r="O99" s="8"/>
      <c r="P99" s="8"/>
      <c r="Q99" s="8"/>
    </row>
    <row r="100" spans="1:17" s="255" customFormat="1" ht="21">
      <c r="A100" s="253"/>
      <c r="B100" s="2171"/>
      <c r="C100" s="1879"/>
      <c r="D100" s="1879"/>
      <c r="E100" s="1879"/>
      <c r="F100" s="1879"/>
      <c r="G100" s="1879"/>
      <c r="H100" s="8"/>
      <c r="I100" s="936"/>
      <c r="J100" s="1974"/>
      <c r="K100" s="936"/>
      <c r="L100" s="1975"/>
      <c r="M100" s="936"/>
      <c r="N100" s="2170"/>
      <c r="O100" s="8"/>
      <c r="P100" s="8"/>
      <c r="Q100" s="8"/>
    </row>
    <row r="101" spans="1:17" s="255" customFormat="1" ht="21">
      <c r="A101" s="253"/>
      <c r="B101" s="2171"/>
      <c r="C101" s="2249"/>
      <c r="D101" s="2250"/>
      <c r="E101" s="1879"/>
      <c r="F101" s="1879"/>
      <c r="G101" s="1879"/>
      <c r="H101" s="8"/>
      <c r="I101" s="936"/>
      <c r="J101" s="1974"/>
      <c r="K101" s="936"/>
      <c r="L101" s="1975"/>
      <c r="M101" s="936"/>
      <c r="N101" s="2170"/>
      <c r="O101" s="8"/>
      <c r="P101" s="8"/>
      <c r="Q101" s="8"/>
    </row>
    <row r="102" spans="1:17" s="255" customFormat="1" ht="15">
      <c r="A102" s="253"/>
      <c r="B102" s="1879"/>
      <c r="C102" s="1879"/>
      <c r="D102" s="1879"/>
      <c r="E102" s="1879"/>
      <c r="F102" s="1879"/>
      <c r="G102" s="1879"/>
      <c r="H102" s="8"/>
      <c r="I102" s="936"/>
      <c r="J102" s="1974"/>
      <c r="K102" s="936"/>
      <c r="L102" s="1975"/>
      <c r="M102" s="936"/>
      <c r="N102" s="2170"/>
      <c r="O102" s="8"/>
      <c r="P102" s="8"/>
      <c r="Q102" s="8"/>
    </row>
    <row r="103" spans="1:17" s="8" customFormat="1" ht="15">
      <c r="B103" s="1879"/>
      <c r="C103" s="1879"/>
      <c r="D103" s="1879"/>
      <c r="E103" s="1879"/>
      <c r="F103" s="1879"/>
      <c r="G103" s="1879"/>
      <c r="I103" s="936"/>
      <c r="J103" s="1974"/>
      <c r="K103" s="936"/>
      <c r="L103" s="1975"/>
      <c r="M103" s="936"/>
      <c r="N103" s="2170"/>
    </row>
    <row r="104" spans="1:17" s="8" customFormat="1">
      <c r="I104" s="936"/>
      <c r="J104" s="1974"/>
      <c r="K104" s="936"/>
      <c r="L104" s="1975"/>
      <c r="M104" s="936"/>
      <c r="N104" s="2170"/>
    </row>
    <row r="105" spans="1:17" s="8" customFormat="1" ht="18.75">
      <c r="B105" s="2240"/>
      <c r="C105" s="2241"/>
      <c r="D105" s="2241"/>
      <c r="E105" s="2241"/>
      <c r="M105" s="936"/>
      <c r="N105" s="2170"/>
    </row>
    <row r="106" spans="1:17" s="8" customFormat="1" ht="21">
      <c r="B106" s="2171"/>
      <c r="C106" s="2243"/>
      <c r="D106" s="2244"/>
      <c r="E106" s="2242"/>
      <c r="M106" s="936"/>
      <c r="N106" s="2170"/>
    </row>
    <row r="107" spans="1:17" s="8" customFormat="1" ht="21">
      <c r="B107" s="2171"/>
      <c r="C107" s="2243"/>
      <c r="D107" s="2244"/>
      <c r="E107" s="2242"/>
      <c r="M107" s="936"/>
      <c r="N107" s="2170"/>
    </row>
    <row r="108" spans="1:17" s="8" customFormat="1" ht="18.75">
      <c r="B108" s="2242"/>
      <c r="C108" s="2242"/>
      <c r="D108" s="2242"/>
      <c r="E108" s="2242"/>
      <c r="N108" s="2170"/>
    </row>
    <row r="109" spans="1:17" s="8" customFormat="1" ht="18.75">
      <c r="B109" s="2242"/>
      <c r="C109" s="2243"/>
      <c r="D109" s="2244"/>
      <c r="E109" s="2242"/>
      <c r="N109" s="2170"/>
    </row>
    <row r="110" spans="1:17" s="8" customFormat="1" ht="18.75">
      <c r="B110" s="2242"/>
      <c r="C110" s="2242"/>
      <c r="D110" s="2242"/>
      <c r="E110" s="2242"/>
      <c r="N110" s="2170"/>
    </row>
    <row r="111" spans="1:17" s="8" customFormat="1" ht="18.75">
      <c r="B111" s="2242"/>
      <c r="C111" s="2242"/>
      <c r="D111" s="2242"/>
      <c r="E111" s="2242"/>
      <c r="N111" s="2170"/>
    </row>
    <row r="112" spans="1:17" s="8" customFormat="1">
      <c r="N112" s="2170"/>
    </row>
    <row r="113" spans="14:14" s="8" customFormat="1">
      <c r="N113" s="2170"/>
    </row>
    <row r="114" spans="14:14" s="8" customFormat="1">
      <c r="N114" s="2170"/>
    </row>
    <row r="115" spans="14:14" s="8" customFormat="1">
      <c r="N115" s="2170"/>
    </row>
    <row r="116" spans="14:14" s="8" customFormat="1">
      <c r="N116" s="2170"/>
    </row>
    <row r="117" spans="14:14" s="8" customFormat="1">
      <c r="N117" s="2170"/>
    </row>
    <row r="118" spans="14:14" s="8" customFormat="1">
      <c r="N118" s="2170"/>
    </row>
    <row r="119" spans="14:14" s="8" customFormat="1">
      <c r="N119" s="2170"/>
    </row>
    <row r="120" spans="14:14" s="8" customFormat="1">
      <c r="N120" s="2170"/>
    </row>
    <row r="121" spans="14:14" s="8" customFormat="1">
      <c r="N121" s="2170"/>
    </row>
    <row r="122" spans="14:14" s="8" customFormat="1">
      <c r="N122" s="2170"/>
    </row>
    <row r="123" spans="14:14" s="8" customFormat="1">
      <c r="N123" s="2170"/>
    </row>
    <row r="124" spans="14:14" s="8" customFormat="1">
      <c r="N124" s="2170"/>
    </row>
    <row r="125" spans="14:14" s="8" customFormat="1">
      <c r="N125" s="2170"/>
    </row>
    <row r="126" spans="14:14" s="8" customFormat="1">
      <c r="N126" s="2170"/>
    </row>
    <row r="127" spans="14:14" s="8" customFormat="1">
      <c r="N127" s="2170"/>
    </row>
    <row r="128" spans="14:14" s="8" customFormat="1">
      <c r="N128" s="2170"/>
    </row>
    <row r="129" spans="14:14" s="8" customFormat="1">
      <c r="N129" s="2170"/>
    </row>
    <row r="130" spans="14:14" s="8" customFormat="1">
      <c r="N130" s="2170"/>
    </row>
    <row r="131" spans="14:14" s="8" customFormat="1">
      <c r="N131" s="2170"/>
    </row>
    <row r="132" spans="14:14" s="8" customFormat="1">
      <c r="N132" s="2170"/>
    </row>
    <row r="133" spans="14:14" s="8" customFormat="1">
      <c r="N133" s="2170"/>
    </row>
    <row r="134" spans="14:14" s="8" customFormat="1">
      <c r="N134" s="2170"/>
    </row>
    <row r="135" spans="14:14" s="8" customFormat="1">
      <c r="N135" s="2170"/>
    </row>
    <row r="136" spans="14:14" s="8" customFormat="1">
      <c r="N136" s="2170"/>
    </row>
    <row r="137" spans="14:14" s="8" customFormat="1">
      <c r="N137" s="2170"/>
    </row>
    <row r="138" spans="14:14" s="8" customFormat="1">
      <c r="N138" s="2170"/>
    </row>
    <row r="139" spans="14:14" s="8" customFormat="1">
      <c r="N139" s="2170"/>
    </row>
    <row r="140" spans="14:14" s="8" customFormat="1">
      <c r="N140" s="2170"/>
    </row>
    <row r="141" spans="14:14" s="8" customFormat="1">
      <c r="N141" s="2170"/>
    </row>
    <row r="142" spans="14:14" s="8" customFormat="1">
      <c r="N142" s="2170"/>
    </row>
    <row r="143" spans="14:14" s="8" customFormat="1">
      <c r="N143" s="2170"/>
    </row>
    <row r="144" spans="14:14" s="8" customFormat="1">
      <c r="N144" s="2170"/>
    </row>
    <row r="145" spans="14:14" s="8" customFormat="1">
      <c r="N145" s="2170"/>
    </row>
    <row r="146" spans="14:14" s="8" customFormat="1">
      <c r="N146" s="2170"/>
    </row>
    <row r="147" spans="14:14" s="8" customFormat="1">
      <c r="N147" s="2170"/>
    </row>
    <row r="148" spans="14:14" s="8" customFormat="1">
      <c r="N148" s="2170"/>
    </row>
    <row r="149" spans="14:14" s="8" customFormat="1">
      <c r="N149" s="2170"/>
    </row>
    <row r="150" spans="14:14" s="8" customFormat="1">
      <c r="N150" s="2170"/>
    </row>
    <row r="151" spans="14:14" s="8" customFormat="1">
      <c r="N151" s="2170"/>
    </row>
    <row r="152" spans="14:14" s="8" customFormat="1">
      <c r="N152" s="2170"/>
    </row>
    <row r="153" spans="14:14" s="8" customFormat="1">
      <c r="N153" s="2170"/>
    </row>
    <row r="154" spans="14:14" s="8" customFormat="1">
      <c r="N154" s="2170"/>
    </row>
    <row r="155" spans="14:14" s="8" customFormat="1">
      <c r="N155" s="2170"/>
    </row>
    <row r="156" spans="14:14" s="8" customFormat="1">
      <c r="N156" s="2170"/>
    </row>
    <row r="157" spans="14:14" s="8" customFormat="1">
      <c r="N157" s="2170"/>
    </row>
    <row r="158" spans="14:14" s="8" customFormat="1">
      <c r="N158" s="2170"/>
    </row>
    <row r="159" spans="14:14" s="8" customFormat="1">
      <c r="N159" s="2170"/>
    </row>
    <row r="160" spans="14:14" s="8" customFormat="1">
      <c r="N160" s="2170"/>
    </row>
    <row r="161" spans="14:14" s="8" customFormat="1">
      <c r="N161" s="2170"/>
    </row>
    <row r="162" spans="14:14" s="8" customFormat="1">
      <c r="N162" s="2170"/>
    </row>
    <row r="163" spans="14:14" s="8" customFormat="1">
      <c r="N163" s="2170"/>
    </row>
    <row r="164" spans="14:14" s="8" customFormat="1">
      <c r="N164" s="2170"/>
    </row>
    <row r="165" spans="14:14" s="8" customFormat="1">
      <c r="N165" s="2170"/>
    </row>
    <row r="166" spans="14:14" s="8" customFormat="1">
      <c r="N166" s="2170"/>
    </row>
    <row r="167" spans="14:14" s="8" customFormat="1">
      <c r="N167" s="2170"/>
    </row>
    <row r="168" spans="14:14" s="8" customFormat="1">
      <c r="N168" s="2170"/>
    </row>
    <row r="169" spans="14:14" s="8" customFormat="1">
      <c r="N169" s="2170"/>
    </row>
    <row r="170" spans="14:14" s="8" customFormat="1">
      <c r="N170" s="2170"/>
    </row>
    <row r="171" spans="14:14" s="8" customFormat="1">
      <c r="N171" s="2170"/>
    </row>
    <row r="172" spans="14:14" s="8" customFormat="1">
      <c r="N172" s="2170"/>
    </row>
    <row r="173" spans="14:14" s="8" customFormat="1">
      <c r="N173" s="2170"/>
    </row>
    <row r="174" spans="14:14" s="8" customFormat="1">
      <c r="N174" s="2170"/>
    </row>
    <row r="175" spans="14:14" s="8" customFormat="1">
      <c r="N175" s="2170"/>
    </row>
    <row r="176" spans="14:14" s="8" customFormat="1">
      <c r="N176" s="2170"/>
    </row>
    <row r="177" spans="14:14" s="8" customFormat="1">
      <c r="N177" s="2170"/>
    </row>
    <row r="178" spans="14:14" s="8" customFormat="1">
      <c r="N178" s="2170"/>
    </row>
    <row r="179" spans="14:14" s="8" customFormat="1">
      <c r="N179" s="2170"/>
    </row>
    <row r="180" spans="14:14" s="8" customFormat="1">
      <c r="N180" s="2170"/>
    </row>
    <row r="181" spans="14:14" s="8" customFormat="1">
      <c r="N181" s="2170"/>
    </row>
    <row r="182" spans="14:14" s="8" customFormat="1">
      <c r="N182" s="2170"/>
    </row>
    <row r="183" spans="14:14" s="8" customFormat="1">
      <c r="N183" s="2170"/>
    </row>
    <row r="184" spans="14:14" s="8" customFormat="1">
      <c r="N184" s="2170"/>
    </row>
    <row r="185" spans="14:14" s="8" customFormat="1">
      <c r="N185" s="2170"/>
    </row>
    <row r="186" spans="14:14" s="8" customFormat="1">
      <c r="N186" s="2170"/>
    </row>
    <row r="187" spans="14:14" s="8" customFormat="1">
      <c r="N187" s="2170"/>
    </row>
    <row r="188" spans="14:14" s="8" customFormat="1">
      <c r="N188" s="2170"/>
    </row>
    <row r="189" spans="14:14" s="8" customFormat="1">
      <c r="N189" s="2170"/>
    </row>
    <row r="190" spans="14:14" s="8" customFormat="1">
      <c r="N190" s="2170"/>
    </row>
    <row r="191" spans="14:14" s="8" customFormat="1">
      <c r="N191" s="2170"/>
    </row>
    <row r="192" spans="14:14" s="8" customFormat="1">
      <c r="N192" s="2170"/>
    </row>
    <row r="193" spans="14:14" s="8" customFormat="1">
      <c r="N193" s="2170"/>
    </row>
    <row r="194" spans="14:14" s="8" customFormat="1">
      <c r="N194" s="2170"/>
    </row>
    <row r="195" spans="14:14" s="8" customFormat="1">
      <c r="N195" s="2170"/>
    </row>
    <row r="196" spans="14:14" s="8" customFormat="1">
      <c r="N196" s="2170"/>
    </row>
    <row r="197" spans="14:14" s="8" customFormat="1">
      <c r="N197" s="2170"/>
    </row>
    <row r="198" spans="14:14" s="8" customFormat="1">
      <c r="N198" s="2170"/>
    </row>
    <row r="199" spans="14:14" s="8" customFormat="1">
      <c r="N199" s="2170"/>
    </row>
    <row r="200" spans="14:14" s="8" customFormat="1">
      <c r="N200" s="2170"/>
    </row>
    <row r="201" spans="14:14" s="8" customFormat="1">
      <c r="N201" s="2170"/>
    </row>
    <row r="202" spans="14:14" s="8" customFormat="1">
      <c r="N202" s="2170"/>
    </row>
    <row r="203" spans="14:14" s="8" customFormat="1">
      <c r="N203" s="2170"/>
    </row>
    <row r="204" spans="14:14" s="8" customFormat="1">
      <c r="N204" s="2170"/>
    </row>
    <row r="205" spans="14:14" s="8" customFormat="1">
      <c r="N205" s="2170"/>
    </row>
    <row r="206" spans="14:14" s="8" customFormat="1">
      <c r="N206" s="2170"/>
    </row>
    <row r="207" spans="14:14" s="8" customFormat="1">
      <c r="N207" s="2170"/>
    </row>
    <row r="208" spans="14:14" s="8" customFormat="1">
      <c r="N208" s="2170"/>
    </row>
    <row r="209" spans="14:14" s="8" customFormat="1">
      <c r="N209" s="2170"/>
    </row>
    <row r="210" spans="14:14" s="8" customFormat="1">
      <c r="N210" s="2170"/>
    </row>
    <row r="211" spans="14:14" s="8" customFormat="1">
      <c r="N211" s="2170"/>
    </row>
    <row r="212" spans="14:14" s="8" customFormat="1">
      <c r="N212" s="2170"/>
    </row>
    <row r="213" spans="14:14" s="8" customFormat="1">
      <c r="N213" s="2170"/>
    </row>
    <row r="214" spans="14:14" s="8" customFormat="1">
      <c r="N214" s="2170"/>
    </row>
    <row r="215" spans="14:14" s="8" customFormat="1">
      <c r="N215" s="2170"/>
    </row>
    <row r="216" spans="14:14" s="8" customFormat="1">
      <c r="N216" s="2170"/>
    </row>
    <row r="217" spans="14:14" s="8" customFormat="1">
      <c r="N217" s="2170"/>
    </row>
    <row r="218" spans="14:14" s="8" customFormat="1">
      <c r="N218" s="2170"/>
    </row>
    <row r="219" spans="14:14" s="8" customFormat="1">
      <c r="N219" s="2170"/>
    </row>
    <row r="220" spans="14:14" s="8" customFormat="1">
      <c r="N220" s="2170"/>
    </row>
    <row r="221" spans="14:14" s="8" customFormat="1">
      <c r="N221" s="2170"/>
    </row>
    <row r="222" spans="14:14" s="8" customFormat="1">
      <c r="N222" s="2170"/>
    </row>
    <row r="223" spans="14:14" s="8" customFormat="1">
      <c r="N223" s="2170"/>
    </row>
    <row r="224" spans="14:14" s="8" customFormat="1">
      <c r="N224" s="2170"/>
    </row>
    <row r="225" spans="14:14" s="8" customFormat="1">
      <c r="N225" s="2170"/>
    </row>
    <row r="226" spans="14:14" s="8" customFormat="1">
      <c r="N226" s="2170"/>
    </row>
    <row r="227" spans="14:14" s="8" customFormat="1">
      <c r="N227" s="2170"/>
    </row>
    <row r="228" spans="14:14" s="8" customFormat="1">
      <c r="N228" s="2170"/>
    </row>
    <row r="229" spans="14:14" s="8" customFormat="1">
      <c r="N229" s="2170"/>
    </row>
    <row r="230" spans="14:14" s="8" customFormat="1">
      <c r="N230" s="2170"/>
    </row>
    <row r="231" spans="14:14" s="8" customFormat="1">
      <c r="N231" s="2170"/>
    </row>
    <row r="232" spans="14:14" s="8" customFormat="1">
      <c r="N232" s="2170"/>
    </row>
    <row r="233" spans="14:14" s="8" customFormat="1">
      <c r="N233" s="2170"/>
    </row>
    <row r="234" spans="14:14" s="8" customFormat="1">
      <c r="N234" s="2170"/>
    </row>
    <row r="235" spans="14:14" s="8" customFormat="1">
      <c r="N235" s="2170"/>
    </row>
    <row r="236" spans="14:14" s="8" customFormat="1">
      <c r="N236" s="2170"/>
    </row>
    <row r="237" spans="14:14" s="8" customFormat="1">
      <c r="N237" s="2170"/>
    </row>
    <row r="238" spans="14:14" s="8" customFormat="1">
      <c r="N238" s="2170"/>
    </row>
    <row r="239" spans="14:14" s="8" customFormat="1">
      <c r="N239" s="2170"/>
    </row>
    <row r="240" spans="14:14" s="8" customFormat="1">
      <c r="N240" s="2170"/>
    </row>
    <row r="241" spans="14:14" s="8" customFormat="1">
      <c r="N241" s="2170"/>
    </row>
    <row r="242" spans="14:14" s="8" customFormat="1">
      <c r="N242" s="2170"/>
    </row>
    <row r="243" spans="14:14" s="8" customFormat="1">
      <c r="N243" s="2170"/>
    </row>
    <row r="244" spans="14:14" s="8" customFormat="1">
      <c r="N244" s="2170"/>
    </row>
    <row r="245" spans="14:14" s="8" customFormat="1">
      <c r="N245" s="2170"/>
    </row>
    <row r="246" spans="14:14" s="8" customFormat="1">
      <c r="N246" s="2170"/>
    </row>
    <row r="247" spans="14:14" s="8" customFormat="1">
      <c r="N247" s="2170"/>
    </row>
    <row r="248" spans="14:14" s="8" customFormat="1">
      <c r="N248" s="2170"/>
    </row>
    <row r="249" spans="14:14" s="8" customFormat="1">
      <c r="N249" s="2170"/>
    </row>
    <row r="250" spans="14:14" s="8" customFormat="1">
      <c r="N250" s="2170"/>
    </row>
    <row r="251" spans="14:14" s="8" customFormat="1">
      <c r="N251" s="2170"/>
    </row>
    <row r="252" spans="14:14" s="8" customFormat="1">
      <c r="N252" s="2170"/>
    </row>
    <row r="253" spans="14:14" s="8" customFormat="1">
      <c r="N253" s="2170"/>
    </row>
    <row r="254" spans="14:14" s="8" customFormat="1">
      <c r="N254" s="2170"/>
    </row>
    <row r="255" spans="14:14" s="8" customFormat="1">
      <c r="N255" s="2170"/>
    </row>
    <row r="256" spans="14:14" s="8" customFormat="1">
      <c r="N256" s="2170"/>
    </row>
    <row r="257" spans="14:14" s="8" customFormat="1">
      <c r="N257" s="2170"/>
    </row>
    <row r="258" spans="14:14" s="8" customFormat="1">
      <c r="N258" s="2170"/>
    </row>
    <row r="259" spans="14:14" s="8" customFormat="1">
      <c r="N259" s="2170"/>
    </row>
    <row r="260" spans="14:14" s="8" customFormat="1">
      <c r="N260" s="2170"/>
    </row>
    <row r="261" spans="14:14" s="8" customFormat="1">
      <c r="N261" s="2170"/>
    </row>
    <row r="262" spans="14:14" s="8" customFormat="1">
      <c r="N262" s="2170"/>
    </row>
    <row r="263" spans="14:14" s="8" customFormat="1">
      <c r="N263" s="2170"/>
    </row>
    <row r="264" spans="14:14" s="8" customFormat="1">
      <c r="N264" s="2170"/>
    </row>
    <row r="265" spans="14:14" s="8" customFormat="1">
      <c r="N265" s="2170"/>
    </row>
    <row r="266" spans="14:14" s="8" customFormat="1">
      <c r="N266" s="2170"/>
    </row>
    <row r="267" spans="14:14" s="8" customFormat="1">
      <c r="N267" s="2170"/>
    </row>
    <row r="268" spans="14:14" s="8" customFormat="1">
      <c r="N268" s="2170"/>
    </row>
    <row r="269" spans="14:14" s="8" customFormat="1">
      <c r="N269" s="2170"/>
    </row>
    <row r="270" spans="14:14" s="8" customFormat="1">
      <c r="N270" s="2170"/>
    </row>
    <row r="271" spans="14:14" s="8" customFormat="1">
      <c r="N271" s="2170"/>
    </row>
    <row r="272" spans="14:14" s="8" customFormat="1">
      <c r="N272" s="2170"/>
    </row>
    <row r="273" spans="14:14" s="8" customFormat="1">
      <c r="N273" s="2170"/>
    </row>
    <row r="274" spans="14:14" s="8" customFormat="1">
      <c r="N274" s="2170"/>
    </row>
    <row r="275" spans="14:14" s="8" customFormat="1">
      <c r="N275" s="2170"/>
    </row>
    <row r="276" spans="14:14" s="8" customFormat="1">
      <c r="N276" s="2170"/>
    </row>
    <row r="277" spans="14:14" s="8" customFormat="1">
      <c r="N277" s="2170"/>
    </row>
    <row r="278" spans="14:14" s="8" customFormat="1">
      <c r="N278" s="2170"/>
    </row>
    <row r="279" spans="14:14" s="8" customFormat="1">
      <c r="N279" s="2170"/>
    </row>
    <row r="280" spans="14:14" s="8" customFormat="1">
      <c r="N280" s="2170"/>
    </row>
    <row r="281" spans="14:14" s="8" customFormat="1">
      <c r="N281" s="2170"/>
    </row>
    <row r="282" spans="14:14" s="8" customFormat="1">
      <c r="N282" s="2170"/>
    </row>
    <row r="283" spans="14:14" s="8" customFormat="1">
      <c r="N283" s="2170"/>
    </row>
    <row r="284" spans="14:14" s="8" customFormat="1">
      <c r="N284" s="2170"/>
    </row>
    <row r="285" spans="14:14" s="8" customFormat="1">
      <c r="N285" s="2170"/>
    </row>
    <row r="286" spans="14:14" s="8" customFormat="1">
      <c r="N286" s="2170"/>
    </row>
    <row r="287" spans="14:14" s="8" customFormat="1">
      <c r="N287" s="2170"/>
    </row>
    <row r="288" spans="14:14" s="8" customFormat="1">
      <c r="N288" s="2170"/>
    </row>
    <row r="289" spans="14:14" s="8" customFormat="1">
      <c r="N289" s="2170"/>
    </row>
    <row r="290" spans="14:14" s="8" customFormat="1">
      <c r="N290" s="2170"/>
    </row>
    <row r="291" spans="14:14" s="8" customFormat="1">
      <c r="N291" s="2170"/>
    </row>
    <row r="292" spans="14:14" s="8" customFormat="1">
      <c r="N292" s="2170"/>
    </row>
    <row r="293" spans="14:14" s="8" customFormat="1">
      <c r="N293" s="2170"/>
    </row>
    <row r="294" spans="14:14" s="8" customFormat="1">
      <c r="N294" s="2170"/>
    </row>
    <row r="295" spans="14:14" s="8" customFormat="1">
      <c r="N295" s="2170"/>
    </row>
    <row r="296" spans="14:14" s="8" customFormat="1">
      <c r="N296" s="2170"/>
    </row>
    <row r="297" spans="14:14" s="8" customFormat="1">
      <c r="N297" s="2170"/>
    </row>
    <row r="298" spans="14:14" s="8" customFormat="1">
      <c r="N298" s="2170"/>
    </row>
    <row r="299" spans="14:14" s="8" customFormat="1">
      <c r="N299" s="2170"/>
    </row>
    <row r="300" spans="14:14" s="8" customFormat="1">
      <c r="N300" s="2170"/>
    </row>
    <row r="301" spans="14:14" s="8" customFormat="1">
      <c r="N301" s="2170"/>
    </row>
    <row r="302" spans="14:14" s="8" customFormat="1">
      <c r="N302" s="2170"/>
    </row>
    <row r="303" spans="14:14" s="8" customFormat="1">
      <c r="N303" s="2170"/>
    </row>
    <row r="304" spans="14:14" s="8" customFormat="1">
      <c r="N304" s="2170"/>
    </row>
    <row r="305" spans="14:14" s="8" customFormat="1">
      <c r="N305" s="2170"/>
    </row>
    <row r="306" spans="14:14" s="8" customFormat="1">
      <c r="N306" s="2170"/>
    </row>
    <row r="307" spans="14:14" s="8" customFormat="1">
      <c r="N307" s="2170"/>
    </row>
    <row r="308" spans="14:14" s="8" customFormat="1">
      <c r="N308" s="2170"/>
    </row>
    <row r="309" spans="14:14" s="8" customFormat="1">
      <c r="N309" s="2170"/>
    </row>
    <row r="310" spans="14:14" s="8" customFormat="1">
      <c r="N310" s="2170"/>
    </row>
    <row r="311" spans="14:14" s="8" customFormat="1">
      <c r="N311" s="2170"/>
    </row>
    <row r="312" spans="14:14" s="8" customFormat="1">
      <c r="N312" s="2170"/>
    </row>
    <row r="313" spans="14:14" s="8" customFormat="1">
      <c r="N313" s="2170"/>
    </row>
    <row r="314" spans="14:14" s="8" customFormat="1">
      <c r="N314" s="2170"/>
    </row>
    <row r="315" spans="14:14" s="8" customFormat="1">
      <c r="N315" s="2170"/>
    </row>
    <row r="316" spans="14:14" s="8" customFormat="1">
      <c r="N316" s="2170"/>
    </row>
    <row r="317" spans="14:14" s="8" customFormat="1">
      <c r="N317" s="2170"/>
    </row>
    <row r="318" spans="14:14" s="8" customFormat="1">
      <c r="N318" s="2170"/>
    </row>
    <row r="319" spans="14:14" s="8" customFormat="1">
      <c r="N319" s="2170"/>
    </row>
    <row r="320" spans="14:14" s="8" customFormat="1">
      <c r="N320" s="2170"/>
    </row>
    <row r="321" spans="14:14" s="8" customFormat="1">
      <c r="N321" s="2170"/>
    </row>
    <row r="322" spans="14:14" s="8" customFormat="1">
      <c r="N322" s="2170"/>
    </row>
    <row r="323" spans="14:14" s="8" customFormat="1">
      <c r="N323" s="2170"/>
    </row>
    <row r="324" spans="14:14" s="8" customFormat="1">
      <c r="N324" s="2170"/>
    </row>
    <row r="325" spans="14:14" s="8" customFormat="1">
      <c r="N325" s="2170"/>
    </row>
    <row r="326" spans="14:14" s="8" customFormat="1">
      <c r="N326" s="2170"/>
    </row>
    <row r="327" spans="14:14" s="8" customFormat="1">
      <c r="N327" s="2170"/>
    </row>
    <row r="328" spans="14:14" s="8" customFormat="1">
      <c r="N328" s="2170"/>
    </row>
    <row r="329" spans="14:14" s="8" customFormat="1">
      <c r="N329" s="2170"/>
    </row>
    <row r="330" spans="14:14" s="8" customFormat="1">
      <c r="N330" s="2170"/>
    </row>
    <row r="331" spans="14:14" s="8" customFormat="1">
      <c r="N331" s="2170"/>
    </row>
    <row r="332" spans="14:14" s="8" customFormat="1">
      <c r="N332" s="2170"/>
    </row>
    <row r="333" spans="14:14" s="8" customFormat="1">
      <c r="N333" s="2170"/>
    </row>
    <row r="334" spans="14:14" s="8" customFormat="1">
      <c r="N334" s="2170"/>
    </row>
    <row r="335" spans="14:14" s="8" customFormat="1">
      <c r="N335" s="2170"/>
    </row>
    <row r="336" spans="14:14" s="8" customFormat="1">
      <c r="N336" s="2170"/>
    </row>
    <row r="337" spans="14:14" s="8" customFormat="1">
      <c r="N337" s="2170"/>
    </row>
    <row r="338" spans="14:14" s="8" customFormat="1">
      <c r="N338" s="2170"/>
    </row>
    <row r="339" spans="14:14" s="8" customFormat="1">
      <c r="N339" s="2170"/>
    </row>
    <row r="340" spans="14:14" s="8" customFormat="1">
      <c r="N340" s="2170"/>
    </row>
    <row r="341" spans="14:14" s="8" customFormat="1">
      <c r="N341" s="2170"/>
    </row>
    <row r="342" spans="14:14" s="8" customFormat="1">
      <c r="N342" s="2170"/>
    </row>
    <row r="343" spans="14:14" s="8" customFormat="1">
      <c r="N343" s="2170"/>
    </row>
    <row r="344" spans="14:14" s="8" customFormat="1">
      <c r="N344" s="2170"/>
    </row>
    <row r="345" spans="14:14" s="8" customFormat="1">
      <c r="N345" s="2170"/>
    </row>
    <row r="346" spans="14:14" s="8" customFormat="1">
      <c r="N346" s="2170"/>
    </row>
    <row r="347" spans="14:14" s="8" customFormat="1">
      <c r="N347" s="2170"/>
    </row>
    <row r="348" spans="14:14" s="8" customFormat="1">
      <c r="N348" s="2170"/>
    </row>
    <row r="349" spans="14:14" s="8" customFormat="1">
      <c r="N349" s="2170"/>
    </row>
    <row r="350" spans="14:14" s="8" customFormat="1">
      <c r="N350" s="2170"/>
    </row>
    <row r="351" spans="14:14" s="8" customFormat="1">
      <c r="N351" s="2170"/>
    </row>
    <row r="352" spans="14:14" s="8" customFormat="1">
      <c r="N352" s="2170"/>
    </row>
    <row r="353" spans="14:14" s="8" customFormat="1">
      <c r="N353" s="2170"/>
    </row>
    <row r="354" spans="14:14" s="8" customFormat="1">
      <c r="N354" s="2170"/>
    </row>
    <row r="355" spans="14:14" s="8" customFormat="1">
      <c r="N355" s="2170"/>
    </row>
    <row r="356" spans="14:14" s="8" customFormat="1">
      <c r="N356" s="2170"/>
    </row>
    <row r="357" spans="14:14" s="8" customFormat="1">
      <c r="N357" s="2170"/>
    </row>
    <row r="358" spans="14:14" s="8" customFormat="1">
      <c r="N358" s="2170"/>
    </row>
    <row r="359" spans="14:14" s="8" customFormat="1">
      <c r="N359" s="2170"/>
    </row>
    <row r="360" spans="14:14" s="8" customFormat="1">
      <c r="N360" s="2170"/>
    </row>
    <row r="361" spans="14:14" s="8" customFormat="1">
      <c r="N361" s="2170"/>
    </row>
    <row r="362" spans="14:14" s="8" customFormat="1">
      <c r="N362" s="2170"/>
    </row>
    <row r="363" spans="14:14" s="8" customFormat="1">
      <c r="N363" s="2170"/>
    </row>
    <row r="364" spans="14:14" s="8" customFormat="1">
      <c r="N364" s="2170"/>
    </row>
    <row r="365" spans="14:14" s="8" customFormat="1">
      <c r="N365" s="2170"/>
    </row>
    <row r="366" spans="14:14" s="8" customFormat="1">
      <c r="N366" s="2170"/>
    </row>
    <row r="367" spans="14:14" s="8" customFormat="1">
      <c r="N367" s="2170"/>
    </row>
    <row r="368" spans="14:14" s="8" customFormat="1">
      <c r="N368" s="2170"/>
    </row>
    <row r="369" spans="14:14" s="8" customFormat="1">
      <c r="N369" s="2170"/>
    </row>
    <row r="370" spans="14:14" s="8" customFormat="1">
      <c r="N370" s="2170"/>
    </row>
    <row r="371" spans="14:14" s="8" customFormat="1">
      <c r="N371" s="2170"/>
    </row>
    <row r="372" spans="14:14" s="8" customFormat="1">
      <c r="N372" s="2170"/>
    </row>
    <row r="373" spans="14:14" s="8" customFormat="1">
      <c r="N373" s="2170"/>
    </row>
    <row r="374" spans="14:14" s="8" customFormat="1">
      <c r="N374" s="2170"/>
    </row>
    <row r="375" spans="14:14" s="8" customFormat="1">
      <c r="N375" s="2170"/>
    </row>
    <row r="376" spans="14:14" s="8" customFormat="1">
      <c r="N376" s="2170"/>
    </row>
    <row r="377" spans="14:14" s="8" customFormat="1">
      <c r="N377" s="2170"/>
    </row>
    <row r="378" spans="14:14" s="8" customFormat="1">
      <c r="N378" s="2170"/>
    </row>
    <row r="379" spans="14:14" s="8" customFormat="1">
      <c r="N379" s="2170"/>
    </row>
    <row r="380" spans="14:14" s="8" customFormat="1">
      <c r="N380" s="2170"/>
    </row>
    <row r="381" spans="14:14" s="8" customFormat="1">
      <c r="N381" s="2170"/>
    </row>
    <row r="382" spans="14:14" s="8" customFormat="1">
      <c r="N382" s="2170"/>
    </row>
    <row r="383" spans="14:14" s="8" customFormat="1">
      <c r="N383" s="2170"/>
    </row>
    <row r="384" spans="14:14" s="8" customFormat="1">
      <c r="N384" s="2170"/>
    </row>
    <row r="385" spans="14:14" s="8" customFormat="1">
      <c r="N385" s="2170"/>
    </row>
    <row r="386" spans="14:14" s="8" customFormat="1">
      <c r="N386" s="2170"/>
    </row>
    <row r="387" spans="14:14" s="8" customFormat="1">
      <c r="N387" s="2170"/>
    </row>
    <row r="388" spans="14:14" s="8" customFormat="1">
      <c r="N388" s="2170"/>
    </row>
    <row r="389" spans="14:14" s="8" customFormat="1">
      <c r="N389" s="2170"/>
    </row>
    <row r="390" spans="14:14" s="8" customFormat="1">
      <c r="N390" s="2170"/>
    </row>
    <row r="391" spans="14:14" s="8" customFormat="1">
      <c r="N391" s="2170"/>
    </row>
    <row r="392" spans="14:14" s="8" customFormat="1">
      <c r="N392" s="2170"/>
    </row>
    <row r="393" spans="14:14" s="8" customFormat="1">
      <c r="N393" s="2170"/>
    </row>
    <row r="394" spans="14:14" s="8" customFormat="1">
      <c r="N394" s="2170"/>
    </row>
    <row r="395" spans="14:14" s="8" customFormat="1">
      <c r="N395" s="2170"/>
    </row>
    <row r="396" spans="14:14" s="8" customFormat="1">
      <c r="N396" s="2170"/>
    </row>
    <row r="397" spans="14:14" s="8" customFormat="1">
      <c r="N397" s="2170"/>
    </row>
    <row r="398" spans="14:14" s="8" customFormat="1">
      <c r="N398" s="2170"/>
    </row>
    <row r="399" spans="14:14" s="8" customFormat="1">
      <c r="N399" s="2170"/>
    </row>
    <row r="400" spans="14:14" s="8" customFormat="1">
      <c r="N400" s="2170"/>
    </row>
    <row r="401" spans="14:14" s="8" customFormat="1">
      <c r="N401" s="2170"/>
    </row>
    <row r="402" spans="14:14" s="8" customFormat="1">
      <c r="N402" s="2170"/>
    </row>
    <row r="403" spans="14:14" s="8" customFormat="1">
      <c r="N403" s="2170"/>
    </row>
    <row r="404" spans="14:14" s="8" customFormat="1">
      <c r="N404" s="2170"/>
    </row>
    <row r="405" spans="14:14" s="8" customFormat="1">
      <c r="N405" s="2170"/>
    </row>
    <row r="406" spans="14:14" s="8" customFormat="1">
      <c r="N406" s="2170"/>
    </row>
    <row r="407" spans="14:14" s="8" customFormat="1">
      <c r="N407" s="2170"/>
    </row>
    <row r="408" spans="14:14" s="8" customFormat="1">
      <c r="N408" s="2170"/>
    </row>
    <row r="409" spans="14:14" s="8" customFormat="1">
      <c r="N409" s="2170"/>
    </row>
    <row r="410" spans="14:14" s="8" customFormat="1">
      <c r="N410" s="2170"/>
    </row>
    <row r="411" spans="14:14" s="8" customFormat="1">
      <c r="N411" s="2170"/>
    </row>
    <row r="412" spans="14:14" s="8" customFormat="1">
      <c r="N412" s="2170"/>
    </row>
    <row r="413" spans="14:14" s="8" customFormat="1">
      <c r="N413" s="2170"/>
    </row>
    <row r="414" spans="14:14" s="8" customFormat="1">
      <c r="N414" s="2170"/>
    </row>
    <row r="415" spans="14:14" s="8" customFormat="1">
      <c r="N415" s="2170"/>
    </row>
    <row r="416" spans="14:14" s="8" customFormat="1">
      <c r="N416" s="2170"/>
    </row>
    <row r="417" spans="14:14" s="8" customFormat="1">
      <c r="N417" s="2170"/>
    </row>
    <row r="418" spans="14:14" s="8" customFormat="1">
      <c r="N418" s="2170"/>
    </row>
    <row r="419" spans="14:14" s="8" customFormat="1">
      <c r="N419" s="2170"/>
    </row>
    <row r="420" spans="14:14" s="8" customFormat="1">
      <c r="N420" s="2170"/>
    </row>
    <row r="421" spans="14:14" s="8" customFormat="1">
      <c r="N421" s="2170"/>
    </row>
    <row r="422" spans="14:14" s="8" customFormat="1">
      <c r="N422" s="2170"/>
    </row>
    <row r="423" spans="14:14" s="8" customFormat="1">
      <c r="N423" s="2170"/>
    </row>
    <row r="424" spans="14:14" s="8" customFormat="1">
      <c r="N424" s="2170"/>
    </row>
    <row r="425" spans="14:14" s="8" customFormat="1">
      <c r="N425" s="2170"/>
    </row>
    <row r="426" spans="14:14" s="8" customFormat="1">
      <c r="N426" s="2170"/>
    </row>
    <row r="427" spans="14:14" s="8" customFormat="1">
      <c r="N427" s="2170"/>
    </row>
    <row r="428" spans="14:14" s="8" customFormat="1">
      <c r="N428" s="2170"/>
    </row>
    <row r="429" spans="14:14" s="8" customFormat="1">
      <c r="N429" s="2170"/>
    </row>
    <row r="430" spans="14:14" s="8" customFormat="1">
      <c r="N430" s="2170"/>
    </row>
    <row r="431" spans="14:14" s="8" customFormat="1">
      <c r="N431" s="2170"/>
    </row>
    <row r="432" spans="14:14" s="8" customFormat="1">
      <c r="N432" s="2170"/>
    </row>
    <row r="433" spans="14:14" s="8" customFormat="1">
      <c r="N433" s="2170"/>
    </row>
    <row r="434" spans="14:14" s="8" customFormat="1">
      <c r="N434" s="2170"/>
    </row>
    <row r="435" spans="14:14" s="8" customFormat="1">
      <c r="N435" s="2170"/>
    </row>
    <row r="436" spans="14:14" s="8" customFormat="1">
      <c r="N436" s="2170"/>
    </row>
    <row r="437" spans="14:14" s="8" customFormat="1">
      <c r="N437" s="2170"/>
    </row>
    <row r="438" spans="14:14" s="8" customFormat="1">
      <c r="N438" s="2170"/>
    </row>
    <row r="439" spans="14:14" s="8" customFormat="1">
      <c r="N439" s="2170"/>
    </row>
    <row r="440" spans="14:14" s="8" customFormat="1">
      <c r="N440" s="2170"/>
    </row>
    <row r="441" spans="14:14" s="8" customFormat="1">
      <c r="N441" s="2170"/>
    </row>
    <row r="442" spans="14:14" s="8" customFormat="1">
      <c r="N442" s="2170"/>
    </row>
    <row r="443" spans="14:14" s="8" customFormat="1">
      <c r="N443" s="2170"/>
    </row>
    <row r="444" spans="14:14" s="8" customFormat="1">
      <c r="N444" s="2170"/>
    </row>
    <row r="445" spans="14:14" s="8" customFormat="1">
      <c r="N445" s="2170"/>
    </row>
    <row r="446" spans="14:14" s="8" customFormat="1">
      <c r="N446" s="2170"/>
    </row>
    <row r="447" spans="14:14" s="8" customFormat="1">
      <c r="N447" s="2170"/>
    </row>
    <row r="448" spans="14:14" s="8" customFormat="1">
      <c r="N448" s="2170"/>
    </row>
    <row r="449" spans="14:14" s="8" customFormat="1">
      <c r="N449" s="2170"/>
    </row>
    <row r="450" spans="14:14" s="8" customFormat="1">
      <c r="N450" s="2170"/>
    </row>
    <row r="451" spans="14:14" s="8" customFormat="1">
      <c r="N451" s="2170"/>
    </row>
    <row r="452" spans="14:14" s="8" customFormat="1">
      <c r="N452" s="2170"/>
    </row>
    <row r="453" spans="14:14" s="8" customFormat="1">
      <c r="N453" s="2170"/>
    </row>
    <row r="454" spans="14:14" s="8" customFormat="1">
      <c r="N454" s="2170"/>
    </row>
    <row r="455" spans="14:14" s="8" customFormat="1">
      <c r="N455" s="2170"/>
    </row>
    <row r="456" spans="14:14" s="8" customFormat="1">
      <c r="N456" s="2170"/>
    </row>
    <row r="457" spans="14:14" s="8" customFormat="1">
      <c r="N457" s="2170"/>
    </row>
    <row r="458" spans="14:14" s="8" customFormat="1">
      <c r="N458" s="2170"/>
    </row>
    <row r="459" spans="14:14" s="8" customFormat="1">
      <c r="N459" s="2170"/>
    </row>
    <row r="460" spans="14:14" s="8" customFormat="1">
      <c r="N460" s="2170"/>
    </row>
    <row r="461" spans="14:14" s="8" customFormat="1">
      <c r="N461" s="2170"/>
    </row>
    <row r="462" spans="14:14" s="8" customFormat="1">
      <c r="N462" s="2170"/>
    </row>
    <row r="463" spans="14:14" s="8" customFormat="1">
      <c r="N463" s="2170"/>
    </row>
    <row r="464" spans="14:14" s="8" customFormat="1">
      <c r="N464" s="2170"/>
    </row>
    <row r="465" spans="14:14" s="8" customFormat="1">
      <c r="N465" s="2170"/>
    </row>
    <row r="466" spans="14:14" s="8" customFormat="1">
      <c r="N466" s="2170"/>
    </row>
    <row r="467" spans="14:14" s="8" customFormat="1">
      <c r="N467" s="2170"/>
    </row>
    <row r="468" spans="14:14" s="8" customFormat="1">
      <c r="N468" s="2170"/>
    </row>
    <row r="469" spans="14:14" s="8" customFormat="1">
      <c r="N469" s="2170"/>
    </row>
    <row r="470" spans="14:14" s="8" customFormat="1">
      <c r="N470" s="2170"/>
    </row>
    <row r="471" spans="14:14" s="8" customFormat="1">
      <c r="N471" s="2170"/>
    </row>
    <row r="472" spans="14:14" s="8" customFormat="1">
      <c r="N472" s="2170"/>
    </row>
    <row r="473" spans="14:14" s="8" customFormat="1">
      <c r="N473" s="2170"/>
    </row>
    <row r="474" spans="14:14" s="8" customFormat="1">
      <c r="N474" s="2170"/>
    </row>
    <row r="475" spans="14:14" s="8" customFormat="1">
      <c r="N475" s="2170"/>
    </row>
    <row r="476" spans="14:14" s="8" customFormat="1">
      <c r="N476" s="2170"/>
    </row>
    <row r="477" spans="14:14" s="8" customFormat="1">
      <c r="N477" s="2170"/>
    </row>
    <row r="478" spans="14:14" s="8" customFormat="1">
      <c r="N478" s="2170"/>
    </row>
    <row r="479" spans="14:14" s="8" customFormat="1">
      <c r="N479" s="2170"/>
    </row>
    <row r="480" spans="14:14" s="8" customFormat="1">
      <c r="N480" s="2170"/>
    </row>
    <row r="481" spans="14:14" s="8" customFormat="1">
      <c r="N481" s="2170"/>
    </row>
    <row r="482" spans="14:14" s="8" customFormat="1">
      <c r="N482" s="2170"/>
    </row>
    <row r="483" spans="14:14" s="8" customFormat="1">
      <c r="N483" s="2170"/>
    </row>
    <row r="484" spans="14:14" s="8" customFormat="1">
      <c r="N484" s="2170"/>
    </row>
    <row r="485" spans="14:14" s="8" customFormat="1">
      <c r="N485" s="2170"/>
    </row>
    <row r="486" spans="14:14" s="8" customFormat="1">
      <c r="N486" s="2170"/>
    </row>
    <row r="487" spans="14:14" s="8" customFormat="1">
      <c r="N487" s="2170"/>
    </row>
    <row r="488" spans="14:14" s="8" customFormat="1">
      <c r="N488" s="2170"/>
    </row>
    <row r="489" spans="14:14" s="8" customFormat="1">
      <c r="N489" s="2170"/>
    </row>
    <row r="490" spans="14:14" s="8" customFormat="1">
      <c r="N490" s="2170"/>
    </row>
    <row r="491" spans="14:14" s="8" customFormat="1">
      <c r="N491" s="2170"/>
    </row>
    <row r="492" spans="14:14" s="8" customFormat="1">
      <c r="N492" s="2170"/>
    </row>
    <row r="493" spans="14:14" s="8" customFormat="1">
      <c r="N493" s="2170"/>
    </row>
    <row r="494" spans="14:14" s="8" customFormat="1">
      <c r="N494" s="2170"/>
    </row>
    <row r="495" spans="14:14" s="8" customFormat="1">
      <c r="N495" s="2170"/>
    </row>
    <row r="496" spans="14:14" s="8" customFormat="1">
      <c r="N496" s="2170"/>
    </row>
    <row r="497" spans="14:14" s="8" customFormat="1">
      <c r="N497" s="2170"/>
    </row>
    <row r="498" spans="14:14" s="8" customFormat="1">
      <c r="N498" s="2170"/>
    </row>
    <row r="499" spans="14:14" s="8" customFormat="1">
      <c r="N499" s="2170"/>
    </row>
    <row r="500" spans="14:14" s="8" customFormat="1">
      <c r="N500" s="2170"/>
    </row>
    <row r="501" spans="14:14" s="8" customFormat="1">
      <c r="N501" s="2170"/>
    </row>
    <row r="502" spans="14:14" s="8" customFormat="1">
      <c r="N502" s="2170"/>
    </row>
    <row r="503" spans="14:14" s="8" customFormat="1">
      <c r="N503" s="2170"/>
    </row>
    <row r="504" spans="14:14" s="8" customFormat="1">
      <c r="N504" s="2170"/>
    </row>
    <row r="505" spans="14:14" s="8" customFormat="1">
      <c r="N505" s="2170"/>
    </row>
    <row r="506" spans="14:14" s="8" customFormat="1">
      <c r="N506" s="2170"/>
    </row>
    <row r="507" spans="14:14" s="8" customFormat="1">
      <c r="N507" s="2170"/>
    </row>
    <row r="508" spans="14:14" s="8" customFormat="1">
      <c r="N508" s="2170"/>
    </row>
    <row r="509" spans="14:14" s="8" customFormat="1">
      <c r="N509" s="2170"/>
    </row>
    <row r="510" spans="14:14" s="8" customFormat="1">
      <c r="N510" s="2170"/>
    </row>
    <row r="511" spans="14:14" s="8" customFormat="1">
      <c r="N511" s="2170"/>
    </row>
    <row r="512" spans="14:14" s="8" customFormat="1">
      <c r="N512" s="2170"/>
    </row>
    <row r="513" spans="14:14" s="8" customFormat="1">
      <c r="N513" s="2170"/>
    </row>
    <row r="514" spans="14:14" s="8" customFormat="1">
      <c r="N514" s="2170"/>
    </row>
    <row r="515" spans="14:14" s="8" customFormat="1">
      <c r="N515" s="2170"/>
    </row>
    <row r="516" spans="14:14" s="8" customFormat="1">
      <c r="N516" s="2170"/>
    </row>
    <row r="517" spans="14:14" s="8" customFormat="1">
      <c r="N517" s="2170"/>
    </row>
    <row r="518" spans="14:14" s="8" customFormat="1">
      <c r="N518" s="2170"/>
    </row>
    <row r="519" spans="14:14" s="8" customFormat="1">
      <c r="N519" s="2170"/>
    </row>
    <row r="520" spans="14:14" s="8" customFormat="1">
      <c r="N520" s="2170"/>
    </row>
    <row r="521" spans="14:14" s="8" customFormat="1">
      <c r="N521" s="2170"/>
    </row>
    <row r="522" spans="14:14" s="8" customFormat="1">
      <c r="N522" s="2170"/>
    </row>
    <row r="523" spans="14:14" s="8" customFormat="1">
      <c r="N523" s="2170"/>
    </row>
    <row r="524" spans="14:14" s="8" customFormat="1">
      <c r="N524" s="2170"/>
    </row>
    <row r="525" spans="14:14" s="8" customFormat="1">
      <c r="N525" s="2170"/>
    </row>
    <row r="526" spans="14:14" s="8" customFormat="1">
      <c r="N526" s="2170"/>
    </row>
    <row r="527" spans="14:14" s="8" customFormat="1">
      <c r="N527" s="2170"/>
    </row>
    <row r="528" spans="14:14" s="8" customFormat="1">
      <c r="N528" s="2170"/>
    </row>
    <row r="529" spans="14:14" s="8" customFormat="1">
      <c r="N529" s="2170"/>
    </row>
    <row r="530" spans="14:14" s="8" customFormat="1">
      <c r="N530" s="2170"/>
    </row>
    <row r="531" spans="14:14" s="8" customFormat="1">
      <c r="N531" s="2170"/>
    </row>
    <row r="532" spans="14:14" s="8" customFormat="1">
      <c r="N532" s="2170"/>
    </row>
    <row r="533" spans="14:14" s="8" customFormat="1">
      <c r="N533" s="2170"/>
    </row>
    <row r="534" spans="14:14" s="8" customFormat="1">
      <c r="N534" s="2170"/>
    </row>
    <row r="535" spans="14:14" s="8" customFormat="1">
      <c r="N535" s="2170"/>
    </row>
    <row r="536" spans="14:14" s="8" customFormat="1">
      <c r="N536" s="2170"/>
    </row>
    <row r="537" spans="14:14" s="8" customFormat="1">
      <c r="N537" s="2170"/>
    </row>
    <row r="538" spans="14:14" s="8" customFormat="1">
      <c r="N538" s="2170"/>
    </row>
    <row r="539" spans="14:14" s="8" customFormat="1">
      <c r="N539" s="2170"/>
    </row>
    <row r="540" spans="14:14" s="8" customFormat="1">
      <c r="N540" s="2170"/>
    </row>
    <row r="541" spans="14:14" s="8" customFormat="1">
      <c r="N541" s="2170"/>
    </row>
    <row r="542" spans="14:14" s="8" customFormat="1">
      <c r="N542" s="2170"/>
    </row>
    <row r="543" spans="14:14" s="8" customFormat="1">
      <c r="N543" s="2170"/>
    </row>
    <row r="544" spans="14:14" s="8" customFormat="1">
      <c r="N544" s="2170"/>
    </row>
    <row r="545" spans="14:14" s="8" customFormat="1">
      <c r="N545" s="2170"/>
    </row>
    <row r="546" spans="14:14" s="8" customFormat="1">
      <c r="N546" s="2170"/>
    </row>
    <row r="547" spans="14:14" s="8" customFormat="1">
      <c r="N547" s="2170"/>
    </row>
    <row r="548" spans="14:14" s="8" customFormat="1">
      <c r="N548" s="2170"/>
    </row>
    <row r="549" spans="14:14" s="8" customFormat="1">
      <c r="N549" s="2170"/>
    </row>
    <row r="550" spans="14:14" s="8" customFormat="1">
      <c r="N550" s="2170"/>
    </row>
    <row r="551" spans="14:14" s="8" customFormat="1">
      <c r="N551" s="2170"/>
    </row>
    <row r="552" spans="14:14" s="8" customFormat="1">
      <c r="N552" s="2170"/>
    </row>
    <row r="553" spans="14:14" s="8" customFormat="1">
      <c r="N553" s="2170"/>
    </row>
    <row r="554" spans="14:14" s="8" customFormat="1">
      <c r="N554" s="2170"/>
    </row>
    <row r="555" spans="14:14" s="8" customFormat="1">
      <c r="N555" s="2170"/>
    </row>
    <row r="556" spans="14:14" s="8" customFormat="1">
      <c r="N556" s="2170"/>
    </row>
    <row r="557" spans="14:14" s="8" customFormat="1">
      <c r="N557" s="2170"/>
    </row>
    <row r="558" spans="14:14" s="8" customFormat="1">
      <c r="N558" s="2170"/>
    </row>
    <row r="559" spans="14:14" s="8" customFormat="1">
      <c r="N559" s="2170"/>
    </row>
    <row r="560" spans="14:14" s="8" customFormat="1">
      <c r="N560" s="2170"/>
    </row>
    <row r="561" spans="14:14" s="8" customFormat="1">
      <c r="N561" s="2170"/>
    </row>
    <row r="562" spans="14:14" s="8" customFormat="1">
      <c r="N562" s="2170"/>
    </row>
    <row r="563" spans="14:14" s="8" customFormat="1">
      <c r="N563" s="2170"/>
    </row>
    <row r="564" spans="14:14" s="8" customFormat="1">
      <c r="N564" s="2170"/>
    </row>
    <row r="565" spans="14:14" s="8" customFormat="1">
      <c r="N565" s="2170"/>
    </row>
    <row r="566" spans="14:14" s="8" customFormat="1">
      <c r="N566" s="2170"/>
    </row>
    <row r="567" spans="14:14" s="8" customFormat="1">
      <c r="N567" s="2170"/>
    </row>
    <row r="568" spans="14:14" s="8" customFormat="1">
      <c r="N568" s="2170"/>
    </row>
    <row r="569" spans="14:14" s="8" customFormat="1">
      <c r="N569" s="2170"/>
    </row>
    <row r="570" spans="14:14" s="8" customFormat="1">
      <c r="N570" s="2170"/>
    </row>
    <row r="571" spans="14:14" s="8" customFormat="1">
      <c r="N571" s="2170"/>
    </row>
    <row r="572" spans="14:14" s="8" customFormat="1">
      <c r="N572" s="2170"/>
    </row>
    <row r="573" spans="14:14" s="8" customFormat="1">
      <c r="N573" s="2170"/>
    </row>
    <row r="574" spans="14:14" s="8" customFormat="1">
      <c r="N574" s="2170"/>
    </row>
    <row r="575" spans="14:14" s="8" customFormat="1">
      <c r="N575" s="2170"/>
    </row>
    <row r="576" spans="14:14" s="8" customFormat="1">
      <c r="N576" s="2170"/>
    </row>
    <row r="577" spans="14:14" s="8" customFormat="1">
      <c r="N577" s="2170"/>
    </row>
    <row r="578" spans="14:14" s="8" customFormat="1">
      <c r="N578" s="2170"/>
    </row>
    <row r="579" spans="14:14" s="8" customFormat="1">
      <c r="N579" s="2170"/>
    </row>
    <row r="580" spans="14:14" s="8" customFormat="1">
      <c r="N580" s="2170"/>
    </row>
    <row r="581" spans="14:14" s="8" customFormat="1">
      <c r="N581" s="2170"/>
    </row>
    <row r="582" spans="14:14" s="8" customFormat="1">
      <c r="N582" s="2170"/>
    </row>
    <row r="583" spans="14:14" s="8" customFormat="1">
      <c r="N583" s="2170"/>
    </row>
    <row r="584" spans="14:14" s="8" customFormat="1">
      <c r="N584" s="2170"/>
    </row>
    <row r="585" spans="14:14" s="8" customFormat="1">
      <c r="N585" s="2170"/>
    </row>
    <row r="586" spans="14:14" s="8" customFormat="1">
      <c r="N586" s="2170"/>
    </row>
    <row r="587" spans="14:14" s="8" customFormat="1">
      <c r="N587" s="2170"/>
    </row>
    <row r="588" spans="14:14" s="8" customFormat="1">
      <c r="N588" s="2170"/>
    </row>
    <row r="589" spans="14:14" s="8" customFormat="1">
      <c r="N589" s="2170"/>
    </row>
    <row r="590" spans="14:14" s="8" customFormat="1">
      <c r="N590" s="2170"/>
    </row>
    <row r="591" spans="14:14" s="8" customFormat="1">
      <c r="N591" s="2170"/>
    </row>
    <row r="592" spans="14:14" s="8" customFormat="1">
      <c r="N592" s="2170"/>
    </row>
    <row r="593" spans="14:14" s="8" customFormat="1">
      <c r="N593" s="2170"/>
    </row>
    <row r="594" spans="14:14" s="8" customFormat="1">
      <c r="N594" s="2170"/>
    </row>
    <row r="595" spans="14:14" s="8" customFormat="1">
      <c r="N595" s="2170"/>
    </row>
    <row r="596" spans="14:14" s="8" customFormat="1">
      <c r="N596" s="2170"/>
    </row>
    <row r="597" spans="14:14" s="8" customFormat="1">
      <c r="N597" s="2170"/>
    </row>
    <row r="598" spans="14:14" s="8" customFormat="1">
      <c r="N598" s="2170"/>
    </row>
    <row r="599" spans="14:14" s="8" customFormat="1">
      <c r="N599" s="2170"/>
    </row>
    <row r="600" spans="14:14" s="8" customFormat="1">
      <c r="N600" s="2170"/>
    </row>
    <row r="601" spans="14:14" s="8" customFormat="1">
      <c r="N601" s="2170"/>
    </row>
    <row r="602" spans="14:14" s="8" customFormat="1">
      <c r="N602" s="2170"/>
    </row>
    <row r="603" spans="14:14" s="8" customFormat="1">
      <c r="N603" s="2170"/>
    </row>
    <row r="604" spans="14:14" s="8" customFormat="1">
      <c r="N604" s="2170"/>
    </row>
    <row r="605" spans="14:14" s="8" customFormat="1">
      <c r="N605" s="2170"/>
    </row>
    <row r="606" spans="14:14" s="8" customFormat="1">
      <c r="N606" s="2170"/>
    </row>
    <row r="607" spans="14:14" s="8" customFormat="1">
      <c r="N607" s="2170"/>
    </row>
    <row r="608" spans="14:14" s="8" customFormat="1">
      <c r="N608" s="2170"/>
    </row>
    <row r="609" spans="14:14" s="8" customFormat="1">
      <c r="N609" s="2170"/>
    </row>
    <row r="610" spans="14:14" s="8" customFormat="1">
      <c r="N610" s="2170"/>
    </row>
    <row r="611" spans="14:14" s="8" customFormat="1">
      <c r="N611" s="2170"/>
    </row>
    <row r="612" spans="14:14" s="8" customFormat="1">
      <c r="N612" s="2170"/>
    </row>
    <row r="613" spans="14:14" s="8" customFormat="1">
      <c r="N613" s="2170"/>
    </row>
    <row r="614" spans="14:14" s="8" customFormat="1">
      <c r="N614" s="2170"/>
    </row>
    <row r="615" spans="14:14" s="8" customFormat="1">
      <c r="N615" s="2170"/>
    </row>
    <row r="616" spans="14:14" s="8" customFormat="1">
      <c r="N616" s="2170"/>
    </row>
    <row r="617" spans="14:14" s="8" customFormat="1">
      <c r="N617" s="2170"/>
    </row>
    <row r="618" spans="14:14" s="8" customFormat="1">
      <c r="N618" s="2170"/>
    </row>
    <row r="619" spans="14:14" s="8" customFormat="1">
      <c r="N619" s="2170"/>
    </row>
    <row r="620" spans="14:14" s="8" customFormat="1">
      <c r="N620" s="2170"/>
    </row>
    <row r="621" spans="14:14" s="8" customFormat="1">
      <c r="N621" s="2170"/>
    </row>
    <row r="622" spans="14:14" s="8" customFormat="1">
      <c r="N622" s="2170"/>
    </row>
    <row r="623" spans="14:14" s="8" customFormat="1">
      <c r="N623" s="2170"/>
    </row>
    <row r="624" spans="14:14" s="8" customFormat="1">
      <c r="N624" s="2170"/>
    </row>
    <row r="625" spans="14:14" s="8" customFormat="1">
      <c r="N625" s="2170"/>
    </row>
    <row r="626" spans="14:14" s="8" customFormat="1">
      <c r="N626" s="2170"/>
    </row>
    <row r="627" spans="14:14" s="8" customFormat="1">
      <c r="N627" s="2170"/>
    </row>
    <row r="628" spans="14:14" s="8" customFormat="1">
      <c r="N628" s="2170"/>
    </row>
    <row r="629" spans="14:14" s="8" customFormat="1">
      <c r="N629" s="2170"/>
    </row>
    <row r="630" spans="14:14" s="8" customFormat="1">
      <c r="N630" s="2170"/>
    </row>
    <row r="631" spans="14:14" s="8" customFormat="1">
      <c r="N631" s="2170"/>
    </row>
    <row r="632" spans="14:14" s="8" customFormat="1">
      <c r="N632" s="2170"/>
    </row>
    <row r="633" spans="14:14" s="8" customFormat="1">
      <c r="N633" s="2170"/>
    </row>
    <row r="634" spans="14:14" s="8" customFormat="1">
      <c r="N634" s="2170"/>
    </row>
    <row r="635" spans="14:14" s="8" customFormat="1">
      <c r="N635" s="2170"/>
    </row>
    <row r="636" spans="14:14" s="8" customFormat="1">
      <c r="N636" s="2170"/>
    </row>
    <row r="637" spans="14:14" s="8" customFormat="1">
      <c r="N637" s="2170"/>
    </row>
    <row r="638" spans="14:14" s="8" customFormat="1">
      <c r="N638" s="2170"/>
    </row>
    <row r="639" spans="14:14" s="8" customFormat="1">
      <c r="N639" s="2170"/>
    </row>
    <row r="640" spans="14:14" s="8" customFormat="1">
      <c r="N640" s="2170"/>
    </row>
    <row r="641" spans="14:14" s="8" customFormat="1">
      <c r="N641" s="2170"/>
    </row>
    <row r="642" spans="14:14" s="8" customFormat="1">
      <c r="N642" s="2170"/>
    </row>
    <row r="643" spans="14:14" s="8" customFormat="1">
      <c r="N643" s="2170"/>
    </row>
    <row r="644" spans="14:14" s="8" customFormat="1">
      <c r="N644" s="2170"/>
    </row>
    <row r="645" spans="14:14" s="8" customFormat="1">
      <c r="N645" s="2170"/>
    </row>
    <row r="646" spans="14:14" s="8" customFormat="1">
      <c r="N646" s="2170"/>
    </row>
    <row r="647" spans="14:14" s="8" customFormat="1">
      <c r="N647" s="2170"/>
    </row>
    <row r="648" spans="14:14" s="8" customFormat="1">
      <c r="N648" s="2170"/>
    </row>
    <row r="649" spans="14:14" s="8" customFormat="1">
      <c r="N649" s="2170"/>
    </row>
    <row r="650" spans="14:14" s="8" customFormat="1">
      <c r="N650" s="2170"/>
    </row>
    <row r="651" spans="14:14" s="8" customFormat="1">
      <c r="N651" s="2170"/>
    </row>
    <row r="652" spans="14:14" s="8" customFormat="1">
      <c r="N652" s="2170"/>
    </row>
    <row r="653" spans="14:14" s="8" customFormat="1">
      <c r="N653" s="2170"/>
    </row>
    <row r="654" spans="14:14" s="8" customFormat="1">
      <c r="N654" s="2170"/>
    </row>
    <row r="655" spans="14:14" s="8" customFormat="1">
      <c r="N655" s="2170"/>
    </row>
    <row r="656" spans="14:14" s="8" customFormat="1">
      <c r="N656" s="2170"/>
    </row>
    <row r="657" spans="14:14" s="8" customFormat="1">
      <c r="N657" s="2170"/>
    </row>
    <row r="658" spans="14:14" s="8" customFormat="1">
      <c r="N658" s="2170"/>
    </row>
    <row r="659" spans="14:14" s="8" customFormat="1">
      <c r="N659" s="2170"/>
    </row>
    <row r="660" spans="14:14" s="8" customFormat="1">
      <c r="N660" s="2170"/>
    </row>
    <row r="661" spans="14:14" s="8" customFormat="1">
      <c r="N661" s="2170"/>
    </row>
    <row r="662" spans="14:14" s="8" customFormat="1">
      <c r="N662" s="2170"/>
    </row>
    <row r="663" spans="14:14" s="8" customFormat="1">
      <c r="N663" s="2170"/>
    </row>
    <row r="664" spans="14:14" s="8" customFormat="1">
      <c r="N664" s="2170"/>
    </row>
    <row r="665" spans="14:14" s="8" customFormat="1">
      <c r="N665" s="2170"/>
    </row>
    <row r="666" spans="14:14" s="8" customFormat="1">
      <c r="N666" s="2170"/>
    </row>
    <row r="667" spans="14:14" s="8" customFormat="1">
      <c r="N667" s="2170"/>
    </row>
    <row r="668" spans="14:14" s="8" customFormat="1">
      <c r="N668" s="2170"/>
    </row>
    <row r="669" spans="14:14" s="8" customFormat="1">
      <c r="N669" s="2170"/>
    </row>
    <row r="670" spans="14:14" s="8" customFormat="1">
      <c r="N670" s="2170"/>
    </row>
    <row r="671" spans="14:14" s="8" customFormat="1">
      <c r="N671" s="2170"/>
    </row>
    <row r="672" spans="14:14" s="8" customFormat="1">
      <c r="N672" s="2170"/>
    </row>
    <row r="673" spans="14:14" s="8" customFormat="1">
      <c r="N673" s="2170"/>
    </row>
    <row r="674" spans="14:14" s="8" customFormat="1">
      <c r="N674" s="2170"/>
    </row>
    <row r="675" spans="14:14" s="8" customFormat="1">
      <c r="N675" s="2170"/>
    </row>
    <row r="676" spans="14:14" s="8" customFormat="1">
      <c r="N676" s="2170"/>
    </row>
    <row r="677" spans="14:14" s="8" customFormat="1">
      <c r="N677" s="2170"/>
    </row>
    <row r="678" spans="14:14" s="8" customFormat="1">
      <c r="N678" s="2170"/>
    </row>
    <row r="679" spans="14:14" s="8" customFormat="1">
      <c r="N679" s="2170"/>
    </row>
    <row r="680" spans="14:14" s="8" customFormat="1">
      <c r="N680" s="2170"/>
    </row>
    <row r="681" spans="14:14" s="8" customFormat="1">
      <c r="N681" s="2170"/>
    </row>
    <row r="682" spans="14:14" s="8" customFormat="1">
      <c r="N682" s="2170"/>
    </row>
    <row r="683" spans="14:14" s="8" customFormat="1">
      <c r="N683" s="2170"/>
    </row>
    <row r="684" spans="14:14" s="8" customFormat="1">
      <c r="N684" s="2170"/>
    </row>
    <row r="685" spans="14:14" s="8" customFormat="1">
      <c r="N685" s="2170"/>
    </row>
    <row r="686" spans="14:14" s="8" customFormat="1">
      <c r="N686" s="2170"/>
    </row>
    <row r="687" spans="14:14" s="8" customFormat="1">
      <c r="N687" s="2170"/>
    </row>
    <row r="688" spans="14:14" s="8" customFormat="1">
      <c r="N688" s="2170"/>
    </row>
    <row r="689" spans="14:14" s="8" customFormat="1">
      <c r="N689" s="2170"/>
    </row>
    <row r="690" spans="14:14" s="8" customFormat="1">
      <c r="N690" s="2170"/>
    </row>
    <row r="691" spans="14:14" s="8" customFormat="1">
      <c r="N691" s="2170"/>
    </row>
    <row r="692" spans="14:14" s="8" customFormat="1">
      <c r="N692" s="2170"/>
    </row>
    <row r="693" spans="14:14" s="8" customFormat="1">
      <c r="N693" s="2170"/>
    </row>
    <row r="694" spans="14:14" s="8" customFormat="1">
      <c r="N694" s="2170"/>
    </row>
    <row r="695" spans="14:14" s="8" customFormat="1">
      <c r="N695" s="2170"/>
    </row>
    <row r="696" spans="14:14" s="8" customFormat="1">
      <c r="N696" s="2170"/>
    </row>
    <row r="697" spans="14:14" s="8" customFormat="1">
      <c r="N697" s="2170"/>
    </row>
    <row r="698" spans="14:14" s="8" customFormat="1">
      <c r="N698" s="2170"/>
    </row>
    <row r="699" spans="14:14" s="8" customFormat="1">
      <c r="N699" s="2170"/>
    </row>
  </sheetData>
  <mergeCells count="5">
    <mergeCell ref="B1:G1"/>
    <mergeCell ref="I1:M1"/>
    <mergeCell ref="I9:M9"/>
    <mergeCell ref="B51:G52"/>
    <mergeCell ref="I51:M51"/>
  </mergeCells>
  <pageMargins left="0.25" right="0.25" top="0.25" bottom="0.25" header="0.3" footer="0.3"/>
  <pageSetup scale="60" fitToHeight="0" orientation="landscape" r:id="rId1"/>
  <headerFooter>
    <oddFooter>&amp;R&amp;P of &amp;N</oddFooter>
  </headerFooter>
  <rowBreaks count="1" manualBreakCount="1">
    <brk id="50" min="8" max="1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3" tint="0.79998168889431442"/>
    <pageSetUpPr fitToPage="1"/>
  </sheetPr>
  <dimension ref="A1:GE434"/>
  <sheetViews>
    <sheetView topLeftCell="C16" zoomScale="80" zoomScaleNormal="80" workbookViewId="0">
      <selection activeCell="D29" sqref="D29:D32"/>
    </sheetView>
  </sheetViews>
  <sheetFormatPr defaultColWidth="9.42578125" defaultRowHeight="12.75"/>
  <cols>
    <col min="1" max="1" width="9.42578125" style="8" customWidth="1"/>
    <col min="2" max="2" width="25.5703125" style="8" customWidth="1"/>
    <col min="3" max="4" width="12.42578125" style="8" customWidth="1"/>
    <col min="5" max="5" width="12.85546875" style="8" customWidth="1"/>
    <col min="6" max="6" width="3.42578125" style="8" customWidth="1"/>
    <col min="7" max="7" width="55.5703125" style="8" bestFit="1" customWidth="1"/>
    <col min="8" max="8" width="3.5703125" style="8" customWidth="1"/>
    <col min="9" max="9" width="22.5703125" style="8" customWidth="1"/>
    <col min="10" max="10" width="12" style="8" customWidth="1"/>
    <col min="11" max="11" width="13.5703125" style="8" customWidth="1"/>
    <col min="12" max="12" width="14.5703125" style="8" customWidth="1"/>
    <col min="13" max="13" width="16.42578125" style="8" customWidth="1"/>
    <col min="14" max="14" width="17.5703125" style="8" customWidth="1"/>
    <col min="15" max="17" width="9.42578125" style="8"/>
    <col min="18" max="187" width="9.42578125" style="255"/>
    <col min="188" max="16384" width="9.42578125" style="8"/>
  </cols>
  <sheetData>
    <row r="1" spans="1:14" ht="13.5" thickBot="1">
      <c r="A1" s="253"/>
      <c r="B1" s="2554" t="s">
        <v>546</v>
      </c>
      <c r="C1" s="2554"/>
      <c r="D1" s="2554"/>
      <c r="E1" s="2554"/>
      <c r="F1" s="2554"/>
      <c r="G1" s="2554"/>
      <c r="H1" s="253"/>
      <c r="I1" s="2587" t="s">
        <v>382</v>
      </c>
      <c r="J1" s="2587"/>
      <c r="K1" s="2587"/>
      <c r="L1" s="2587"/>
      <c r="M1" s="2587"/>
      <c r="N1" s="253"/>
    </row>
    <row r="2" spans="1:14" ht="13.5" thickBot="1">
      <c r="A2" s="253"/>
      <c r="B2" s="253"/>
      <c r="C2" s="253"/>
      <c r="D2" s="253"/>
      <c r="E2" s="253"/>
      <c r="F2" s="253"/>
      <c r="G2" s="253"/>
      <c r="H2" s="253"/>
      <c r="I2" s="254"/>
      <c r="J2" s="253"/>
      <c r="K2" s="253"/>
      <c r="L2" s="253"/>
      <c r="M2" s="253"/>
      <c r="N2" s="253"/>
    </row>
    <row r="3" spans="1:14">
      <c r="A3" s="253"/>
      <c r="B3" s="138" t="s">
        <v>0</v>
      </c>
      <c r="C3" s="139" t="s">
        <v>1</v>
      </c>
      <c r="D3" s="163" t="s">
        <v>2</v>
      </c>
      <c r="E3" s="253"/>
      <c r="F3" s="253"/>
      <c r="G3" s="253"/>
      <c r="H3" s="253"/>
      <c r="I3" s="254"/>
      <c r="J3" s="253"/>
      <c r="K3" s="253"/>
      <c r="L3" s="253"/>
      <c r="M3" s="253"/>
      <c r="N3" s="253"/>
    </row>
    <row r="4" spans="1:14">
      <c r="A4" s="253"/>
      <c r="B4" s="140" t="s">
        <v>370</v>
      </c>
      <c r="C4" s="141">
        <v>15</v>
      </c>
      <c r="D4" s="164">
        <f>C4*8</f>
        <v>120</v>
      </c>
      <c r="E4" s="253"/>
      <c r="F4" s="253"/>
      <c r="G4" s="38"/>
      <c r="H4" s="253"/>
      <c r="I4" s="253"/>
      <c r="J4" s="253"/>
      <c r="K4" s="253"/>
      <c r="L4" s="253"/>
      <c r="M4" s="253"/>
      <c r="N4" s="253"/>
    </row>
    <row r="5" spans="1:14">
      <c r="A5" s="253"/>
      <c r="B5" s="140" t="s">
        <v>378</v>
      </c>
      <c r="C5" s="141">
        <v>8</v>
      </c>
      <c r="D5" s="164">
        <f>C5*8</f>
        <v>64</v>
      </c>
      <c r="E5" s="253"/>
      <c r="F5" s="253"/>
      <c r="G5" s="39"/>
      <c r="H5" s="253"/>
      <c r="I5" s="253"/>
      <c r="J5" s="253"/>
      <c r="K5" s="253"/>
      <c r="L5" s="253"/>
      <c r="M5" s="253"/>
      <c r="N5" s="253"/>
    </row>
    <row r="6" spans="1:14">
      <c r="A6" s="253"/>
      <c r="B6" s="140" t="s">
        <v>372</v>
      </c>
      <c r="C6" s="141">
        <v>10</v>
      </c>
      <c r="D6" s="164">
        <f>C6*8</f>
        <v>80</v>
      </c>
      <c r="E6" s="253"/>
      <c r="F6" s="253"/>
      <c r="G6" s="39"/>
      <c r="H6" s="253"/>
      <c r="I6" s="253"/>
      <c r="J6" s="253"/>
      <c r="K6" s="253"/>
      <c r="L6" s="253"/>
      <c r="M6" s="253"/>
      <c r="N6" s="253"/>
    </row>
    <row r="7" spans="1:14">
      <c r="A7" s="253"/>
      <c r="B7" s="142" t="s">
        <v>902</v>
      </c>
      <c r="C7" s="141">
        <v>5</v>
      </c>
      <c r="D7" s="165">
        <f>C7*8</f>
        <v>40</v>
      </c>
      <c r="E7" s="253"/>
      <c r="F7" s="253"/>
      <c r="G7" s="39"/>
      <c r="H7" s="253"/>
      <c r="I7" s="253"/>
      <c r="J7" s="253"/>
      <c r="K7" s="253"/>
      <c r="L7" s="253"/>
      <c r="M7" s="253"/>
      <c r="N7" s="253"/>
    </row>
    <row r="8" spans="1:14" ht="13.5" thickBot="1">
      <c r="A8" s="253"/>
      <c r="B8" s="140"/>
      <c r="C8" s="143" t="s">
        <v>3</v>
      </c>
      <c r="D8" s="164">
        <f>SUM(D4:D7)</f>
        <v>304</v>
      </c>
      <c r="E8" s="253"/>
      <c r="F8" s="253"/>
      <c r="G8" s="39"/>
      <c r="H8" s="253"/>
      <c r="I8" s="253"/>
      <c r="J8" s="253"/>
      <c r="K8" s="253"/>
      <c r="L8" s="253"/>
      <c r="M8" s="253"/>
      <c r="N8" s="253"/>
    </row>
    <row r="9" spans="1:14" ht="15.75" customHeight="1" thickBot="1">
      <c r="A9" s="253"/>
      <c r="B9" s="144"/>
      <c r="C9" s="145" t="s">
        <v>4</v>
      </c>
      <c r="D9" s="166">
        <f>D8/(52*40)</f>
        <v>0.14615384615384616</v>
      </c>
      <c r="E9" s="253"/>
      <c r="F9" s="253"/>
      <c r="G9" s="39"/>
      <c r="H9" s="253"/>
      <c r="I9" s="2588" t="s">
        <v>582</v>
      </c>
      <c r="J9" s="2589"/>
      <c r="K9" s="2589"/>
      <c r="L9" s="2589"/>
      <c r="M9" s="2590"/>
      <c r="N9" s="253"/>
    </row>
    <row r="10" spans="1:14" ht="13.5" thickBot="1">
      <c r="A10" s="253"/>
      <c r="B10" s="253"/>
      <c r="C10" s="253"/>
      <c r="D10" s="253"/>
      <c r="E10" s="253"/>
      <c r="F10" s="253"/>
      <c r="G10" s="40"/>
      <c r="H10" s="253"/>
      <c r="I10" s="146" t="s">
        <v>277</v>
      </c>
      <c r="J10" s="147">
        <v>5</v>
      </c>
      <c r="K10" s="148"/>
      <c r="L10" s="149" t="s">
        <v>133</v>
      </c>
      <c r="M10" s="150">
        <f>J10*365</f>
        <v>1825</v>
      </c>
      <c r="N10" s="253"/>
    </row>
    <row r="11" spans="1:14" ht="25.5">
      <c r="A11" s="253"/>
      <c r="B11" s="42"/>
      <c r="C11" s="154"/>
      <c r="D11" s="154" t="s">
        <v>41</v>
      </c>
      <c r="F11" s="271"/>
      <c r="G11" s="259" t="s">
        <v>278</v>
      </c>
      <c r="H11" s="253"/>
      <c r="I11" s="106"/>
      <c r="J11" s="53"/>
      <c r="K11" s="54" t="s">
        <v>5</v>
      </c>
      <c r="L11" s="54" t="s">
        <v>6</v>
      </c>
      <c r="M11" s="107" t="s">
        <v>7</v>
      </c>
      <c r="N11" s="253"/>
    </row>
    <row r="12" spans="1:14">
      <c r="A12" s="253"/>
      <c r="B12" s="44" t="s">
        <v>29</v>
      </c>
      <c r="C12" s="45"/>
      <c r="D12" s="46"/>
      <c r="E12" s="383"/>
      <c r="F12" s="50"/>
      <c r="G12" s="301"/>
      <c r="H12" s="253"/>
      <c r="I12" s="100" t="str">
        <f t="shared" ref="I12:I18" si="0">B12</f>
        <v>Management</v>
      </c>
      <c r="J12" s="55"/>
      <c r="K12" s="56"/>
      <c r="L12" s="56"/>
      <c r="M12" s="108"/>
      <c r="N12" s="253"/>
    </row>
    <row r="13" spans="1:14">
      <c r="A13" s="253"/>
      <c r="B13" s="48" t="s">
        <v>421</v>
      </c>
      <c r="C13" s="85"/>
      <c r="D13" s="58">
        <f>'Integrated Team (FY21)'!E15</f>
        <v>92496.84919424048</v>
      </c>
      <c r="F13" s="50"/>
      <c r="G13" s="275" t="str">
        <f>Int_Fire_Safety!G13</f>
        <v>FY16 UFR, Weighted Average, Program Function Manager</v>
      </c>
      <c r="H13" s="253"/>
      <c r="I13" s="104" t="str">
        <f>B13</f>
        <v xml:space="preserve">  Management Supervision</v>
      </c>
      <c r="J13" s="57"/>
      <c r="K13" s="58">
        <f>D13</f>
        <v>92496.84919424048</v>
      </c>
      <c r="L13" s="59">
        <f>C41</f>
        <v>0.1</v>
      </c>
      <c r="M13" s="110">
        <f>K13*L13</f>
        <v>9249.6849194240476</v>
      </c>
      <c r="N13" s="253"/>
    </row>
    <row r="14" spans="1:14" ht="25.5">
      <c r="A14" s="253"/>
      <c r="B14" s="48" t="s">
        <v>402</v>
      </c>
      <c r="C14" s="85"/>
      <c r="D14" s="1654">
        <f>'Integrated Team (FY21)'!E14</f>
        <v>53840</v>
      </c>
      <c r="E14" s="383">
        <v>60923</v>
      </c>
      <c r="F14" s="50"/>
      <c r="G14" s="858" t="str">
        <f>Int_Fire_Safety!G14</f>
        <v>FY15 UFR, Weighted Average, Assistant Director (LICSW Level) / Previous Proposed Benchmark</v>
      </c>
      <c r="H14" s="253"/>
      <c r="I14" s="104" t="str">
        <f>B14</f>
        <v xml:space="preserve">  Specialty Site Manager</v>
      </c>
      <c r="J14" s="57"/>
      <c r="K14" s="58">
        <f>E14</f>
        <v>60923</v>
      </c>
      <c r="L14" s="59">
        <f>C42</f>
        <v>1</v>
      </c>
      <c r="M14" s="110">
        <f>K14*L14</f>
        <v>60923</v>
      </c>
      <c r="N14" s="253"/>
    </row>
    <row r="15" spans="1:14">
      <c r="A15" s="253"/>
      <c r="B15" s="44" t="s">
        <v>30</v>
      </c>
      <c r="C15" s="85"/>
      <c r="D15" s="46"/>
      <c r="E15" s="50"/>
      <c r="F15" s="50"/>
      <c r="G15" s="275"/>
      <c r="H15" s="253"/>
      <c r="I15" s="100" t="str">
        <f t="shared" si="0"/>
        <v>Medical and Clinical</v>
      </c>
      <c r="J15" s="57"/>
      <c r="K15" s="636"/>
      <c r="L15" s="59"/>
      <c r="M15" s="110"/>
      <c r="N15" s="253"/>
    </row>
    <row r="16" spans="1:14">
      <c r="A16" s="253"/>
      <c r="B16" s="374" t="s">
        <v>47</v>
      </c>
      <c r="C16" s="381"/>
      <c r="D16" s="1556">
        <f>'Int_Beh (FY21)'!D17</f>
        <v>60923.199999999997</v>
      </c>
      <c r="E16" s="50"/>
      <c r="F16" s="383"/>
      <c r="G16" s="384" t="str">
        <f>Int_Fire_Safety!G17</f>
        <v>BLS /OES Massachusetts Median 2018</v>
      </c>
      <c r="H16" s="349"/>
      <c r="I16" s="385" t="str">
        <f t="shared" si="0"/>
        <v xml:space="preserve">  LPHA</v>
      </c>
      <c r="J16" s="377"/>
      <c r="K16" s="1540">
        <f>D16</f>
        <v>60923.199999999997</v>
      </c>
      <c r="L16" s="382">
        <f>C44</f>
        <v>1</v>
      </c>
      <c r="M16" s="379">
        <f>K16*L16</f>
        <v>60923.199999999997</v>
      </c>
      <c r="N16" s="253"/>
    </row>
    <row r="17" spans="1:14">
      <c r="A17" s="253"/>
      <c r="B17" s="48" t="s">
        <v>126</v>
      </c>
      <c r="C17" s="85"/>
      <c r="D17" s="1557">
        <f>'Int_Beh (FY21)'!D18</f>
        <v>57449.599999999999</v>
      </c>
      <c r="E17" s="50"/>
      <c r="F17" s="50"/>
      <c r="G17" s="384" t="s">
        <v>886</v>
      </c>
      <c r="H17" s="253"/>
      <c r="I17" s="104" t="str">
        <f t="shared" si="0"/>
        <v xml:space="preserve">  LPN</v>
      </c>
      <c r="J17" s="57"/>
      <c r="K17" s="1541">
        <f>D17</f>
        <v>57449.599999999999</v>
      </c>
      <c r="L17" s="59">
        <f>C45</f>
        <v>0.25</v>
      </c>
      <c r="M17" s="110">
        <f>K17*L17</f>
        <v>14362.4</v>
      </c>
      <c r="N17" s="253"/>
    </row>
    <row r="18" spans="1:14">
      <c r="A18" s="253"/>
      <c r="B18" s="44" t="s">
        <v>31</v>
      </c>
      <c r="C18" s="85"/>
      <c r="D18" s="1558"/>
      <c r="E18" s="50"/>
      <c r="F18" s="50"/>
      <c r="G18" s="384"/>
      <c r="H18" s="253"/>
      <c r="I18" s="100" t="str">
        <f t="shared" si="0"/>
        <v>Direct Care</v>
      </c>
      <c r="J18" s="57"/>
      <c r="K18" s="58"/>
      <c r="L18" s="59"/>
      <c r="M18" s="110"/>
      <c r="N18" s="253"/>
    </row>
    <row r="19" spans="1:14">
      <c r="A19" s="253"/>
      <c r="B19" s="48" t="s">
        <v>875</v>
      </c>
      <c r="C19" s="85"/>
      <c r="D19" s="1559">
        <f>'Int_Beh (FY21)'!D21</f>
        <v>41516.800000000003</v>
      </c>
      <c r="E19" s="50"/>
      <c r="F19" s="46"/>
      <c r="G19" s="384" t="s">
        <v>886</v>
      </c>
      <c r="H19" s="253"/>
      <c r="I19" s="104" t="str">
        <f>B19</f>
        <v xml:space="preserve">  Direct Care III</v>
      </c>
      <c r="J19" s="57"/>
      <c r="K19" s="1541">
        <f>D19</f>
        <v>41516.800000000003</v>
      </c>
      <c r="L19" s="1552">
        <f>C48</f>
        <v>2.5</v>
      </c>
      <c r="M19" s="110">
        <f>K19*L19</f>
        <v>103792</v>
      </c>
      <c r="N19" s="253"/>
    </row>
    <row r="20" spans="1:14">
      <c r="A20" s="253"/>
      <c r="B20" s="48" t="s">
        <v>874</v>
      </c>
      <c r="C20" s="85"/>
      <c r="D20" s="1559">
        <f>'Int_Beh (FY21)'!D22</f>
        <v>32198.400000000001</v>
      </c>
      <c r="E20" s="50"/>
      <c r="F20" s="46"/>
      <c r="G20" s="384" t="s">
        <v>984</v>
      </c>
      <c r="H20" s="253"/>
      <c r="I20" s="104" t="str">
        <f>B20</f>
        <v xml:space="preserve">  Direct Care I &amp; II</v>
      </c>
      <c r="J20" s="57"/>
      <c r="K20" s="1541">
        <f>D20</f>
        <v>32198.400000000001</v>
      </c>
      <c r="L20" s="1552">
        <f>C47</f>
        <v>5.7</v>
      </c>
      <c r="M20" s="110">
        <f>K20*L20</f>
        <v>183530.88</v>
      </c>
      <c r="N20" s="253"/>
    </row>
    <row r="21" spans="1:14">
      <c r="A21" s="253"/>
      <c r="B21" s="48" t="s">
        <v>439</v>
      </c>
      <c r="C21" s="85"/>
      <c r="D21" s="1559">
        <f>'Integrated Team (FY21)'!E26</f>
        <v>32198.400000000001</v>
      </c>
      <c r="E21" s="50"/>
      <c r="F21" s="325"/>
      <c r="G21" s="384" t="s">
        <v>985</v>
      </c>
      <c r="H21" s="253"/>
      <c r="I21" s="104" t="str">
        <f>B21</f>
        <v xml:space="preserve">  Peer &amp; Family Specialist</v>
      </c>
      <c r="J21" s="57"/>
      <c r="K21" s="1541">
        <f>D21</f>
        <v>32198.400000000001</v>
      </c>
      <c r="L21" s="59">
        <f>C49</f>
        <v>0.2</v>
      </c>
      <c r="M21" s="110">
        <f>K21*L21</f>
        <v>6439.68</v>
      </c>
      <c r="N21" s="253"/>
    </row>
    <row r="22" spans="1:14">
      <c r="A22" s="253"/>
      <c r="B22" s="48" t="s">
        <v>349</v>
      </c>
      <c r="C22" s="85"/>
      <c r="D22" s="1557">
        <f>'Int_Beh (FY21)'!D23</f>
        <v>32198.400000000001</v>
      </c>
      <c r="E22" s="50"/>
      <c r="F22" s="50"/>
      <c r="G22" s="384" t="s">
        <v>986</v>
      </c>
      <c r="H22" s="253"/>
      <c r="I22" s="104" t="str">
        <f>B22</f>
        <v xml:space="preserve">  Relief</v>
      </c>
      <c r="J22" s="57"/>
      <c r="K22" s="1541">
        <f>D22</f>
        <v>32198.400000000001</v>
      </c>
      <c r="L22" s="59">
        <f>C50</f>
        <v>1.2276923076923076</v>
      </c>
      <c r="M22" s="110">
        <f>K22*L22</f>
        <v>39529.728000000003</v>
      </c>
      <c r="N22" s="253"/>
    </row>
    <row r="23" spans="1:14">
      <c r="A23" s="253"/>
      <c r="B23" s="48"/>
      <c r="C23" s="45"/>
      <c r="D23" s="46"/>
      <c r="E23" s="45"/>
      <c r="F23" s="45"/>
      <c r="G23" s="301"/>
      <c r="H23" s="253"/>
      <c r="I23" s="114" t="s">
        <v>13</v>
      </c>
      <c r="J23" s="3"/>
      <c r="K23" s="3"/>
      <c r="L23" s="64">
        <f>SUM(L13:L22)</f>
        <v>11.977692307692308</v>
      </c>
      <c r="M23" s="115">
        <f>SUM(M13:M22)</f>
        <v>478750.57291942404</v>
      </c>
      <c r="N23" s="253"/>
    </row>
    <row r="24" spans="1:14">
      <c r="A24" s="253"/>
      <c r="C24" s="45"/>
      <c r="D24" s="82"/>
      <c r="E24" s="45"/>
      <c r="F24" s="45"/>
      <c r="G24" s="372"/>
      <c r="H24" s="253"/>
      <c r="I24" s="104"/>
      <c r="J24" s="72"/>
      <c r="K24" s="72"/>
      <c r="L24" s="72"/>
      <c r="M24" s="116"/>
      <c r="N24" s="253"/>
    </row>
    <row r="25" spans="1:14">
      <c r="A25" s="253"/>
      <c r="B25" s="81"/>
      <c r="C25" s="45"/>
      <c r="D25" s="82" t="s">
        <v>42</v>
      </c>
      <c r="E25" s="45"/>
      <c r="F25" s="45"/>
      <c r="G25" s="373"/>
      <c r="H25" s="253"/>
      <c r="I25" s="100" t="s">
        <v>15</v>
      </c>
      <c r="J25" s="72"/>
      <c r="K25" s="72"/>
      <c r="L25" s="4" t="s">
        <v>16</v>
      </c>
      <c r="M25" s="105"/>
      <c r="N25" s="253"/>
    </row>
    <row r="26" spans="1:14">
      <c r="A26" s="253"/>
      <c r="B26" s="81" t="s">
        <v>434</v>
      </c>
      <c r="C26" s="45"/>
      <c r="D26" s="1522">
        <v>0.224</v>
      </c>
      <c r="F26" s="50"/>
      <c r="G26" s="1646" t="s">
        <v>978</v>
      </c>
      <c r="H26" s="253"/>
      <c r="I26" s="104" t="str">
        <f>B26</f>
        <v xml:space="preserve">  Tax and Fringe</v>
      </c>
      <c r="J26" s="72"/>
      <c r="K26" s="1542">
        <f>D26</f>
        <v>0.224</v>
      </c>
      <c r="L26" s="72"/>
      <c r="M26" s="117">
        <f>K26*M23</f>
        <v>107240.12833395098</v>
      </c>
      <c r="N26" s="253"/>
    </row>
    <row r="27" spans="1:14">
      <c r="A27" s="253"/>
      <c r="B27" s="81"/>
      <c r="C27" s="45"/>
      <c r="D27" s="175"/>
      <c r="E27" s="45"/>
      <c r="F27" s="45"/>
      <c r="G27" s="373"/>
      <c r="H27" s="253"/>
      <c r="I27" s="114" t="s">
        <v>18</v>
      </c>
      <c r="J27" s="3"/>
      <c r="K27" s="3"/>
      <c r="L27" s="63"/>
      <c r="M27" s="118">
        <f>M23+M26</f>
        <v>585990.70125337504</v>
      </c>
      <c r="N27" s="253"/>
    </row>
    <row r="28" spans="1:14">
      <c r="A28" s="253"/>
      <c r="B28" s="265"/>
      <c r="D28" s="305" t="s">
        <v>367</v>
      </c>
      <c r="E28" s="253"/>
      <c r="F28" s="253"/>
      <c r="G28" s="260"/>
      <c r="H28" s="253"/>
      <c r="I28" s="104" t="s">
        <v>788</v>
      </c>
      <c r="J28" s="72"/>
      <c r="L28" s="1534">
        <v>3.7000000000000002E-3</v>
      </c>
      <c r="M28" s="290">
        <f>M23*L28</f>
        <v>1771.377119801869</v>
      </c>
      <c r="N28" s="253"/>
    </row>
    <row r="29" spans="1:14">
      <c r="A29" s="253"/>
      <c r="B29" s="1345" t="str">
        <f>'Clin_Int (FY21)'!B31</f>
        <v xml:space="preserve">  Staff Training</v>
      </c>
      <c r="C29" s="339"/>
      <c r="D29" s="1206">
        <f>'Clin_Int (FY21)'!D31</f>
        <v>277.77888799999999</v>
      </c>
      <c r="E29" s="339"/>
      <c r="F29" s="339"/>
      <c r="G29" s="373" t="str">
        <f>'Clin_Int (FY21)'!F31</f>
        <v>Avg of the FY15 CBFS data per FTE.</v>
      </c>
      <c r="H29" s="253"/>
      <c r="I29" s="1091" t="str">
        <f>B29</f>
        <v xml:space="preserve">  Staff Training</v>
      </c>
      <c r="J29" s="156"/>
      <c r="K29" s="156"/>
      <c r="L29" s="1092">
        <f>D29</f>
        <v>277.77888799999999</v>
      </c>
      <c r="M29" s="1098">
        <f>L29*L23</f>
        <v>3327.1500500369234</v>
      </c>
      <c r="N29" s="253"/>
    </row>
    <row r="30" spans="1:14">
      <c r="A30" s="253"/>
      <c r="B30" s="81" t="s">
        <v>435</v>
      </c>
      <c r="C30" s="45"/>
      <c r="D30" s="90">
        <f>GLE!C34</f>
        <v>6191.6539525126345</v>
      </c>
      <c r="F30" s="325"/>
      <c r="G30" s="373" t="str">
        <f>Med_Int_Spec!G33</f>
        <v>Benchmark: 101 CMR 420: allocation for van, 1 van / 2 GLEs</v>
      </c>
      <c r="H30" s="253"/>
      <c r="I30" s="48" t="str">
        <f>B30</f>
        <v xml:space="preserve">  Transportation</v>
      </c>
      <c r="J30" s="156"/>
      <c r="K30" s="156"/>
      <c r="L30" s="1151"/>
      <c r="M30" s="123">
        <v>6192</v>
      </c>
      <c r="N30" s="253"/>
    </row>
    <row r="31" spans="1:14">
      <c r="A31" s="253"/>
      <c r="B31" s="81" t="s">
        <v>454</v>
      </c>
      <c r="C31" s="45"/>
      <c r="D31" s="89">
        <f>'Integrated Team (FY21)'!E44</f>
        <v>642.72053101483573</v>
      </c>
      <c r="E31" s="45"/>
      <c r="F31" s="45"/>
      <c r="G31" s="373" t="str">
        <f>Int_Fire_Safety!G33</f>
        <v>Program Supplies &amp; Materials (33E) per FTE.</v>
      </c>
      <c r="H31" s="253"/>
      <c r="I31" s="109" t="str">
        <f>B32</f>
        <v xml:space="preserve">  Meals / Food***</v>
      </c>
      <c r="J31" s="156"/>
      <c r="K31" s="156"/>
      <c r="L31" s="1358">
        <f>D32</f>
        <v>8.16</v>
      </c>
      <c r="M31" s="123">
        <f>L31*M10</f>
        <v>14892</v>
      </c>
      <c r="N31" s="253"/>
    </row>
    <row r="32" spans="1:14">
      <c r="A32" s="253"/>
      <c r="B32" s="48" t="s">
        <v>792</v>
      </c>
      <c r="C32" s="339"/>
      <c r="D32" s="1621">
        <v>8.16</v>
      </c>
      <c r="E32" s="339"/>
      <c r="F32" s="339"/>
      <c r="G32" s="275" t="s">
        <v>599</v>
      </c>
      <c r="H32" s="253"/>
      <c r="I32" s="81" t="str">
        <f>B31</f>
        <v xml:space="preserve">  Program Supplies &amp; Materials</v>
      </c>
      <c r="J32" s="72"/>
      <c r="K32" s="72"/>
      <c r="L32" s="170">
        <f>D31</f>
        <v>642.72053101483573</v>
      </c>
      <c r="M32" s="123">
        <f>L32*$L23</f>
        <v>7698.3087603323138</v>
      </c>
      <c r="N32" s="253"/>
    </row>
    <row r="33" spans="1:16">
      <c r="A33" s="253"/>
      <c r="B33" s="81"/>
      <c r="C33" s="45"/>
      <c r="D33" s="45"/>
      <c r="E33" s="45"/>
      <c r="F33" s="45"/>
      <c r="G33" s="372"/>
      <c r="H33" s="253"/>
      <c r="I33" s="100"/>
      <c r="J33" s="72"/>
      <c r="K33" s="72"/>
      <c r="L33" s="185"/>
      <c r="M33" s="124">
        <f>SUM(M28:M32)</f>
        <v>33880.835930171103</v>
      </c>
      <c r="N33" s="253"/>
    </row>
    <row r="34" spans="1:16">
      <c r="A34" s="253"/>
      <c r="B34" s="81" t="s">
        <v>437</v>
      </c>
      <c r="C34" s="45"/>
      <c r="D34" s="88">
        <f>'Integrated Team (FY21)'!E46</f>
        <v>0.12</v>
      </c>
      <c r="E34" s="45"/>
      <c r="F34" s="45"/>
      <c r="G34" s="83" t="s">
        <v>472</v>
      </c>
      <c r="H34" s="253"/>
      <c r="I34" s="104"/>
      <c r="J34" s="72"/>
      <c r="K34" s="72"/>
      <c r="L34" s="66"/>
      <c r="M34" s="950"/>
      <c r="N34" s="253"/>
    </row>
    <row r="35" spans="1:16">
      <c r="A35" s="253"/>
      <c r="B35" s="1536" t="s">
        <v>788</v>
      </c>
      <c r="C35" s="72"/>
      <c r="D35" s="1534">
        <f>'Integrated Team (FY21)'!E45</f>
        <v>3.7000000000000002E-3</v>
      </c>
      <c r="E35" s="45"/>
      <c r="F35" s="45"/>
      <c r="G35" s="49" t="s">
        <v>979</v>
      </c>
      <c r="H35" s="253"/>
      <c r="I35" s="114" t="s">
        <v>23</v>
      </c>
      <c r="J35" s="3"/>
      <c r="K35" s="3"/>
      <c r="L35" s="3"/>
      <c r="M35" s="126">
        <f>SUM(M27,M33)</f>
        <v>619871.53718354611</v>
      </c>
      <c r="N35" s="253"/>
    </row>
    <row r="36" spans="1:16">
      <c r="A36" s="253"/>
      <c r="B36" s="81" t="s">
        <v>438</v>
      </c>
      <c r="C36" s="45"/>
      <c r="D36" s="389">
        <f>'Integrated Team (FY21)'!E47</f>
        <v>7.6809383045675458E-2</v>
      </c>
      <c r="E36" s="389"/>
      <c r="F36" s="389"/>
      <c r="G36" s="1553" t="str">
        <f>'Integrated Team (FY21)'!H47</f>
        <v>CY2018Q2; Prospective period FY19 &amp; FY20</v>
      </c>
      <c r="H36" s="253"/>
      <c r="I36" s="104"/>
      <c r="J36" s="72"/>
      <c r="K36" s="72"/>
      <c r="L36" s="73"/>
      <c r="M36" s="127"/>
      <c r="N36" s="253"/>
    </row>
    <row r="37" spans="1:16">
      <c r="A37" s="253"/>
      <c r="B37" s="1551" t="s">
        <v>438</v>
      </c>
      <c r="C37" s="45"/>
      <c r="D37" s="1550">
        <f>'Integrated Team (FY21)'!E48</f>
        <v>1.7780248869661817E-2</v>
      </c>
      <c r="E37" s="389"/>
      <c r="F37" s="389"/>
      <c r="G37" s="1553" t="str">
        <f>'Integrated Team (FY21)'!H48</f>
        <v>CY2020Q2; Prospective period FY21 &amp; FY22</v>
      </c>
      <c r="H37" s="253"/>
      <c r="I37" s="104" t="str">
        <f>B34</f>
        <v xml:space="preserve">  Admin. Allocation</v>
      </c>
      <c r="J37" s="72"/>
      <c r="K37" s="187">
        <f>D34</f>
        <v>0.12</v>
      </c>
      <c r="L37" s="72"/>
      <c r="M37" s="117">
        <f>K37*M35</f>
        <v>74384.584462025538</v>
      </c>
      <c r="N37" s="253"/>
    </row>
    <row r="38" spans="1:16">
      <c r="A38" s="253"/>
      <c r="B38" s="265"/>
      <c r="C38" s="253"/>
      <c r="D38" s="253"/>
      <c r="E38" s="253"/>
      <c r="F38" s="253"/>
      <c r="G38" s="260"/>
      <c r="H38" s="253"/>
      <c r="I38" s="104"/>
      <c r="J38" s="72"/>
      <c r="K38" s="904"/>
      <c r="L38" s="72"/>
      <c r="M38" s="290"/>
      <c r="N38" s="253"/>
    </row>
    <row r="39" spans="1:16" ht="13.5" thickBot="1">
      <c r="A39" s="253"/>
      <c r="B39" s="394" t="s">
        <v>35</v>
      </c>
      <c r="C39" s="390" t="s">
        <v>424</v>
      </c>
      <c r="D39" s="391" t="s">
        <v>425</v>
      </c>
      <c r="E39" s="409"/>
      <c r="F39" s="253"/>
      <c r="G39" s="260"/>
      <c r="H39" s="253"/>
      <c r="I39" s="129" t="s">
        <v>25</v>
      </c>
      <c r="J39" s="74"/>
      <c r="K39" s="74"/>
      <c r="L39" s="74"/>
      <c r="M39" s="130">
        <f>SUM(M35:M37)</f>
        <v>694256.12164557166</v>
      </c>
      <c r="N39" s="253"/>
    </row>
    <row r="40" spans="1:16" ht="13.5" thickTop="1">
      <c r="A40" s="253"/>
      <c r="B40" s="344" t="str">
        <f t="shared" ref="B40:B46" si="1">B12</f>
        <v>Management</v>
      </c>
      <c r="C40" s="253"/>
      <c r="D40" s="253"/>
      <c r="E40" s="253"/>
      <c r="F40" s="253"/>
      <c r="G40" s="260"/>
      <c r="H40" s="253"/>
      <c r="I40" s="104"/>
      <c r="J40" s="72"/>
      <c r="K40" s="72"/>
      <c r="L40" s="72"/>
      <c r="M40" s="105"/>
      <c r="N40" s="253"/>
    </row>
    <row r="41" spans="1:16">
      <c r="A41" s="253"/>
      <c r="B41" s="265" t="str">
        <f t="shared" si="1"/>
        <v xml:space="preserve">  Management Supervision</v>
      </c>
      <c r="C41" s="85">
        <v>0.1</v>
      </c>
      <c r="D41" s="85">
        <v>0.1</v>
      </c>
      <c r="E41" s="85"/>
      <c r="F41" s="253"/>
      <c r="G41" s="260"/>
      <c r="H41" s="253"/>
      <c r="I41" s="104" t="str">
        <f>B36</f>
        <v xml:space="preserve">  CAF</v>
      </c>
      <c r="J41" s="72"/>
      <c r="K41" s="1544">
        <f>D37</f>
        <v>1.7780248869661817E-2</v>
      </c>
      <c r="L41" s="72"/>
      <c r="M41" s="132">
        <f>M39+(M39*K41)-(M23*K41)</f>
        <v>698087.86393471563</v>
      </c>
      <c r="N41" s="253"/>
    </row>
    <row r="42" spans="1:16" ht="13.5" thickBot="1">
      <c r="A42" s="253"/>
      <c r="B42" s="265" t="str">
        <f t="shared" si="1"/>
        <v xml:space="preserve">  Specialty Site Manager</v>
      </c>
      <c r="C42" s="85">
        <v>1</v>
      </c>
      <c r="D42" s="85">
        <v>1</v>
      </c>
      <c r="E42" s="85"/>
      <c r="F42" s="253"/>
      <c r="G42" s="260"/>
      <c r="H42" s="253"/>
      <c r="I42" s="1561"/>
      <c r="J42" s="72"/>
      <c r="L42" s="571"/>
      <c r="M42" s="575"/>
      <c r="N42" s="253"/>
    </row>
    <row r="43" spans="1:16" ht="13.5" thickTop="1">
      <c r="A43" s="45"/>
      <c r="B43" s="344" t="str">
        <f t="shared" si="1"/>
        <v>Medical and Clinical</v>
      </c>
      <c r="C43" s="85"/>
      <c r="D43" s="85"/>
      <c r="E43" s="85"/>
      <c r="F43" s="253"/>
      <c r="G43" s="260"/>
      <c r="H43" s="253"/>
      <c r="I43" s="104"/>
      <c r="J43" s="72"/>
      <c r="K43" s="131"/>
      <c r="L43" s="72"/>
      <c r="M43" s="1560">
        <f>M41+M42</f>
        <v>698087.86393471563</v>
      </c>
      <c r="N43" s="253"/>
    </row>
    <row r="44" spans="1:16">
      <c r="A44" s="45"/>
      <c r="B44" s="265" t="str">
        <f t="shared" si="1"/>
        <v xml:space="preserve">  LPHA</v>
      </c>
      <c r="C44" s="381">
        <v>1</v>
      </c>
      <c r="D44" s="381">
        <v>1.5</v>
      </c>
      <c r="E44" s="381"/>
      <c r="F44" s="45"/>
      <c r="G44" s="302"/>
      <c r="H44" s="253"/>
      <c r="I44" s="104"/>
      <c r="J44" s="72"/>
      <c r="K44" s="72"/>
      <c r="L44" s="72"/>
      <c r="M44" s="136"/>
      <c r="N44" s="253"/>
    </row>
    <row r="45" spans="1:16">
      <c r="A45" s="45"/>
      <c r="B45" s="265" t="str">
        <f t="shared" si="1"/>
        <v xml:space="preserve">  LPN</v>
      </c>
      <c r="C45" s="85">
        <v>0.25</v>
      </c>
      <c r="D45" s="85">
        <v>0.25</v>
      </c>
      <c r="E45" s="85"/>
      <c r="F45" s="45"/>
      <c r="G45" s="302"/>
      <c r="H45" s="253"/>
      <c r="I45" s="104"/>
      <c r="J45" s="72"/>
      <c r="K45" s="72"/>
      <c r="L45" s="72"/>
      <c r="M45" s="136"/>
      <c r="N45" s="253"/>
    </row>
    <row r="46" spans="1:16" ht="13.5" thickBot="1">
      <c r="A46" s="253"/>
      <c r="B46" s="344" t="str">
        <f t="shared" si="1"/>
        <v>Direct Care</v>
      </c>
      <c r="C46" s="85"/>
      <c r="D46" s="85"/>
      <c r="E46" s="85"/>
      <c r="F46" s="253"/>
      <c r="G46" s="260"/>
      <c r="H46" s="253"/>
      <c r="I46" s="104" t="s">
        <v>28</v>
      </c>
      <c r="J46" s="72"/>
      <c r="K46" s="72"/>
      <c r="L46" s="73"/>
      <c r="M46" s="568"/>
      <c r="N46" s="253"/>
    </row>
    <row r="47" spans="1:16" ht="13.5" thickBot="1">
      <c r="A47" s="253"/>
      <c r="B47" s="265" t="str">
        <f>B20</f>
        <v xml:space="preserve">  Direct Care I &amp; II</v>
      </c>
      <c r="C47" s="85">
        <v>5.7</v>
      </c>
      <c r="D47" s="85">
        <v>7.75</v>
      </c>
      <c r="E47" s="85"/>
      <c r="F47" s="253"/>
      <c r="G47" s="260"/>
      <c r="H47" s="253"/>
      <c r="I47" s="584" t="s">
        <v>794</v>
      </c>
      <c r="J47" s="358"/>
      <c r="K47" s="359"/>
      <c r="L47" s="360"/>
      <c r="M47" s="1569">
        <f>M43/M10+3.56</f>
        <v>386.07389804641952</v>
      </c>
      <c r="N47" s="593">
        <f>M49/M48</f>
        <v>1.7697959843999106E-2</v>
      </c>
      <c r="P47" s="1718"/>
    </row>
    <row r="48" spans="1:16">
      <c r="A48" s="253"/>
      <c r="B48" s="265" t="s">
        <v>875</v>
      </c>
      <c r="C48" s="85">
        <v>2.5</v>
      </c>
      <c r="D48" s="85">
        <v>2.75</v>
      </c>
      <c r="E48" s="85"/>
      <c r="F48" s="253"/>
      <c r="G48" s="260"/>
      <c r="H48" s="253"/>
      <c r="I48" s="253"/>
      <c r="J48" s="253"/>
      <c r="K48" s="253"/>
      <c r="L48" s="253" t="s">
        <v>819</v>
      </c>
      <c r="M48" s="253">
        <v>379.36</v>
      </c>
      <c r="N48" s="253"/>
      <c r="P48" s="1719"/>
    </row>
    <row r="49" spans="1:14">
      <c r="A49" s="253"/>
      <c r="B49" s="265" t="str">
        <f>B21</f>
        <v xml:space="preserve">  Peer &amp; Family Specialist</v>
      </c>
      <c r="C49" s="85">
        <v>0.2</v>
      </c>
      <c r="D49" s="85">
        <v>0.2</v>
      </c>
      <c r="E49" s="85"/>
      <c r="F49" s="253"/>
      <c r="G49" s="260"/>
      <c r="H49" s="253"/>
      <c r="I49" s="253"/>
      <c r="J49" s="253"/>
      <c r="K49" s="253"/>
      <c r="L49" s="253"/>
      <c r="M49" s="482">
        <f>M47-M48</f>
        <v>6.7138980464195015</v>
      </c>
      <c r="N49" s="253"/>
    </row>
    <row r="50" spans="1:14" ht="13.5" thickBot="1">
      <c r="A50" s="253"/>
      <c r="B50" s="342" t="str">
        <f>B22</f>
        <v xml:space="preserve">  Relief</v>
      </c>
      <c r="C50" s="393">
        <f>(C47+C48+C49)*D9</f>
        <v>1.2276923076923076</v>
      </c>
      <c r="D50" s="393">
        <f>(D47+D48+D49)*$D$9</f>
        <v>1.5638461538461539</v>
      </c>
      <c r="E50" s="393"/>
      <c r="F50" s="261"/>
      <c r="G50" s="262"/>
      <c r="H50" s="349"/>
      <c r="I50" s="253"/>
      <c r="J50" s="253"/>
      <c r="K50" s="253"/>
      <c r="L50" s="253"/>
      <c r="M50" s="253"/>
      <c r="N50" s="253"/>
    </row>
    <row r="51" spans="1:14" ht="13.5" thickBot="1">
      <c r="A51" s="253"/>
      <c r="B51" s="2610" t="s">
        <v>597</v>
      </c>
      <c r="C51" s="2610"/>
      <c r="D51" s="2610"/>
      <c r="E51" s="2610"/>
      <c r="F51" s="2610"/>
      <c r="G51" s="2610"/>
      <c r="H51" s="253"/>
      <c r="I51" s="2588" t="s">
        <v>583</v>
      </c>
      <c r="J51" s="2589"/>
      <c r="K51" s="2589"/>
      <c r="L51" s="2589"/>
      <c r="M51" s="2590"/>
      <c r="N51" s="253"/>
    </row>
    <row r="52" spans="1:14">
      <c r="A52" s="253"/>
      <c r="B52" s="2611"/>
      <c r="C52" s="2611"/>
      <c r="D52" s="2611"/>
      <c r="E52" s="2611"/>
      <c r="F52" s="2611"/>
      <c r="G52" s="2611"/>
      <c r="H52" s="253"/>
      <c r="I52" s="146" t="s">
        <v>277</v>
      </c>
      <c r="J52" s="147">
        <v>8</v>
      </c>
      <c r="K52" s="148"/>
      <c r="L52" s="149" t="s">
        <v>133</v>
      </c>
      <c r="M52" s="150">
        <f>J52*365</f>
        <v>2920</v>
      </c>
      <c r="N52" s="253"/>
    </row>
    <row r="53" spans="1:14">
      <c r="A53" s="253"/>
      <c r="B53" s="253"/>
      <c r="C53" s="253"/>
      <c r="D53" s="253"/>
      <c r="E53" s="253"/>
      <c r="F53" s="253"/>
      <c r="G53" s="253"/>
      <c r="H53" s="253"/>
      <c r="I53" s="106"/>
      <c r="J53" s="53"/>
      <c r="K53" s="54" t="s">
        <v>5</v>
      </c>
      <c r="L53" s="54" t="s">
        <v>6</v>
      </c>
      <c r="M53" s="107" t="s">
        <v>7</v>
      </c>
      <c r="N53" s="253"/>
    </row>
    <row r="54" spans="1:14">
      <c r="A54" s="253"/>
      <c r="B54" s="253"/>
      <c r="C54" s="253"/>
      <c r="D54" s="253"/>
      <c r="E54" s="253"/>
      <c r="F54" s="253"/>
      <c r="G54" s="253"/>
      <c r="H54" s="253"/>
      <c r="I54" s="100" t="str">
        <f t="shared" ref="I54:I60" si="2">B12</f>
        <v>Management</v>
      </c>
      <c r="J54" s="55"/>
      <c r="K54" s="56"/>
      <c r="L54" s="56"/>
      <c r="M54" s="108"/>
      <c r="N54" s="253"/>
    </row>
    <row r="55" spans="1:14">
      <c r="A55" s="253"/>
      <c r="B55" s="253"/>
      <c r="C55" s="253"/>
      <c r="D55" s="253"/>
      <c r="E55" s="253"/>
      <c r="F55" s="253"/>
      <c r="G55" s="253"/>
      <c r="H55" s="253"/>
      <c r="I55" s="104" t="str">
        <f t="shared" si="2"/>
        <v xml:space="preserve">  Management Supervision</v>
      </c>
      <c r="J55" s="57"/>
      <c r="K55" s="58">
        <f>D13</f>
        <v>92496.84919424048</v>
      </c>
      <c r="L55" s="59">
        <f>D41</f>
        <v>0.1</v>
      </c>
      <c r="M55" s="110">
        <f>K55*L55</f>
        <v>9249.6849194240476</v>
      </c>
      <c r="N55" s="253"/>
    </row>
    <row r="56" spans="1:14">
      <c r="A56" s="253"/>
      <c r="B56" s="253"/>
      <c r="C56" s="253"/>
      <c r="D56" s="253"/>
      <c r="E56" s="253"/>
      <c r="F56" s="253"/>
      <c r="G56" s="253"/>
      <c r="H56" s="253"/>
      <c r="I56" s="104" t="str">
        <f t="shared" si="2"/>
        <v xml:space="preserve">  Specialty Site Manager</v>
      </c>
      <c r="J56" s="57"/>
      <c r="K56" s="58">
        <f>E14</f>
        <v>60923</v>
      </c>
      <c r="L56" s="59">
        <f>D42</f>
        <v>1</v>
      </c>
      <c r="M56" s="110">
        <f>K56*L56</f>
        <v>60923</v>
      </c>
      <c r="N56" s="253"/>
    </row>
    <row r="57" spans="1:14">
      <c r="A57" s="253"/>
      <c r="B57" s="253"/>
      <c r="C57" s="253"/>
      <c r="D57" s="253"/>
      <c r="E57" s="253"/>
      <c r="F57" s="253"/>
      <c r="G57" s="253"/>
      <c r="H57" s="253"/>
      <c r="I57" s="100" t="str">
        <f t="shared" si="2"/>
        <v>Medical and Clinical</v>
      </c>
      <c r="J57" s="57"/>
      <c r="K57" s="58"/>
      <c r="L57" s="59"/>
      <c r="M57" s="110"/>
      <c r="N57" s="253"/>
    </row>
    <row r="58" spans="1:14">
      <c r="A58" s="253"/>
      <c r="B58" s="253"/>
      <c r="C58" s="253"/>
      <c r="D58" s="253"/>
      <c r="E58" s="253"/>
      <c r="F58" s="253"/>
      <c r="G58" s="253"/>
      <c r="H58" s="253"/>
      <c r="I58" s="104" t="str">
        <f t="shared" si="2"/>
        <v xml:space="preserve">  LPHA</v>
      </c>
      <c r="J58" s="57"/>
      <c r="K58" s="1541">
        <f>D16</f>
        <v>60923.199999999997</v>
      </c>
      <c r="L58" s="382">
        <f>D44</f>
        <v>1.5</v>
      </c>
      <c r="M58" s="379">
        <f>K58*L58</f>
        <v>91384.799999999988</v>
      </c>
      <c r="N58" s="253"/>
    </row>
    <row r="59" spans="1:14">
      <c r="A59" s="253"/>
      <c r="B59" s="253"/>
      <c r="C59" s="253"/>
      <c r="D59" s="253"/>
      <c r="E59" s="253"/>
      <c r="F59" s="253"/>
      <c r="G59" s="253"/>
      <c r="H59" s="253"/>
      <c r="I59" s="104" t="str">
        <f t="shared" si="2"/>
        <v xml:space="preserve">  LPN</v>
      </c>
      <c r="J59" s="57"/>
      <c r="K59" s="1541">
        <f>D17</f>
        <v>57449.599999999999</v>
      </c>
      <c r="L59" s="59">
        <f>D45</f>
        <v>0.25</v>
      </c>
      <c r="M59" s="110">
        <f>K59*L59</f>
        <v>14362.4</v>
      </c>
      <c r="N59" s="253"/>
    </row>
    <row r="60" spans="1:14">
      <c r="A60" s="253"/>
      <c r="B60" s="253"/>
      <c r="C60" s="253"/>
      <c r="D60" s="253"/>
      <c r="E60" s="253"/>
      <c r="F60" s="253"/>
      <c r="G60" s="253"/>
      <c r="H60" s="253"/>
      <c r="I60" s="100" t="str">
        <f t="shared" si="2"/>
        <v>Direct Care</v>
      </c>
      <c r="J60" s="57"/>
      <c r="K60" s="58"/>
      <c r="L60" s="59"/>
      <c r="M60" s="110"/>
      <c r="N60" s="253"/>
    </row>
    <row r="61" spans="1:14">
      <c r="A61" s="253"/>
      <c r="B61" s="253"/>
      <c r="C61" s="253"/>
      <c r="D61" s="253"/>
      <c r="E61" s="253"/>
      <c r="F61" s="253"/>
      <c r="G61" s="253"/>
      <c r="H61" s="253"/>
      <c r="I61" s="104" t="str">
        <f>B19</f>
        <v xml:space="preserve">  Direct Care III</v>
      </c>
      <c r="J61" s="57"/>
      <c r="K61" s="1541">
        <f>D19</f>
        <v>41516.800000000003</v>
      </c>
      <c r="L61" s="59">
        <f>D48</f>
        <v>2.75</v>
      </c>
      <c r="M61" s="110">
        <f>K61*L61</f>
        <v>114171.20000000001</v>
      </c>
      <c r="N61" s="253"/>
    </row>
    <row r="62" spans="1:14">
      <c r="A62" s="253"/>
      <c r="B62" s="253"/>
      <c r="C62" s="253"/>
      <c r="D62" s="253"/>
      <c r="E62" s="253"/>
      <c r="F62" s="253"/>
      <c r="G62" s="253"/>
      <c r="H62" s="253"/>
      <c r="I62" s="104" t="str">
        <f>B20</f>
        <v xml:space="preserve">  Direct Care I &amp; II</v>
      </c>
      <c r="J62" s="57"/>
      <c r="K62" s="1541">
        <f>D20</f>
        <v>32198.400000000001</v>
      </c>
      <c r="L62" s="59">
        <f>D47</f>
        <v>7.75</v>
      </c>
      <c r="M62" s="110">
        <f>K62*L62</f>
        <v>249537.6</v>
      </c>
      <c r="N62" s="253"/>
    </row>
    <row r="63" spans="1:14">
      <c r="A63" s="253"/>
      <c r="B63" s="253"/>
      <c r="C63" s="253"/>
      <c r="D63" s="253"/>
      <c r="E63" s="253"/>
      <c r="F63" s="253"/>
      <c r="G63" s="253"/>
      <c r="H63" s="253"/>
      <c r="I63" s="104" t="str">
        <f>B21</f>
        <v xml:space="preserve">  Peer &amp; Family Specialist</v>
      </c>
      <c r="J63" s="57"/>
      <c r="K63" s="1541">
        <f>D21</f>
        <v>32198.400000000001</v>
      </c>
      <c r="L63" s="59">
        <f>D49</f>
        <v>0.2</v>
      </c>
      <c r="M63" s="110">
        <f>K63*L63</f>
        <v>6439.68</v>
      </c>
      <c r="N63" s="253"/>
    </row>
    <row r="64" spans="1:14">
      <c r="A64" s="253"/>
      <c r="B64" s="253"/>
      <c r="C64" s="253"/>
      <c r="D64" s="253"/>
      <c r="E64" s="253"/>
      <c r="F64" s="253"/>
      <c r="G64" s="253"/>
      <c r="H64" s="253"/>
      <c r="I64" s="104" t="str">
        <f>B22</f>
        <v xml:space="preserve">  Relief</v>
      </c>
      <c r="J64" s="57"/>
      <c r="K64" s="1541">
        <f>D22</f>
        <v>32198.400000000001</v>
      </c>
      <c r="L64" s="59">
        <f>D50</f>
        <v>1.5638461538461539</v>
      </c>
      <c r="M64" s="110">
        <f>K64*L64</f>
        <v>50353.344000000005</v>
      </c>
      <c r="N64" s="253"/>
    </row>
    <row r="65" spans="1:17">
      <c r="A65" s="253"/>
      <c r="B65" s="253"/>
      <c r="C65" s="253"/>
      <c r="D65" s="253"/>
      <c r="E65" s="253"/>
      <c r="F65" s="253"/>
      <c r="G65" s="253"/>
      <c r="H65" s="253"/>
      <c r="I65" s="114" t="s">
        <v>13</v>
      </c>
      <c r="J65" s="3"/>
      <c r="K65" s="3"/>
      <c r="L65" s="64">
        <f>SUM(L55:L64)</f>
        <v>15.113846153846152</v>
      </c>
      <c r="M65" s="115">
        <f>SUM(M55:M64)</f>
        <v>596421.7089194241</v>
      </c>
      <c r="N65" s="253"/>
    </row>
    <row r="66" spans="1:17">
      <c r="A66" s="253"/>
      <c r="B66" s="253"/>
      <c r="C66" s="253"/>
      <c r="D66" s="253"/>
      <c r="E66" s="253"/>
      <c r="F66" s="253"/>
      <c r="G66" s="253"/>
      <c r="H66" s="253"/>
      <c r="I66" s="104"/>
      <c r="J66" s="72"/>
      <c r="K66" s="72"/>
      <c r="L66" s="72"/>
      <c r="M66" s="116"/>
      <c r="N66" s="253"/>
    </row>
    <row r="67" spans="1:17">
      <c r="A67" s="253"/>
      <c r="B67" s="253"/>
      <c r="C67" s="253"/>
      <c r="D67" s="253"/>
      <c r="E67" s="253"/>
      <c r="F67" s="253"/>
      <c r="G67" s="253"/>
      <c r="H67" s="253"/>
      <c r="I67" s="100" t="s">
        <v>15</v>
      </c>
      <c r="J67" s="72"/>
      <c r="K67" s="72"/>
      <c r="L67" s="4" t="s">
        <v>16</v>
      </c>
      <c r="M67" s="105"/>
      <c r="N67" s="253"/>
    </row>
    <row r="68" spans="1:17">
      <c r="A68" s="253"/>
      <c r="B68" s="253"/>
      <c r="C68" s="253"/>
      <c r="D68" s="253"/>
      <c r="E68" s="253"/>
      <c r="F68" s="253"/>
      <c r="G68" s="253"/>
      <c r="H68" s="253"/>
      <c r="I68" s="104" t="str">
        <f>B26</f>
        <v xml:space="preserve">  Tax and Fringe</v>
      </c>
      <c r="J68" s="72"/>
      <c r="K68" s="1542">
        <f>D26</f>
        <v>0.224</v>
      </c>
      <c r="L68" s="72"/>
      <c r="M68" s="117">
        <f>K68*M65</f>
        <v>133598.46279795101</v>
      </c>
      <c r="N68" s="253"/>
    </row>
    <row r="69" spans="1:17">
      <c r="A69" s="253"/>
      <c r="B69" s="253"/>
      <c r="C69" s="253"/>
      <c r="D69" s="253"/>
      <c r="E69" s="253"/>
      <c r="F69" s="253"/>
      <c r="G69" s="253"/>
      <c r="H69" s="253"/>
      <c r="I69" s="114" t="s">
        <v>18</v>
      </c>
      <c r="J69" s="3"/>
      <c r="K69" s="3"/>
      <c r="L69" s="63"/>
      <c r="M69" s="118">
        <f>M65+M68</f>
        <v>730020.17171737505</v>
      </c>
      <c r="N69" s="253"/>
    </row>
    <row r="70" spans="1:17">
      <c r="A70" s="253"/>
      <c r="B70" s="253"/>
      <c r="C70" s="253"/>
      <c r="D70" s="253"/>
      <c r="E70" s="253"/>
      <c r="F70" s="253"/>
      <c r="G70" s="253"/>
      <c r="H70" s="253"/>
      <c r="I70" s="104" t="str">
        <f>B35</f>
        <v>PFLMA Trust Contribution</v>
      </c>
      <c r="J70" s="4"/>
      <c r="K70" s="4"/>
      <c r="L70" s="1534">
        <f>D35</f>
        <v>3.7000000000000002E-3</v>
      </c>
      <c r="M70" s="290">
        <f>L70*M65</f>
        <v>2206.7603230018694</v>
      </c>
      <c r="N70" s="253"/>
    </row>
    <row r="71" spans="1:17">
      <c r="A71" s="253"/>
      <c r="B71" s="253"/>
      <c r="C71" s="253"/>
      <c r="D71" s="253"/>
      <c r="E71" s="253"/>
      <c r="F71" s="253"/>
      <c r="G71" s="253"/>
      <c r="H71" s="253"/>
      <c r="I71" s="1091" t="str">
        <f>B29</f>
        <v xml:space="preserve">  Staff Training</v>
      </c>
      <c r="J71" s="156"/>
      <c r="K71" s="156"/>
      <c r="L71" s="1092">
        <f>D29</f>
        <v>277.77888799999999</v>
      </c>
      <c r="M71" s="1098">
        <f>L71*L65</f>
        <v>4198.3073780184613</v>
      </c>
      <c r="N71" s="253"/>
    </row>
    <row r="72" spans="1:17">
      <c r="A72" s="253"/>
      <c r="B72" s="253"/>
      <c r="C72" s="253"/>
      <c r="D72" s="253"/>
      <c r="E72" s="253"/>
      <c r="F72" s="253"/>
      <c r="G72" s="253"/>
      <c r="H72" s="253"/>
      <c r="I72" s="48" t="str">
        <f>B30</f>
        <v xml:space="preserve">  Transportation</v>
      </c>
      <c r="J72" s="156"/>
      <c r="K72" s="156"/>
      <c r="L72" s="1151"/>
      <c r="M72" s="1025">
        <f>D30</f>
        <v>6191.6539525126345</v>
      </c>
      <c r="N72" s="253"/>
    </row>
    <row r="73" spans="1:17">
      <c r="A73" s="253"/>
      <c r="B73" s="253"/>
      <c r="C73" s="253"/>
      <c r="D73" s="253"/>
      <c r="E73" s="253"/>
      <c r="F73" s="253"/>
      <c r="G73" s="253"/>
      <c r="H73" s="253"/>
      <c r="I73" s="109" t="str">
        <f>B32</f>
        <v xml:space="preserve">  Meals / Food***</v>
      </c>
      <c r="J73" s="156"/>
      <c r="K73" s="156"/>
      <c r="L73" s="1358">
        <f>D32</f>
        <v>8.16</v>
      </c>
      <c r="M73" s="1025">
        <f>L73*M52</f>
        <v>23827.200000000001</v>
      </c>
      <c r="N73" s="253"/>
    </row>
    <row r="74" spans="1:17">
      <c r="A74" s="253"/>
      <c r="B74" s="253"/>
      <c r="C74" s="253"/>
      <c r="D74" s="253"/>
      <c r="E74" s="253"/>
      <c r="F74" s="253"/>
      <c r="G74" s="253"/>
      <c r="H74" s="253"/>
      <c r="I74" s="81" t="str">
        <f>B31</f>
        <v xml:space="preserve">  Program Supplies &amp; Materials</v>
      </c>
      <c r="J74" s="72"/>
      <c r="K74" s="72"/>
      <c r="L74" s="122">
        <f>D31</f>
        <v>642.72053101483573</v>
      </c>
      <c r="M74" s="123">
        <f>L74*$L$65</f>
        <v>9713.9792256765322</v>
      </c>
      <c r="N74" s="253"/>
    </row>
    <row r="75" spans="1:17">
      <c r="A75" s="253"/>
      <c r="B75" s="253"/>
      <c r="C75" s="253"/>
      <c r="D75" s="253"/>
      <c r="E75" s="253"/>
      <c r="F75" s="253"/>
      <c r="G75" s="253"/>
      <c r="H75" s="253"/>
      <c r="I75" s="100"/>
      <c r="J75" s="72"/>
      <c r="K75" s="72"/>
      <c r="L75" s="71">
        <f>SUM(L72:L74)</f>
        <v>650.8805310148357</v>
      </c>
      <c r="M75" s="124">
        <f>SUM(M70:M74)</f>
        <v>46137.900879209497</v>
      </c>
      <c r="N75" s="253"/>
    </row>
    <row r="76" spans="1:17">
      <c r="A76" s="253"/>
      <c r="B76" s="253"/>
      <c r="C76" s="253"/>
      <c r="D76" s="253"/>
      <c r="E76" s="253"/>
      <c r="F76" s="253"/>
      <c r="G76" s="253"/>
      <c r="H76" s="253"/>
      <c r="I76" s="104"/>
      <c r="J76" s="72"/>
      <c r="K76" s="72"/>
      <c r="L76" s="66"/>
      <c r="M76" s="125"/>
      <c r="N76" s="253"/>
    </row>
    <row r="77" spans="1:17">
      <c r="A77" s="253"/>
      <c r="B77" s="253"/>
      <c r="C77" s="253"/>
      <c r="D77" s="253"/>
      <c r="E77" s="253"/>
      <c r="F77" s="253"/>
      <c r="G77" s="253"/>
      <c r="H77" s="253"/>
      <c r="I77" s="114" t="s">
        <v>23</v>
      </c>
      <c r="J77" s="3"/>
      <c r="K77" s="3"/>
      <c r="L77" s="3"/>
      <c r="M77" s="126">
        <f>SUM(M69,M75)</f>
        <v>776158.07259658456</v>
      </c>
      <c r="N77" s="253"/>
    </row>
    <row r="78" spans="1:17">
      <c r="A78" s="253"/>
      <c r="B78" s="253"/>
      <c r="C78" s="253"/>
      <c r="D78" s="253"/>
      <c r="E78" s="253"/>
      <c r="F78" s="253"/>
      <c r="G78" s="253"/>
      <c r="H78" s="253"/>
      <c r="I78" s="104"/>
      <c r="J78" s="72"/>
      <c r="K78" s="72"/>
      <c r="L78" s="73"/>
      <c r="M78" s="127"/>
      <c r="N78" s="253"/>
    </row>
    <row r="79" spans="1:17">
      <c r="A79" s="253"/>
      <c r="B79" s="253"/>
      <c r="C79" s="253"/>
      <c r="D79" s="253"/>
      <c r="E79" s="253"/>
      <c r="F79" s="253"/>
      <c r="G79" s="45"/>
      <c r="H79" s="253"/>
      <c r="I79" s="104" t="str">
        <f>B34</f>
        <v xml:space="preserve">  Admin. Allocation</v>
      </c>
      <c r="J79" s="72"/>
      <c r="K79" s="187">
        <f>D34</f>
        <v>0.12</v>
      </c>
      <c r="L79" s="72"/>
      <c r="M79" s="123">
        <f>K79*M77</f>
        <v>93138.968711590147</v>
      </c>
      <c r="N79" s="253"/>
    </row>
    <row r="80" spans="1:17" s="255" customFormat="1">
      <c r="A80" s="253"/>
      <c r="B80" s="253"/>
      <c r="C80" s="253"/>
      <c r="D80" s="253"/>
      <c r="E80" s="253"/>
      <c r="F80" s="253"/>
      <c r="G80" s="45"/>
      <c r="H80" s="253"/>
      <c r="I80" s="104"/>
      <c r="J80" s="72"/>
      <c r="K80" s="72"/>
      <c r="L80" s="72"/>
      <c r="M80" s="128"/>
      <c r="N80" s="253"/>
      <c r="O80" s="8"/>
      <c r="P80" s="8"/>
      <c r="Q80" s="8"/>
    </row>
    <row r="81" spans="1:17" s="255" customFormat="1">
      <c r="A81" s="253"/>
      <c r="B81" s="253"/>
      <c r="C81" s="253"/>
      <c r="D81" s="253"/>
      <c r="E81" s="253"/>
      <c r="F81" s="253"/>
      <c r="G81" s="45"/>
      <c r="H81" s="253"/>
      <c r="I81" s="104"/>
      <c r="J81" s="72"/>
      <c r="K81" s="72"/>
      <c r="L81" s="72"/>
      <c r="M81" s="128"/>
      <c r="N81" s="253"/>
      <c r="O81" s="8"/>
      <c r="P81" s="8"/>
      <c r="Q81" s="8"/>
    </row>
    <row r="82" spans="1:17" s="255" customFormat="1" ht="13.5" thickBot="1">
      <c r="A82" s="253"/>
      <c r="B82" s="253"/>
      <c r="C82" s="253"/>
      <c r="D82" s="253"/>
      <c r="E82" s="253"/>
      <c r="F82" s="253"/>
      <c r="G82" s="45"/>
      <c r="H82" s="253"/>
      <c r="I82" s="129" t="s">
        <v>25</v>
      </c>
      <c r="J82" s="74"/>
      <c r="K82" s="74"/>
      <c r="L82" s="74"/>
      <c r="M82" s="130">
        <f>SUM(M77:M79)</f>
        <v>869297.04130817472</v>
      </c>
      <c r="N82" s="253"/>
      <c r="O82" s="8"/>
      <c r="P82" s="8"/>
      <c r="Q82" s="8"/>
    </row>
    <row r="83" spans="1:17" s="255" customFormat="1" ht="13.5" thickTop="1">
      <c r="A83" s="253"/>
      <c r="B83" s="253"/>
      <c r="C83" s="253"/>
      <c r="D83" s="253"/>
      <c r="E83" s="253"/>
      <c r="F83" s="253"/>
      <c r="G83" s="45"/>
      <c r="H83" s="253"/>
      <c r="I83" s="104"/>
      <c r="J83" s="72"/>
      <c r="K83" s="72"/>
      <c r="L83" s="72"/>
      <c r="M83" s="105"/>
      <c r="N83" s="253"/>
      <c r="O83" s="8"/>
      <c r="P83" s="8"/>
      <c r="Q83" s="8"/>
    </row>
    <row r="84" spans="1:17" s="255" customFormat="1">
      <c r="A84" s="253"/>
      <c r="B84" s="253"/>
      <c r="C84" s="253"/>
      <c r="D84" s="253"/>
      <c r="E84" s="253"/>
      <c r="F84" s="253"/>
      <c r="G84" s="45"/>
      <c r="H84" s="253"/>
      <c r="I84" s="104" t="str">
        <f>B36</f>
        <v xml:space="preserve">  CAF</v>
      </c>
      <c r="J84" s="72"/>
      <c r="K84" s="131">
        <f>D37</f>
        <v>1.7780248869661817E-2</v>
      </c>
      <c r="L84" s="72"/>
      <c r="M84" s="132">
        <f>M82+(M82*K84)-(M65*K84)</f>
        <v>874148.83262843848</v>
      </c>
      <c r="N84" s="253"/>
      <c r="O84" s="8"/>
      <c r="P84" s="8"/>
      <c r="Q84" s="8"/>
    </row>
    <row r="85" spans="1:17" s="255" customFormat="1" ht="13.5" thickBot="1">
      <c r="A85" s="253"/>
      <c r="B85" s="253"/>
      <c r="C85" s="253"/>
      <c r="D85" s="253"/>
      <c r="E85" s="253"/>
      <c r="F85" s="253"/>
      <c r="G85" s="45"/>
      <c r="H85" s="253"/>
      <c r="I85" s="570"/>
      <c r="J85" s="571"/>
      <c r="K85" s="971"/>
      <c r="L85" s="571"/>
      <c r="M85" s="575"/>
      <c r="N85" s="253"/>
      <c r="O85" s="8"/>
      <c r="P85" s="8"/>
      <c r="Q85" s="8"/>
    </row>
    <row r="86" spans="1:17" s="255" customFormat="1" ht="13.5" thickTop="1">
      <c r="A86" s="253"/>
      <c r="B86" s="253"/>
      <c r="C86" s="253"/>
      <c r="D86" s="253"/>
      <c r="E86" s="253"/>
      <c r="F86" s="253"/>
      <c r="G86" s="45"/>
      <c r="H86" s="253"/>
      <c r="I86" s="104"/>
      <c r="J86" s="72"/>
      <c r="K86" s="131"/>
      <c r="L86" s="72"/>
      <c r="M86" s="1560"/>
      <c r="N86" s="253"/>
      <c r="O86" s="8"/>
      <c r="P86" s="8"/>
      <c r="Q86" s="8"/>
    </row>
    <row r="87" spans="1:17" s="255" customFormat="1">
      <c r="A87" s="253"/>
      <c r="B87" s="253"/>
      <c r="C87" s="253"/>
      <c r="D87" s="253"/>
      <c r="E87" s="253"/>
      <c r="F87" s="253"/>
      <c r="G87" s="45"/>
      <c r="H87" s="253"/>
      <c r="I87" s="104"/>
      <c r="J87" s="72"/>
      <c r="K87" s="72"/>
      <c r="L87" s="72"/>
      <c r="M87" s="136"/>
      <c r="N87" s="253"/>
      <c r="O87" s="8"/>
      <c r="P87" s="8"/>
      <c r="Q87" s="8"/>
    </row>
    <row r="88" spans="1:17" s="255" customFormat="1">
      <c r="A88" s="253"/>
      <c r="B88" s="253"/>
      <c r="C88" s="253"/>
      <c r="D88" s="253"/>
      <c r="E88" s="253"/>
      <c r="F88" s="253"/>
      <c r="G88" s="45"/>
      <c r="H88" s="253"/>
      <c r="I88" s="104"/>
      <c r="J88" s="72"/>
      <c r="K88" s="72"/>
      <c r="L88" s="72"/>
      <c r="M88" s="136"/>
      <c r="N88" s="253"/>
      <c r="O88" s="8"/>
      <c r="P88" s="8"/>
      <c r="Q88" s="8"/>
    </row>
    <row r="89" spans="1:17" s="255" customFormat="1" ht="13.5" thickBot="1">
      <c r="A89" s="253"/>
      <c r="B89" s="253"/>
      <c r="C89" s="253"/>
      <c r="D89" s="253"/>
      <c r="E89" s="253"/>
      <c r="F89" s="253"/>
      <c r="G89" s="45"/>
      <c r="H89" s="253"/>
      <c r="I89" s="104" t="s">
        <v>28</v>
      </c>
      <c r="J89" s="72"/>
      <c r="K89" s="72"/>
      <c r="L89" s="73"/>
      <c r="M89" s="568"/>
      <c r="N89" s="253"/>
      <c r="O89" s="8"/>
      <c r="P89" s="8"/>
      <c r="Q89" s="8"/>
    </row>
    <row r="90" spans="1:17" s="255" customFormat="1" ht="13.5" thickBot="1">
      <c r="A90" s="253"/>
      <c r="B90" s="253"/>
      <c r="C90" s="253"/>
      <c r="D90" s="253"/>
      <c r="E90" s="253"/>
      <c r="F90" s="253"/>
      <c r="G90" s="45"/>
      <c r="H90" s="253"/>
      <c r="I90" s="584" t="s">
        <v>794</v>
      </c>
      <c r="J90" s="358"/>
      <c r="K90" s="359"/>
      <c r="L90" s="360"/>
      <c r="M90" s="1569">
        <f>M84/M52</f>
        <v>299.36603857138306</v>
      </c>
      <c r="N90" s="253"/>
      <c r="O90" s="8"/>
      <c r="P90" s="8"/>
      <c r="Q90" s="8"/>
    </row>
    <row r="91" spans="1:17" s="255" customFormat="1">
      <c r="A91" s="253"/>
      <c r="B91" s="253"/>
      <c r="C91" s="253"/>
      <c r="D91" s="253"/>
      <c r="E91" s="253"/>
      <c r="F91" s="253"/>
      <c r="G91" s="45"/>
      <c r="H91" s="253"/>
      <c r="I91" s="72"/>
      <c r="J91" s="410"/>
      <c r="K91" s="72"/>
      <c r="L91" s="253" t="s">
        <v>819</v>
      </c>
      <c r="M91" s="907">
        <v>294.89999999999998</v>
      </c>
      <c r="N91" s="253"/>
      <c r="O91" s="8"/>
      <c r="P91" s="8"/>
      <c r="Q91" s="8"/>
    </row>
    <row r="92" spans="1:17" s="255" customFormat="1">
      <c r="A92" s="253"/>
      <c r="B92" s="253"/>
      <c r="C92" s="253"/>
      <c r="D92" s="253"/>
      <c r="E92" s="253"/>
      <c r="F92" s="253"/>
      <c r="G92" s="45"/>
      <c r="H92" s="253"/>
      <c r="I92" s="72"/>
      <c r="J92" s="410"/>
      <c r="K92" s="72"/>
      <c r="L92" s="253"/>
      <c r="M92" s="482">
        <f>M90-M91</f>
        <v>4.4660385713830806</v>
      </c>
      <c r="N92" s="593">
        <f>M92/M91</f>
        <v>1.5144247444500105E-2</v>
      </c>
      <c r="O92" s="8"/>
      <c r="P92" s="8"/>
      <c r="Q92" s="8"/>
    </row>
    <row r="93" spans="1:17" s="255" customFormat="1">
      <c r="A93" s="253"/>
      <c r="B93" s="253"/>
      <c r="C93" s="253"/>
      <c r="D93" s="253"/>
      <c r="E93" s="253"/>
      <c r="F93" s="253"/>
      <c r="G93" s="45"/>
      <c r="H93" s="253"/>
      <c r="I93" s="72"/>
      <c r="J93" s="410"/>
      <c r="K93" s="72"/>
      <c r="L93" s="73"/>
      <c r="M93" s="72"/>
      <c r="N93" s="253"/>
      <c r="O93" s="8"/>
      <c r="P93" s="8"/>
      <c r="Q93" s="8"/>
    </row>
    <row r="94" spans="1:17" s="255" customFormat="1">
      <c r="A94" s="253"/>
      <c r="B94" s="253"/>
      <c r="C94" s="253"/>
      <c r="D94" s="253"/>
      <c r="E94" s="253"/>
      <c r="F94" s="253"/>
      <c r="G94" s="45"/>
      <c r="H94" s="253"/>
      <c r="I94" s="72"/>
      <c r="J94" s="410"/>
      <c r="K94" s="72"/>
      <c r="L94" s="73"/>
      <c r="M94" s="72"/>
      <c r="N94" s="253"/>
      <c r="O94" s="8"/>
      <c r="P94" s="8"/>
      <c r="Q94" s="8"/>
    </row>
    <row r="95" spans="1:17" s="255" customFormat="1">
      <c r="A95" s="253"/>
      <c r="B95" s="253"/>
      <c r="C95" s="253"/>
      <c r="D95" s="253"/>
      <c r="E95" s="253"/>
      <c r="F95" s="253"/>
      <c r="G95" s="45"/>
      <c r="H95" s="253"/>
      <c r="I95" s="72"/>
      <c r="J95" s="410"/>
      <c r="K95" s="72"/>
      <c r="L95" s="73"/>
      <c r="M95" s="72"/>
      <c r="N95" s="253"/>
      <c r="O95" s="8"/>
      <c r="P95" s="8"/>
      <c r="Q95" s="8"/>
    </row>
    <row r="96" spans="1:17" s="255" customFormat="1">
      <c r="A96" s="253"/>
      <c r="B96" s="253"/>
      <c r="C96" s="253"/>
      <c r="D96" s="253"/>
      <c r="E96" s="253"/>
      <c r="F96" s="253"/>
      <c r="G96" s="45"/>
      <c r="H96" s="253"/>
      <c r="I96" s="72"/>
      <c r="J96" s="410"/>
      <c r="K96" s="72"/>
      <c r="L96" s="73"/>
      <c r="M96" s="72"/>
      <c r="N96" s="253"/>
      <c r="O96" s="8"/>
      <c r="P96" s="8"/>
      <c r="Q96" s="8"/>
    </row>
    <row r="97" spans="1:17" s="255" customFormat="1">
      <c r="A97" s="253"/>
      <c r="B97" s="253"/>
      <c r="C97" s="253"/>
      <c r="D97" s="253"/>
      <c r="E97" s="253"/>
      <c r="F97" s="253"/>
      <c r="G97" s="45"/>
      <c r="H97" s="253"/>
      <c r="I97" s="72"/>
      <c r="J97" s="410"/>
      <c r="K97" s="72"/>
      <c r="L97" s="73"/>
      <c r="M97" s="72"/>
      <c r="N97" s="253"/>
      <c r="O97" s="8"/>
      <c r="P97" s="8"/>
      <c r="Q97" s="8"/>
    </row>
    <row r="98" spans="1:17" s="255" customFormat="1">
      <c r="A98" s="253"/>
      <c r="B98" s="253"/>
      <c r="C98" s="253"/>
      <c r="D98" s="253"/>
      <c r="E98" s="253"/>
      <c r="F98" s="253"/>
      <c r="G98" s="45"/>
      <c r="H98" s="253"/>
      <c r="I98" s="72"/>
      <c r="J98" s="410"/>
      <c r="K98" s="72"/>
      <c r="L98" s="73"/>
      <c r="M98" s="72"/>
      <c r="N98" s="253"/>
      <c r="O98" s="8"/>
      <c r="P98" s="8"/>
      <c r="Q98" s="8"/>
    </row>
    <row r="99" spans="1:17" s="255" customFormat="1">
      <c r="A99" s="253"/>
      <c r="B99" s="253"/>
      <c r="C99" s="253"/>
      <c r="D99" s="253"/>
      <c r="E99" s="253"/>
      <c r="F99" s="253"/>
      <c r="G99" s="45"/>
      <c r="H99" s="253"/>
      <c r="I99" s="72"/>
      <c r="J99" s="410"/>
      <c r="K99" s="72"/>
      <c r="L99" s="73"/>
      <c r="M99" s="72"/>
      <c r="N99" s="253"/>
      <c r="O99" s="8"/>
      <c r="P99" s="8"/>
      <c r="Q99" s="8"/>
    </row>
    <row r="100" spans="1:17" s="255" customFormat="1">
      <c r="A100" s="253"/>
      <c r="B100" s="253"/>
      <c r="C100" s="253"/>
      <c r="D100" s="253"/>
      <c r="E100" s="253"/>
      <c r="F100" s="253"/>
      <c r="G100" s="45"/>
      <c r="H100" s="253"/>
      <c r="I100" s="72"/>
      <c r="J100" s="410"/>
      <c r="K100" s="72"/>
      <c r="L100" s="73"/>
      <c r="M100" s="72"/>
      <c r="N100" s="253"/>
      <c r="O100" s="8"/>
      <c r="P100" s="8"/>
      <c r="Q100" s="8"/>
    </row>
    <row r="101" spans="1:17" s="255" customFormat="1">
      <c r="A101" s="253"/>
      <c r="B101" s="253"/>
      <c r="C101" s="253"/>
      <c r="D101" s="253"/>
      <c r="E101" s="253"/>
      <c r="F101" s="253"/>
      <c r="G101" s="45"/>
      <c r="H101" s="253"/>
      <c r="I101" s="72"/>
      <c r="J101" s="410"/>
      <c r="K101" s="72"/>
      <c r="L101" s="73"/>
      <c r="M101" s="72"/>
      <c r="N101" s="253"/>
      <c r="O101" s="8"/>
      <c r="P101" s="8"/>
      <c r="Q101" s="8"/>
    </row>
    <row r="102" spans="1:17" s="255" customFormat="1">
      <c r="A102" s="253"/>
      <c r="B102" s="253"/>
      <c r="C102" s="253"/>
      <c r="D102" s="253"/>
      <c r="E102" s="253"/>
      <c r="F102" s="253"/>
      <c r="G102" s="45"/>
      <c r="H102" s="253"/>
      <c r="I102" s="72"/>
      <c r="J102" s="410"/>
      <c r="K102" s="72"/>
      <c r="L102" s="73"/>
      <c r="M102" s="72"/>
      <c r="N102" s="253"/>
      <c r="O102" s="8"/>
      <c r="P102" s="8"/>
      <c r="Q102" s="8"/>
    </row>
    <row r="103" spans="1:17" s="255" customFormat="1">
      <c r="B103" s="253"/>
      <c r="C103" s="253"/>
      <c r="D103" s="253"/>
      <c r="E103" s="253"/>
      <c r="F103" s="253"/>
      <c r="G103" s="45"/>
      <c r="I103" s="72"/>
      <c r="J103" s="410"/>
      <c r="K103" s="72"/>
      <c r="L103" s="73"/>
      <c r="M103" s="72"/>
      <c r="N103" s="253"/>
      <c r="O103" s="8"/>
      <c r="P103" s="8"/>
      <c r="Q103" s="8"/>
    </row>
    <row r="104" spans="1:17" s="255" customFormat="1">
      <c r="B104" s="253"/>
      <c r="C104" s="253"/>
      <c r="D104" s="253"/>
      <c r="E104" s="253"/>
      <c r="F104" s="253"/>
      <c r="G104" s="45"/>
      <c r="I104" s="72"/>
      <c r="J104" s="410"/>
      <c r="K104" s="72"/>
      <c r="L104" s="73"/>
      <c r="M104" s="72"/>
      <c r="O104" s="8"/>
      <c r="P104" s="8"/>
      <c r="Q104" s="8"/>
    </row>
    <row r="105" spans="1:17" s="255" customFormat="1">
      <c r="I105" s="253"/>
      <c r="J105" s="253"/>
      <c r="K105" s="253"/>
      <c r="L105" s="253"/>
      <c r="M105" s="72"/>
      <c r="O105" s="8"/>
      <c r="P105" s="8"/>
      <c r="Q105" s="8"/>
    </row>
    <row r="106" spans="1:17" s="255" customFormat="1">
      <c r="I106" s="253"/>
      <c r="J106" s="253"/>
      <c r="K106" s="253"/>
      <c r="L106" s="253"/>
      <c r="M106" s="253"/>
      <c r="O106" s="8"/>
      <c r="P106" s="8"/>
      <c r="Q106" s="8"/>
    </row>
    <row r="107" spans="1:17" s="255" customFormat="1">
      <c r="I107" s="253"/>
      <c r="J107" s="253"/>
      <c r="K107" s="253"/>
      <c r="L107" s="253"/>
      <c r="M107" s="253"/>
      <c r="O107" s="8"/>
      <c r="P107" s="8"/>
      <c r="Q107" s="8"/>
    </row>
    <row r="108" spans="1:17" s="255" customFormat="1">
      <c r="O108" s="8"/>
      <c r="P108" s="8"/>
      <c r="Q108" s="8"/>
    </row>
    <row r="109" spans="1:17" s="255" customFormat="1">
      <c r="O109" s="8"/>
      <c r="P109" s="8"/>
      <c r="Q109" s="8"/>
    </row>
    <row r="110" spans="1:17" s="255" customFormat="1">
      <c r="O110" s="8"/>
      <c r="P110" s="8"/>
      <c r="Q110" s="8"/>
    </row>
    <row r="111" spans="1:17" s="255" customFormat="1">
      <c r="O111" s="8"/>
      <c r="P111" s="8"/>
      <c r="Q111" s="8"/>
    </row>
    <row r="112" spans="1:17" s="255" customFormat="1">
      <c r="O112" s="8"/>
      <c r="P112" s="8"/>
      <c r="Q112" s="8"/>
    </row>
    <row r="113" spans="15:17" s="255" customFormat="1">
      <c r="O113" s="8"/>
      <c r="P113" s="8"/>
      <c r="Q113" s="8"/>
    </row>
    <row r="114" spans="15:17" s="255" customFormat="1">
      <c r="O114" s="8"/>
      <c r="P114" s="8"/>
      <c r="Q114" s="8"/>
    </row>
    <row r="115" spans="15:17" s="255" customFormat="1">
      <c r="O115" s="8"/>
      <c r="P115" s="8"/>
      <c r="Q115" s="8"/>
    </row>
    <row r="116" spans="15:17" s="255" customFormat="1">
      <c r="O116" s="8"/>
      <c r="P116" s="8"/>
      <c r="Q116" s="8"/>
    </row>
    <row r="117" spans="15:17" s="255" customFormat="1">
      <c r="O117" s="8"/>
      <c r="P117" s="8"/>
      <c r="Q117" s="8"/>
    </row>
    <row r="118" spans="15:17" s="255" customFormat="1">
      <c r="O118" s="8"/>
      <c r="P118" s="8"/>
      <c r="Q118" s="8"/>
    </row>
    <row r="119" spans="15:17" s="255" customFormat="1">
      <c r="O119" s="8"/>
      <c r="P119" s="8"/>
      <c r="Q119" s="8"/>
    </row>
    <row r="120" spans="15:17" s="255" customFormat="1">
      <c r="O120" s="8"/>
      <c r="P120" s="8"/>
      <c r="Q120" s="8"/>
    </row>
    <row r="121" spans="15:17" s="255" customFormat="1">
      <c r="O121" s="8"/>
      <c r="P121" s="8"/>
      <c r="Q121" s="8"/>
    </row>
    <row r="122" spans="15:17" s="255" customFormat="1">
      <c r="O122" s="8"/>
      <c r="P122" s="8"/>
      <c r="Q122" s="8"/>
    </row>
    <row r="123" spans="15:17" s="255" customFormat="1">
      <c r="O123" s="8"/>
      <c r="P123" s="8"/>
      <c r="Q123" s="8"/>
    </row>
    <row r="124" spans="15:17" s="255" customFormat="1">
      <c r="O124" s="8"/>
      <c r="P124" s="8"/>
      <c r="Q124" s="8"/>
    </row>
    <row r="125" spans="15:17" s="255" customFormat="1">
      <c r="O125" s="8"/>
      <c r="P125" s="8"/>
      <c r="Q125" s="8"/>
    </row>
    <row r="126" spans="15:17" s="255" customFormat="1">
      <c r="O126" s="8"/>
      <c r="P126" s="8"/>
      <c r="Q126" s="8"/>
    </row>
    <row r="127" spans="15:17" s="255" customFormat="1">
      <c r="O127" s="8"/>
      <c r="P127" s="8"/>
      <c r="Q127" s="8"/>
    </row>
    <row r="128" spans="15:17" s="255" customFormat="1">
      <c r="O128" s="8"/>
      <c r="P128" s="8"/>
      <c r="Q128" s="8"/>
    </row>
    <row r="129" spans="15:17" s="255" customFormat="1">
      <c r="O129" s="8"/>
      <c r="P129" s="8"/>
      <c r="Q129" s="8"/>
    </row>
    <row r="130" spans="15:17" s="255" customFormat="1">
      <c r="O130" s="8"/>
      <c r="P130" s="8"/>
      <c r="Q130" s="8"/>
    </row>
    <row r="131" spans="15:17" s="255" customFormat="1">
      <c r="O131" s="8"/>
      <c r="P131" s="8"/>
      <c r="Q131" s="8"/>
    </row>
    <row r="132" spans="15:17" s="255" customFormat="1">
      <c r="O132" s="8"/>
      <c r="P132" s="8"/>
      <c r="Q132" s="8"/>
    </row>
    <row r="133" spans="15:17" s="255" customFormat="1">
      <c r="O133" s="8"/>
      <c r="P133" s="8"/>
      <c r="Q133" s="8"/>
    </row>
    <row r="134" spans="15:17" s="255" customFormat="1">
      <c r="O134" s="8"/>
      <c r="P134" s="8"/>
      <c r="Q134" s="8"/>
    </row>
    <row r="135" spans="15:17" s="255" customFormat="1">
      <c r="O135" s="8"/>
      <c r="P135" s="8"/>
      <c r="Q135" s="8"/>
    </row>
    <row r="136" spans="15:17" s="255" customFormat="1">
      <c r="O136" s="8"/>
      <c r="P136" s="8"/>
      <c r="Q136" s="8"/>
    </row>
    <row r="137" spans="15:17" s="255" customFormat="1">
      <c r="O137" s="8"/>
      <c r="P137" s="8"/>
      <c r="Q137" s="8"/>
    </row>
    <row r="138" spans="15:17" s="255" customFormat="1">
      <c r="O138" s="8"/>
      <c r="P138" s="8"/>
      <c r="Q138" s="8"/>
    </row>
    <row r="139" spans="15:17" s="255" customFormat="1">
      <c r="O139" s="8"/>
      <c r="P139" s="8"/>
      <c r="Q139" s="8"/>
    </row>
    <row r="140" spans="15:17" s="255" customFormat="1">
      <c r="O140" s="8"/>
      <c r="P140" s="8"/>
      <c r="Q140" s="8"/>
    </row>
    <row r="141" spans="15:17" s="255" customFormat="1">
      <c r="O141" s="8"/>
      <c r="P141" s="8"/>
      <c r="Q141" s="8"/>
    </row>
    <row r="142" spans="15:17" s="255" customFormat="1">
      <c r="O142" s="8"/>
      <c r="P142" s="8"/>
      <c r="Q142" s="8"/>
    </row>
    <row r="143" spans="15:17" s="255" customFormat="1">
      <c r="O143" s="8"/>
      <c r="P143" s="8"/>
      <c r="Q143" s="8"/>
    </row>
    <row r="144" spans="15:17" s="255" customFormat="1">
      <c r="O144" s="8"/>
      <c r="P144" s="8"/>
      <c r="Q144" s="8"/>
    </row>
    <row r="145" spans="15:17" s="255" customFormat="1">
      <c r="O145" s="8"/>
      <c r="P145" s="8"/>
      <c r="Q145" s="8"/>
    </row>
    <row r="146" spans="15:17" s="255" customFormat="1">
      <c r="O146" s="8"/>
      <c r="P146" s="8"/>
      <c r="Q146" s="8"/>
    </row>
    <row r="147" spans="15:17" s="255" customFormat="1">
      <c r="O147" s="8"/>
      <c r="P147" s="8"/>
      <c r="Q147" s="8"/>
    </row>
    <row r="148" spans="15:17" s="255" customFormat="1">
      <c r="O148" s="8"/>
      <c r="P148" s="8"/>
      <c r="Q148" s="8"/>
    </row>
    <row r="149" spans="15:17" s="255" customFormat="1">
      <c r="O149" s="8"/>
      <c r="P149" s="8"/>
      <c r="Q149" s="8"/>
    </row>
    <row r="150" spans="15:17" s="255" customFormat="1">
      <c r="O150" s="8"/>
      <c r="P150" s="8"/>
      <c r="Q150" s="8"/>
    </row>
    <row r="151" spans="15:17" s="255" customFormat="1">
      <c r="O151" s="8"/>
      <c r="P151" s="8"/>
      <c r="Q151" s="8"/>
    </row>
    <row r="152" spans="15:17" s="255" customFormat="1">
      <c r="O152" s="8"/>
      <c r="P152" s="8"/>
      <c r="Q152" s="8"/>
    </row>
    <row r="153" spans="15:17" s="255" customFormat="1">
      <c r="O153" s="8"/>
      <c r="P153" s="8"/>
      <c r="Q153" s="8"/>
    </row>
    <row r="154" spans="15:17" s="255" customFormat="1">
      <c r="O154" s="8"/>
      <c r="P154" s="8"/>
      <c r="Q154" s="8"/>
    </row>
    <row r="155" spans="15:17" s="255" customFormat="1">
      <c r="O155" s="8"/>
      <c r="P155" s="8"/>
      <c r="Q155" s="8"/>
    </row>
    <row r="156" spans="15:17" s="255" customFormat="1">
      <c r="O156" s="8"/>
      <c r="P156" s="8"/>
      <c r="Q156" s="8"/>
    </row>
    <row r="157" spans="15:17" s="255" customFormat="1">
      <c r="O157" s="8"/>
      <c r="P157" s="8"/>
      <c r="Q157" s="8"/>
    </row>
    <row r="158" spans="15:17" s="255" customFormat="1">
      <c r="O158" s="8"/>
      <c r="P158" s="8"/>
      <c r="Q158" s="8"/>
    </row>
    <row r="159" spans="15:17" s="255" customFormat="1">
      <c r="O159" s="8"/>
      <c r="P159" s="8"/>
      <c r="Q159" s="8"/>
    </row>
    <row r="160" spans="15:17" s="255" customFormat="1">
      <c r="O160" s="8"/>
      <c r="P160" s="8"/>
      <c r="Q160" s="8"/>
    </row>
    <row r="161" spans="15:17" s="255" customFormat="1">
      <c r="O161" s="8"/>
      <c r="P161" s="8"/>
      <c r="Q161" s="8"/>
    </row>
    <row r="162" spans="15:17" s="255" customFormat="1">
      <c r="O162" s="8"/>
      <c r="P162" s="8"/>
      <c r="Q162" s="8"/>
    </row>
    <row r="163" spans="15:17" s="255" customFormat="1">
      <c r="O163" s="8"/>
      <c r="P163" s="8"/>
      <c r="Q163" s="8"/>
    </row>
    <row r="164" spans="15:17" s="255" customFormat="1">
      <c r="O164" s="8"/>
      <c r="P164" s="8"/>
      <c r="Q164" s="8"/>
    </row>
    <row r="165" spans="15:17" s="255" customFormat="1">
      <c r="O165" s="8"/>
      <c r="P165" s="8"/>
      <c r="Q165" s="8"/>
    </row>
    <row r="166" spans="15:17" s="255" customFormat="1">
      <c r="O166" s="8"/>
      <c r="P166" s="8"/>
      <c r="Q166" s="8"/>
    </row>
    <row r="167" spans="15:17" s="255" customFormat="1">
      <c r="O167" s="8"/>
      <c r="P167" s="8"/>
      <c r="Q167" s="8"/>
    </row>
    <row r="168" spans="15:17" s="255" customFormat="1">
      <c r="O168" s="8"/>
      <c r="P168" s="8"/>
      <c r="Q168" s="8"/>
    </row>
    <row r="169" spans="15:17" s="255" customFormat="1">
      <c r="O169" s="8"/>
      <c r="P169" s="8"/>
      <c r="Q169" s="8"/>
    </row>
    <row r="170" spans="15:17" s="255" customFormat="1">
      <c r="O170" s="8"/>
      <c r="P170" s="8"/>
      <c r="Q170" s="8"/>
    </row>
    <row r="171" spans="15:17" s="255" customFormat="1">
      <c r="O171" s="8"/>
      <c r="P171" s="8"/>
      <c r="Q171" s="8"/>
    </row>
    <row r="172" spans="15:17" s="255" customFormat="1">
      <c r="O172" s="8"/>
      <c r="P172" s="8"/>
      <c r="Q172" s="8"/>
    </row>
    <row r="173" spans="15:17" s="255" customFormat="1">
      <c r="O173" s="8"/>
      <c r="P173" s="8"/>
      <c r="Q173" s="8"/>
    </row>
    <row r="174" spans="15:17" s="255" customFormat="1">
      <c r="O174" s="8"/>
      <c r="P174" s="8"/>
      <c r="Q174" s="8"/>
    </row>
    <row r="175" spans="15:17" s="255" customFormat="1">
      <c r="O175" s="8"/>
      <c r="P175" s="8"/>
      <c r="Q175" s="8"/>
    </row>
    <row r="176" spans="15:17" s="255" customFormat="1">
      <c r="O176" s="8"/>
      <c r="P176" s="8"/>
      <c r="Q176" s="8"/>
    </row>
    <row r="177" spans="15:17" s="255" customFormat="1">
      <c r="O177" s="8"/>
      <c r="P177" s="8"/>
      <c r="Q177" s="8"/>
    </row>
    <row r="178" spans="15:17" s="255" customFormat="1">
      <c r="O178" s="8"/>
      <c r="P178" s="8"/>
      <c r="Q178" s="8"/>
    </row>
    <row r="179" spans="15:17" s="255" customFormat="1">
      <c r="O179" s="8"/>
      <c r="P179" s="8"/>
      <c r="Q179" s="8"/>
    </row>
    <row r="180" spans="15:17" s="255" customFormat="1">
      <c r="O180" s="8"/>
      <c r="P180" s="8"/>
      <c r="Q180" s="8"/>
    </row>
    <row r="181" spans="15:17" s="255" customFormat="1">
      <c r="O181" s="8"/>
      <c r="P181" s="8"/>
      <c r="Q181" s="8"/>
    </row>
    <row r="182" spans="15:17" s="255" customFormat="1">
      <c r="O182" s="8"/>
      <c r="P182" s="8"/>
      <c r="Q182" s="8"/>
    </row>
    <row r="183" spans="15:17" s="255" customFormat="1">
      <c r="O183" s="8"/>
      <c r="P183" s="8"/>
      <c r="Q183" s="8"/>
    </row>
    <row r="184" spans="15:17" s="255" customFormat="1">
      <c r="O184" s="8"/>
      <c r="P184" s="8"/>
      <c r="Q184" s="8"/>
    </row>
    <row r="185" spans="15:17" s="255" customFormat="1">
      <c r="O185" s="8"/>
      <c r="P185" s="8"/>
      <c r="Q185" s="8"/>
    </row>
    <row r="186" spans="15:17" s="255" customFormat="1">
      <c r="O186" s="8"/>
      <c r="P186" s="8"/>
      <c r="Q186" s="8"/>
    </row>
    <row r="187" spans="15:17" s="255" customFormat="1">
      <c r="O187" s="8"/>
      <c r="P187" s="8"/>
      <c r="Q187" s="8"/>
    </row>
    <row r="188" spans="15:17" s="255" customFormat="1">
      <c r="O188" s="8"/>
      <c r="P188" s="8"/>
      <c r="Q188" s="8"/>
    </row>
    <row r="189" spans="15:17" s="255" customFormat="1">
      <c r="O189" s="8"/>
      <c r="P189" s="8"/>
      <c r="Q189" s="8"/>
    </row>
    <row r="190" spans="15:17" s="255" customFormat="1">
      <c r="O190" s="8"/>
      <c r="P190" s="8"/>
      <c r="Q190" s="8"/>
    </row>
    <row r="191" spans="15:17" s="255" customFormat="1">
      <c r="O191" s="8"/>
      <c r="P191" s="8"/>
      <c r="Q191" s="8"/>
    </row>
    <row r="192" spans="15:17" s="255" customFormat="1">
      <c r="O192" s="8"/>
      <c r="P192" s="8"/>
      <c r="Q192" s="8"/>
    </row>
    <row r="193" spans="15:17" s="255" customFormat="1">
      <c r="O193" s="8"/>
      <c r="P193" s="8"/>
      <c r="Q193" s="8"/>
    </row>
    <row r="194" spans="15:17" s="255" customFormat="1">
      <c r="O194" s="8"/>
      <c r="P194" s="8"/>
      <c r="Q194" s="8"/>
    </row>
    <row r="195" spans="15:17" s="255" customFormat="1">
      <c r="O195" s="8"/>
      <c r="P195" s="8"/>
      <c r="Q195" s="8"/>
    </row>
    <row r="196" spans="15:17" s="255" customFormat="1">
      <c r="O196" s="8"/>
      <c r="P196" s="8"/>
      <c r="Q196" s="8"/>
    </row>
    <row r="197" spans="15:17" s="255" customFormat="1">
      <c r="O197" s="8"/>
      <c r="P197" s="8"/>
      <c r="Q197" s="8"/>
    </row>
    <row r="198" spans="15:17" s="255" customFormat="1">
      <c r="O198" s="8"/>
      <c r="P198" s="8"/>
      <c r="Q198" s="8"/>
    </row>
    <row r="199" spans="15:17" s="255" customFormat="1">
      <c r="O199" s="8"/>
      <c r="P199" s="8"/>
      <c r="Q199" s="8"/>
    </row>
    <row r="200" spans="15:17" s="255" customFormat="1">
      <c r="O200" s="8"/>
      <c r="P200" s="8"/>
      <c r="Q200" s="8"/>
    </row>
    <row r="201" spans="15:17" s="255" customFormat="1">
      <c r="O201" s="8"/>
      <c r="P201" s="8"/>
      <c r="Q201" s="8"/>
    </row>
    <row r="202" spans="15:17" s="255" customFormat="1">
      <c r="O202" s="8"/>
      <c r="P202" s="8"/>
      <c r="Q202" s="8"/>
    </row>
    <row r="203" spans="15:17" s="255" customFormat="1">
      <c r="O203" s="8"/>
      <c r="P203" s="8"/>
      <c r="Q203" s="8"/>
    </row>
    <row r="204" spans="15:17" s="255" customFormat="1">
      <c r="O204" s="8"/>
      <c r="P204" s="8"/>
      <c r="Q204" s="8"/>
    </row>
    <row r="205" spans="15:17" s="255" customFormat="1">
      <c r="O205" s="8"/>
      <c r="P205" s="8"/>
      <c r="Q205" s="8"/>
    </row>
    <row r="206" spans="15:17" s="255" customFormat="1">
      <c r="O206" s="8"/>
      <c r="P206" s="8"/>
      <c r="Q206" s="8"/>
    </row>
    <row r="207" spans="15:17" s="255" customFormat="1">
      <c r="O207" s="8"/>
      <c r="P207" s="8"/>
      <c r="Q207" s="8"/>
    </row>
    <row r="208" spans="15:17" s="255" customFormat="1">
      <c r="O208" s="8"/>
      <c r="P208" s="8"/>
      <c r="Q208" s="8"/>
    </row>
    <row r="209" spans="15:17" s="255" customFormat="1">
      <c r="O209" s="8"/>
      <c r="P209" s="8"/>
      <c r="Q209" s="8"/>
    </row>
    <row r="210" spans="15:17" s="255" customFormat="1">
      <c r="O210" s="8"/>
      <c r="P210" s="8"/>
      <c r="Q210" s="8"/>
    </row>
    <row r="211" spans="15:17" s="255" customFormat="1">
      <c r="O211" s="8"/>
      <c r="P211" s="8"/>
      <c r="Q211" s="8"/>
    </row>
    <row r="212" spans="15:17" s="255" customFormat="1">
      <c r="O212" s="8"/>
      <c r="P212" s="8"/>
      <c r="Q212" s="8"/>
    </row>
    <row r="213" spans="15:17" s="255" customFormat="1">
      <c r="O213" s="8"/>
      <c r="P213" s="8"/>
      <c r="Q213" s="8"/>
    </row>
    <row r="214" spans="15:17" s="255" customFormat="1">
      <c r="O214" s="8"/>
      <c r="P214" s="8"/>
      <c r="Q214" s="8"/>
    </row>
    <row r="215" spans="15:17" s="255" customFormat="1">
      <c r="O215" s="8"/>
      <c r="P215" s="8"/>
      <c r="Q215" s="8"/>
    </row>
    <row r="216" spans="15:17" s="255" customFormat="1">
      <c r="O216" s="8"/>
      <c r="P216" s="8"/>
      <c r="Q216" s="8"/>
    </row>
    <row r="217" spans="15:17" s="255" customFormat="1">
      <c r="O217" s="8"/>
      <c r="P217" s="8"/>
      <c r="Q217" s="8"/>
    </row>
    <row r="218" spans="15:17" s="255" customFormat="1">
      <c r="O218" s="8"/>
      <c r="P218" s="8"/>
      <c r="Q218" s="8"/>
    </row>
    <row r="219" spans="15:17" s="255" customFormat="1">
      <c r="O219" s="8"/>
      <c r="P219" s="8"/>
      <c r="Q219" s="8"/>
    </row>
    <row r="220" spans="15:17" s="255" customFormat="1">
      <c r="O220" s="8"/>
      <c r="P220" s="8"/>
      <c r="Q220" s="8"/>
    </row>
    <row r="221" spans="15:17" s="255" customFormat="1">
      <c r="O221" s="8"/>
      <c r="P221" s="8"/>
      <c r="Q221" s="8"/>
    </row>
    <row r="222" spans="15:17" s="255" customFormat="1">
      <c r="O222" s="8"/>
      <c r="P222" s="8"/>
      <c r="Q222" s="8"/>
    </row>
    <row r="223" spans="15:17" s="255" customFormat="1">
      <c r="O223" s="8"/>
      <c r="P223" s="8"/>
      <c r="Q223" s="8"/>
    </row>
    <row r="224" spans="15:17" s="255" customFormat="1">
      <c r="O224" s="8"/>
      <c r="P224" s="8"/>
      <c r="Q224" s="8"/>
    </row>
    <row r="225" spans="15:17" s="255" customFormat="1">
      <c r="O225" s="8"/>
      <c r="P225" s="8"/>
      <c r="Q225" s="8"/>
    </row>
    <row r="226" spans="15:17" s="255" customFormat="1">
      <c r="O226" s="8"/>
      <c r="P226" s="8"/>
      <c r="Q226" s="8"/>
    </row>
    <row r="227" spans="15:17" s="255" customFormat="1">
      <c r="O227" s="8"/>
      <c r="P227" s="8"/>
      <c r="Q227" s="8"/>
    </row>
    <row r="228" spans="15:17" s="255" customFormat="1">
      <c r="O228" s="8"/>
      <c r="P228" s="8"/>
      <c r="Q228" s="8"/>
    </row>
    <row r="229" spans="15:17" s="255" customFormat="1">
      <c r="O229" s="8"/>
      <c r="P229" s="8"/>
      <c r="Q229" s="8"/>
    </row>
    <row r="230" spans="15:17" s="255" customFormat="1">
      <c r="O230" s="8"/>
      <c r="P230" s="8"/>
      <c r="Q230" s="8"/>
    </row>
    <row r="231" spans="15:17" s="255" customFormat="1">
      <c r="O231" s="8"/>
      <c r="P231" s="8"/>
      <c r="Q231" s="8"/>
    </row>
    <row r="232" spans="15:17" s="255" customFormat="1">
      <c r="O232" s="8"/>
      <c r="P232" s="8"/>
      <c r="Q232" s="8"/>
    </row>
    <row r="233" spans="15:17" s="255" customFormat="1">
      <c r="O233" s="8"/>
      <c r="P233" s="8"/>
      <c r="Q233" s="8"/>
    </row>
    <row r="234" spans="15:17" s="255" customFormat="1">
      <c r="O234" s="8"/>
      <c r="P234" s="8"/>
      <c r="Q234" s="8"/>
    </row>
    <row r="235" spans="15:17" s="255" customFormat="1">
      <c r="O235" s="8"/>
      <c r="P235" s="8"/>
      <c r="Q235" s="8"/>
    </row>
    <row r="236" spans="15:17" s="255" customFormat="1">
      <c r="O236" s="8"/>
      <c r="P236" s="8"/>
      <c r="Q236" s="8"/>
    </row>
    <row r="237" spans="15:17" s="255" customFormat="1">
      <c r="O237" s="8"/>
      <c r="P237" s="8"/>
      <c r="Q237" s="8"/>
    </row>
    <row r="238" spans="15:17" s="255" customFormat="1">
      <c r="O238" s="8"/>
      <c r="P238" s="8"/>
      <c r="Q238" s="8"/>
    </row>
    <row r="239" spans="15:17" s="255" customFormat="1">
      <c r="O239" s="8"/>
      <c r="P239" s="8"/>
      <c r="Q239" s="8"/>
    </row>
    <row r="240" spans="15:17" s="255" customFormat="1">
      <c r="O240" s="8"/>
      <c r="P240" s="8"/>
      <c r="Q240" s="8"/>
    </row>
    <row r="241" spans="15:17" s="255" customFormat="1">
      <c r="O241" s="8"/>
      <c r="P241" s="8"/>
      <c r="Q241" s="8"/>
    </row>
    <row r="242" spans="15:17" s="255" customFormat="1">
      <c r="O242" s="8"/>
      <c r="P242" s="8"/>
      <c r="Q242" s="8"/>
    </row>
    <row r="243" spans="15:17" s="255" customFormat="1">
      <c r="O243" s="8"/>
      <c r="P243" s="8"/>
      <c r="Q243" s="8"/>
    </row>
    <row r="244" spans="15:17" s="255" customFormat="1">
      <c r="O244" s="8"/>
      <c r="P244" s="8"/>
      <c r="Q244" s="8"/>
    </row>
    <row r="245" spans="15:17" s="255" customFormat="1">
      <c r="O245" s="8"/>
      <c r="P245" s="8"/>
      <c r="Q245" s="8"/>
    </row>
    <row r="246" spans="15:17" s="255" customFormat="1">
      <c r="O246" s="8"/>
      <c r="P246" s="8"/>
      <c r="Q246" s="8"/>
    </row>
    <row r="247" spans="15:17" s="255" customFormat="1">
      <c r="O247" s="8"/>
      <c r="P247" s="8"/>
      <c r="Q247" s="8"/>
    </row>
    <row r="248" spans="15:17" s="255" customFormat="1">
      <c r="O248" s="8"/>
      <c r="P248" s="8"/>
      <c r="Q248" s="8"/>
    </row>
    <row r="249" spans="15:17" s="255" customFormat="1">
      <c r="O249" s="8"/>
      <c r="P249" s="8"/>
      <c r="Q249" s="8"/>
    </row>
    <row r="250" spans="15:17" s="255" customFormat="1">
      <c r="O250" s="8"/>
      <c r="P250" s="8"/>
      <c r="Q250" s="8"/>
    </row>
    <row r="251" spans="15:17" s="255" customFormat="1">
      <c r="O251" s="8"/>
      <c r="P251" s="8"/>
      <c r="Q251" s="8"/>
    </row>
    <row r="252" spans="15:17" s="255" customFormat="1">
      <c r="O252" s="8"/>
      <c r="P252" s="8"/>
      <c r="Q252" s="8"/>
    </row>
    <row r="253" spans="15:17" s="255" customFormat="1">
      <c r="O253" s="8"/>
      <c r="P253" s="8"/>
      <c r="Q253" s="8"/>
    </row>
    <row r="254" spans="15:17" s="255" customFormat="1">
      <c r="O254" s="8"/>
      <c r="P254" s="8"/>
      <c r="Q254" s="8"/>
    </row>
    <row r="255" spans="15:17" s="255" customFormat="1">
      <c r="O255" s="8"/>
      <c r="P255" s="8"/>
      <c r="Q255" s="8"/>
    </row>
    <row r="256" spans="15:17" s="255" customFormat="1">
      <c r="O256" s="8"/>
      <c r="P256" s="8"/>
      <c r="Q256" s="8"/>
    </row>
    <row r="257" spans="15:17" s="255" customFormat="1">
      <c r="O257" s="8"/>
      <c r="P257" s="8"/>
      <c r="Q257" s="8"/>
    </row>
    <row r="258" spans="15:17" s="255" customFormat="1">
      <c r="O258" s="8"/>
      <c r="P258" s="8"/>
      <c r="Q258" s="8"/>
    </row>
    <row r="259" spans="15:17" s="255" customFormat="1">
      <c r="O259" s="8"/>
      <c r="P259" s="8"/>
      <c r="Q259" s="8"/>
    </row>
    <row r="260" spans="15:17" s="255" customFormat="1">
      <c r="O260" s="8"/>
      <c r="P260" s="8"/>
      <c r="Q260" s="8"/>
    </row>
    <row r="261" spans="15:17" s="255" customFormat="1">
      <c r="O261" s="8"/>
      <c r="P261" s="8"/>
      <c r="Q261" s="8"/>
    </row>
    <row r="262" spans="15:17" s="255" customFormat="1">
      <c r="O262" s="8"/>
      <c r="P262" s="8"/>
      <c r="Q262" s="8"/>
    </row>
    <row r="263" spans="15:17" s="255" customFormat="1">
      <c r="O263" s="8"/>
      <c r="P263" s="8"/>
      <c r="Q263" s="8"/>
    </row>
    <row r="264" spans="15:17" s="255" customFormat="1">
      <c r="O264" s="8"/>
      <c r="P264" s="8"/>
      <c r="Q264" s="8"/>
    </row>
    <row r="265" spans="15:17" s="255" customFormat="1">
      <c r="O265" s="8"/>
      <c r="P265" s="8"/>
      <c r="Q265" s="8"/>
    </row>
    <row r="266" spans="15:17" s="255" customFormat="1">
      <c r="O266" s="8"/>
      <c r="P266" s="8"/>
      <c r="Q266" s="8"/>
    </row>
    <row r="267" spans="15:17" s="255" customFormat="1">
      <c r="O267" s="8"/>
      <c r="P267" s="8"/>
      <c r="Q267" s="8"/>
    </row>
    <row r="268" spans="15:17" s="255" customFormat="1">
      <c r="O268" s="8"/>
      <c r="P268" s="8"/>
      <c r="Q268" s="8"/>
    </row>
    <row r="269" spans="15:17" s="255" customFormat="1">
      <c r="O269" s="8"/>
      <c r="P269" s="8"/>
      <c r="Q269" s="8"/>
    </row>
    <row r="270" spans="15:17" s="255" customFormat="1">
      <c r="O270" s="8"/>
      <c r="P270" s="8"/>
      <c r="Q270" s="8"/>
    </row>
    <row r="271" spans="15:17" s="255" customFormat="1">
      <c r="O271" s="8"/>
      <c r="P271" s="8"/>
      <c r="Q271" s="8"/>
    </row>
    <row r="272" spans="15:17" s="255" customFormat="1">
      <c r="O272" s="8"/>
      <c r="P272" s="8"/>
      <c r="Q272" s="8"/>
    </row>
    <row r="273" spans="15:17" s="255" customFormat="1">
      <c r="O273" s="8"/>
      <c r="P273" s="8"/>
      <c r="Q273" s="8"/>
    </row>
    <row r="274" spans="15:17" s="255" customFormat="1">
      <c r="O274" s="8"/>
      <c r="P274" s="8"/>
      <c r="Q274" s="8"/>
    </row>
    <row r="275" spans="15:17" s="255" customFormat="1">
      <c r="O275" s="8"/>
      <c r="P275" s="8"/>
      <c r="Q275" s="8"/>
    </row>
    <row r="276" spans="15:17" s="255" customFormat="1">
      <c r="O276" s="8"/>
      <c r="P276" s="8"/>
      <c r="Q276" s="8"/>
    </row>
    <row r="277" spans="15:17" s="255" customFormat="1">
      <c r="O277" s="8"/>
      <c r="P277" s="8"/>
      <c r="Q277" s="8"/>
    </row>
    <row r="278" spans="15:17" s="255" customFormat="1">
      <c r="O278" s="8"/>
      <c r="P278" s="8"/>
      <c r="Q278" s="8"/>
    </row>
    <row r="279" spans="15:17" s="255" customFormat="1">
      <c r="O279" s="8"/>
      <c r="P279" s="8"/>
      <c r="Q279" s="8"/>
    </row>
    <row r="280" spans="15:17" s="255" customFormat="1">
      <c r="O280" s="8"/>
      <c r="P280" s="8"/>
      <c r="Q280" s="8"/>
    </row>
    <row r="281" spans="15:17" s="255" customFormat="1">
      <c r="O281" s="8"/>
      <c r="P281" s="8"/>
      <c r="Q281" s="8"/>
    </row>
    <row r="282" spans="15:17" s="255" customFormat="1">
      <c r="O282" s="8"/>
      <c r="P282" s="8"/>
      <c r="Q282" s="8"/>
    </row>
    <row r="283" spans="15:17" s="255" customFormat="1">
      <c r="O283" s="8"/>
      <c r="P283" s="8"/>
      <c r="Q283" s="8"/>
    </row>
    <row r="284" spans="15:17" s="255" customFormat="1">
      <c r="O284" s="8"/>
      <c r="P284" s="8"/>
      <c r="Q284" s="8"/>
    </row>
    <row r="285" spans="15:17" s="255" customFormat="1">
      <c r="O285" s="8"/>
      <c r="P285" s="8"/>
      <c r="Q285" s="8"/>
    </row>
    <row r="286" spans="15:17" s="255" customFormat="1">
      <c r="O286" s="8"/>
      <c r="P286" s="8"/>
      <c r="Q286" s="8"/>
    </row>
    <row r="287" spans="15:17" s="255" customFormat="1">
      <c r="O287" s="8"/>
      <c r="P287" s="8"/>
      <c r="Q287" s="8"/>
    </row>
    <row r="288" spans="15:17" s="255" customFormat="1">
      <c r="O288" s="8"/>
      <c r="P288" s="8"/>
      <c r="Q288" s="8"/>
    </row>
    <row r="289" spans="15:17" s="255" customFormat="1">
      <c r="O289" s="8"/>
      <c r="P289" s="8"/>
      <c r="Q289" s="8"/>
    </row>
    <row r="290" spans="15:17" s="255" customFormat="1">
      <c r="O290" s="8"/>
      <c r="P290" s="8"/>
      <c r="Q290" s="8"/>
    </row>
    <row r="291" spans="15:17" s="255" customFormat="1">
      <c r="O291" s="8"/>
      <c r="P291" s="8"/>
      <c r="Q291" s="8"/>
    </row>
    <row r="292" spans="15:17" s="255" customFormat="1">
      <c r="O292" s="8"/>
      <c r="P292" s="8"/>
      <c r="Q292" s="8"/>
    </row>
    <row r="293" spans="15:17" s="255" customFormat="1">
      <c r="O293" s="8"/>
      <c r="P293" s="8"/>
      <c r="Q293" s="8"/>
    </row>
    <row r="294" spans="15:17" s="255" customFormat="1">
      <c r="O294" s="8"/>
      <c r="P294" s="8"/>
      <c r="Q294" s="8"/>
    </row>
    <row r="295" spans="15:17" s="255" customFormat="1">
      <c r="O295" s="8"/>
      <c r="P295" s="8"/>
      <c r="Q295" s="8"/>
    </row>
    <row r="296" spans="15:17" s="255" customFormat="1">
      <c r="O296" s="8"/>
      <c r="P296" s="8"/>
      <c r="Q296" s="8"/>
    </row>
    <row r="297" spans="15:17" s="255" customFormat="1">
      <c r="O297" s="8"/>
      <c r="P297" s="8"/>
      <c r="Q297" s="8"/>
    </row>
    <row r="298" spans="15:17" s="255" customFormat="1">
      <c r="O298" s="8"/>
      <c r="P298" s="8"/>
      <c r="Q298" s="8"/>
    </row>
    <row r="299" spans="15:17" s="255" customFormat="1">
      <c r="O299" s="8"/>
      <c r="P299" s="8"/>
      <c r="Q299" s="8"/>
    </row>
    <row r="300" spans="15:17" s="255" customFormat="1">
      <c r="O300" s="8"/>
      <c r="P300" s="8"/>
      <c r="Q300" s="8"/>
    </row>
    <row r="301" spans="15:17" s="255" customFormat="1">
      <c r="O301" s="8"/>
      <c r="P301" s="8"/>
      <c r="Q301" s="8"/>
    </row>
    <row r="302" spans="15:17" s="255" customFormat="1">
      <c r="O302" s="8"/>
      <c r="P302" s="8"/>
      <c r="Q302" s="8"/>
    </row>
    <row r="303" spans="15:17" s="255" customFormat="1">
      <c r="O303" s="8"/>
      <c r="P303" s="8"/>
      <c r="Q303" s="8"/>
    </row>
    <row r="304" spans="15:17" s="255" customFormat="1">
      <c r="O304" s="8"/>
      <c r="P304" s="8"/>
      <c r="Q304" s="8"/>
    </row>
    <row r="305" spans="15:17" s="255" customFormat="1">
      <c r="O305" s="8"/>
      <c r="P305" s="8"/>
      <c r="Q305" s="8"/>
    </row>
    <row r="306" spans="15:17" s="255" customFormat="1">
      <c r="O306" s="8"/>
      <c r="P306" s="8"/>
      <c r="Q306" s="8"/>
    </row>
    <row r="307" spans="15:17" s="255" customFormat="1">
      <c r="O307" s="8"/>
      <c r="P307" s="8"/>
      <c r="Q307" s="8"/>
    </row>
    <row r="308" spans="15:17" s="255" customFormat="1">
      <c r="O308" s="8"/>
      <c r="P308" s="8"/>
      <c r="Q308" s="8"/>
    </row>
    <row r="309" spans="15:17" s="255" customFormat="1">
      <c r="O309" s="8"/>
      <c r="P309" s="8"/>
      <c r="Q309" s="8"/>
    </row>
    <row r="310" spans="15:17" s="255" customFormat="1">
      <c r="O310" s="8"/>
      <c r="P310" s="8"/>
      <c r="Q310" s="8"/>
    </row>
    <row r="311" spans="15:17" s="255" customFormat="1">
      <c r="O311" s="8"/>
      <c r="P311" s="8"/>
      <c r="Q311" s="8"/>
    </row>
    <row r="312" spans="15:17" s="255" customFormat="1">
      <c r="O312" s="8"/>
      <c r="P312" s="8"/>
      <c r="Q312" s="8"/>
    </row>
    <row r="313" spans="15:17" s="255" customFormat="1">
      <c r="O313" s="8"/>
      <c r="P313" s="8"/>
      <c r="Q313" s="8"/>
    </row>
    <row r="314" spans="15:17" s="255" customFormat="1">
      <c r="O314" s="8"/>
      <c r="P314" s="8"/>
      <c r="Q314" s="8"/>
    </row>
    <row r="315" spans="15:17" s="255" customFormat="1">
      <c r="O315" s="8"/>
      <c r="P315" s="8"/>
      <c r="Q315" s="8"/>
    </row>
    <row r="316" spans="15:17" s="255" customFormat="1">
      <c r="O316" s="8"/>
      <c r="P316" s="8"/>
      <c r="Q316" s="8"/>
    </row>
    <row r="317" spans="15:17" s="255" customFormat="1">
      <c r="O317" s="8"/>
      <c r="P317" s="8"/>
      <c r="Q317" s="8"/>
    </row>
    <row r="318" spans="15:17" s="255" customFormat="1">
      <c r="O318" s="8"/>
      <c r="P318" s="8"/>
      <c r="Q318" s="8"/>
    </row>
    <row r="319" spans="15:17" s="255" customFormat="1">
      <c r="O319" s="8"/>
      <c r="P319" s="8"/>
      <c r="Q319" s="8"/>
    </row>
    <row r="320" spans="15:17" s="255" customFormat="1">
      <c r="O320" s="8"/>
      <c r="P320" s="8"/>
      <c r="Q320" s="8"/>
    </row>
    <row r="321" spans="15:17" s="255" customFormat="1">
      <c r="O321" s="8"/>
      <c r="P321" s="8"/>
      <c r="Q321" s="8"/>
    </row>
    <row r="322" spans="15:17" s="255" customFormat="1">
      <c r="O322" s="8"/>
      <c r="P322" s="8"/>
      <c r="Q322" s="8"/>
    </row>
    <row r="323" spans="15:17" s="255" customFormat="1">
      <c r="O323" s="8"/>
      <c r="P323" s="8"/>
      <c r="Q323" s="8"/>
    </row>
    <row r="324" spans="15:17" s="255" customFormat="1">
      <c r="O324" s="8"/>
      <c r="P324" s="8"/>
      <c r="Q324" s="8"/>
    </row>
    <row r="325" spans="15:17" s="255" customFormat="1">
      <c r="O325" s="8"/>
      <c r="P325" s="8"/>
      <c r="Q325" s="8"/>
    </row>
    <row r="326" spans="15:17" s="255" customFormat="1">
      <c r="O326" s="8"/>
      <c r="P326" s="8"/>
      <c r="Q326" s="8"/>
    </row>
    <row r="327" spans="15:17" s="255" customFormat="1">
      <c r="O327" s="8"/>
      <c r="P327" s="8"/>
      <c r="Q327" s="8"/>
    </row>
    <row r="328" spans="15:17" s="255" customFormat="1">
      <c r="O328" s="8"/>
      <c r="P328" s="8"/>
      <c r="Q328" s="8"/>
    </row>
    <row r="329" spans="15:17" s="255" customFormat="1">
      <c r="O329" s="8"/>
      <c r="P329" s="8"/>
      <c r="Q329" s="8"/>
    </row>
    <row r="330" spans="15:17" s="255" customFormat="1">
      <c r="O330" s="8"/>
      <c r="P330" s="8"/>
      <c r="Q330" s="8"/>
    </row>
    <row r="331" spans="15:17" s="255" customFormat="1">
      <c r="O331" s="8"/>
      <c r="P331" s="8"/>
      <c r="Q331" s="8"/>
    </row>
    <row r="332" spans="15:17" s="255" customFormat="1">
      <c r="O332" s="8"/>
      <c r="P332" s="8"/>
      <c r="Q332" s="8"/>
    </row>
    <row r="333" spans="15:17" s="255" customFormat="1">
      <c r="O333" s="8"/>
      <c r="P333" s="8"/>
      <c r="Q333" s="8"/>
    </row>
    <row r="334" spans="15:17" s="255" customFormat="1">
      <c r="O334" s="8"/>
      <c r="P334" s="8"/>
      <c r="Q334" s="8"/>
    </row>
    <row r="335" spans="15:17" s="255" customFormat="1">
      <c r="O335" s="8"/>
      <c r="P335" s="8"/>
      <c r="Q335" s="8"/>
    </row>
    <row r="336" spans="15:17" s="255" customFormat="1">
      <c r="O336" s="8"/>
      <c r="P336" s="8"/>
      <c r="Q336" s="8"/>
    </row>
    <row r="337" spans="15:17" s="255" customFormat="1">
      <c r="O337" s="8"/>
      <c r="P337" s="8"/>
      <c r="Q337" s="8"/>
    </row>
    <row r="338" spans="15:17" s="255" customFormat="1">
      <c r="O338" s="8"/>
      <c r="P338" s="8"/>
      <c r="Q338" s="8"/>
    </row>
    <row r="339" spans="15:17" s="255" customFormat="1">
      <c r="O339" s="8"/>
      <c r="P339" s="8"/>
      <c r="Q339" s="8"/>
    </row>
    <row r="340" spans="15:17" s="255" customFormat="1">
      <c r="O340" s="8"/>
      <c r="P340" s="8"/>
      <c r="Q340" s="8"/>
    </row>
    <row r="341" spans="15:17" s="255" customFormat="1">
      <c r="O341" s="8"/>
      <c r="P341" s="8"/>
      <c r="Q341" s="8"/>
    </row>
    <row r="342" spans="15:17" s="255" customFormat="1">
      <c r="O342" s="8"/>
      <c r="P342" s="8"/>
      <c r="Q342" s="8"/>
    </row>
    <row r="343" spans="15:17" s="255" customFormat="1">
      <c r="O343" s="8"/>
      <c r="P343" s="8"/>
      <c r="Q343" s="8"/>
    </row>
    <row r="344" spans="15:17" s="255" customFormat="1">
      <c r="O344" s="8"/>
      <c r="P344" s="8"/>
      <c r="Q344" s="8"/>
    </row>
    <row r="345" spans="15:17" s="255" customFormat="1">
      <c r="O345" s="8"/>
      <c r="P345" s="8"/>
      <c r="Q345" s="8"/>
    </row>
    <row r="346" spans="15:17" s="255" customFormat="1">
      <c r="O346" s="8"/>
      <c r="P346" s="8"/>
      <c r="Q346" s="8"/>
    </row>
    <row r="347" spans="15:17" s="255" customFormat="1">
      <c r="O347" s="8"/>
      <c r="P347" s="8"/>
      <c r="Q347" s="8"/>
    </row>
    <row r="348" spans="15:17" s="255" customFormat="1">
      <c r="O348" s="8"/>
      <c r="P348" s="8"/>
      <c r="Q348" s="8"/>
    </row>
    <row r="349" spans="15:17" s="255" customFormat="1">
      <c r="O349" s="8"/>
      <c r="P349" s="8"/>
      <c r="Q349" s="8"/>
    </row>
    <row r="350" spans="15:17" s="255" customFormat="1">
      <c r="O350" s="8"/>
      <c r="P350" s="8"/>
      <c r="Q350" s="8"/>
    </row>
    <row r="351" spans="15:17" s="255" customFormat="1">
      <c r="O351" s="8"/>
      <c r="P351" s="8"/>
      <c r="Q351" s="8"/>
    </row>
    <row r="352" spans="15:17" s="255" customFormat="1">
      <c r="O352" s="8"/>
      <c r="P352" s="8"/>
      <c r="Q352" s="8"/>
    </row>
    <row r="353" spans="15:17" s="255" customFormat="1">
      <c r="O353" s="8"/>
      <c r="P353" s="8"/>
      <c r="Q353" s="8"/>
    </row>
    <row r="354" spans="15:17" s="255" customFormat="1">
      <c r="O354" s="8"/>
      <c r="P354" s="8"/>
      <c r="Q354" s="8"/>
    </row>
    <row r="355" spans="15:17" s="255" customFormat="1">
      <c r="O355" s="8"/>
      <c r="P355" s="8"/>
      <c r="Q355" s="8"/>
    </row>
    <row r="356" spans="15:17" s="255" customFormat="1">
      <c r="O356" s="8"/>
      <c r="P356" s="8"/>
      <c r="Q356" s="8"/>
    </row>
    <row r="357" spans="15:17" s="255" customFormat="1">
      <c r="O357" s="8"/>
      <c r="P357" s="8"/>
      <c r="Q357" s="8"/>
    </row>
    <row r="358" spans="15:17" s="255" customFormat="1">
      <c r="O358" s="8"/>
      <c r="P358" s="8"/>
      <c r="Q358" s="8"/>
    </row>
    <row r="359" spans="15:17" s="255" customFormat="1">
      <c r="O359" s="8"/>
      <c r="P359" s="8"/>
      <c r="Q359" s="8"/>
    </row>
    <row r="360" spans="15:17" s="255" customFormat="1">
      <c r="O360" s="8"/>
      <c r="P360" s="8"/>
      <c r="Q360" s="8"/>
    </row>
    <row r="361" spans="15:17" s="255" customFormat="1">
      <c r="O361" s="8"/>
      <c r="P361" s="8"/>
      <c r="Q361" s="8"/>
    </row>
    <row r="362" spans="15:17" s="255" customFormat="1">
      <c r="O362" s="8"/>
      <c r="P362" s="8"/>
      <c r="Q362" s="8"/>
    </row>
    <row r="363" spans="15:17" s="255" customFormat="1">
      <c r="O363" s="8"/>
      <c r="P363" s="8"/>
      <c r="Q363" s="8"/>
    </row>
    <row r="364" spans="15:17" s="255" customFormat="1">
      <c r="O364" s="8"/>
      <c r="P364" s="8"/>
      <c r="Q364" s="8"/>
    </row>
    <row r="365" spans="15:17" s="255" customFormat="1">
      <c r="O365" s="8"/>
      <c r="P365" s="8"/>
      <c r="Q365" s="8"/>
    </row>
    <row r="366" spans="15:17" s="255" customFormat="1">
      <c r="O366" s="8"/>
      <c r="P366" s="8"/>
      <c r="Q366" s="8"/>
    </row>
    <row r="367" spans="15:17" s="255" customFormat="1">
      <c r="O367" s="8"/>
      <c r="P367" s="8"/>
      <c r="Q367" s="8"/>
    </row>
    <row r="368" spans="15:17" s="255" customFormat="1">
      <c r="O368" s="8"/>
      <c r="P368" s="8"/>
      <c r="Q368" s="8"/>
    </row>
    <row r="369" spans="15:17" s="255" customFormat="1">
      <c r="O369" s="8"/>
      <c r="P369" s="8"/>
      <c r="Q369" s="8"/>
    </row>
    <row r="370" spans="15:17" s="255" customFormat="1">
      <c r="O370" s="8"/>
      <c r="P370" s="8"/>
      <c r="Q370" s="8"/>
    </row>
    <row r="371" spans="15:17" s="255" customFormat="1">
      <c r="O371" s="8"/>
      <c r="P371" s="8"/>
      <c r="Q371" s="8"/>
    </row>
    <row r="372" spans="15:17" s="255" customFormat="1">
      <c r="O372" s="8"/>
      <c r="P372" s="8"/>
      <c r="Q372" s="8"/>
    </row>
    <row r="373" spans="15:17" s="255" customFormat="1">
      <c r="O373" s="8"/>
      <c r="P373" s="8"/>
      <c r="Q373" s="8"/>
    </row>
    <row r="374" spans="15:17" s="255" customFormat="1">
      <c r="O374" s="8"/>
      <c r="P374" s="8"/>
      <c r="Q374" s="8"/>
    </row>
    <row r="375" spans="15:17" s="255" customFormat="1">
      <c r="O375" s="8"/>
      <c r="P375" s="8"/>
      <c r="Q375" s="8"/>
    </row>
    <row r="376" spans="15:17" s="255" customFormat="1">
      <c r="O376" s="8"/>
      <c r="P376" s="8"/>
      <c r="Q376" s="8"/>
    </row>
    <row r="377" spans="15:17" s="255" customFormat="1">
      <c r="O377" s="8"/>
      <c r="P377" s="8"/>
      <c r="Q377" s="8"/>
    </row>
    <row r="378" spans="15:17" s="255" customFormat="1">
      <c r="O378" s="8"/>
      <c r="P378" s="8"/>
      <c r="Q378" s="8"/>
    </row>
    <row r="379" spans="15:17" s="255" customFormat="1">
      <c r="O379" s="8"/>
      <c r="P379" s="8"/>
      <c r="Q379" s="8"/>
    </row>
    <row r="380" spans="15:17" s="255" customFormat="1">
      <c r="O380" s="8"/>
      <c r="P380" s="8"/>
      <c r="Q380" s="8"/>
    </row>
    <row r="381" spans="15:17" s="255" customFormat="1">
      <c r="O381" s="8"/>
      <c r="P381" s="8"/>
      <c r="Q381" s="8"/>
    </row>
    <row r="382" spans="15:17" s="255" customFormat="1">
      <c r="O382" s="8"/>
      <c r="P382" s="8"/>
      <c r="Q382" s="8"/>
    </row>
    <row r="383" spans="15:17" s="255" customFormat="1">
      <c r="O383" s="8"/>
      <c r="P383" s="8"/>
      <c r="Q383" s="8"/>
    </row>
    <row r="384" spans="15:17" s="255" customFormat="1">
      <c r="O384" s="8"/>
      <c r="P384" s="8"/>
      <c r="Q384" s="8"/>
    </row>
    <row r="385" spans="15:17" s="255" customFormat="1">
      <c r="O385" s="8"/>
      <c r="P385" s="8"/>
      <c r="Q385" s="8"/>
    </row>
    <row r="386" spans="15:17" s="255" customFormat="1">
      <c r="O386" s="8"/>
      <c r="P386" s="8"/>
      <c r="Q386" s="8"/>
    </row>
    <row r="387" spans="15:17" s="255" customFormat="1">
      <c r="O387" s="8"/>
      <c r="P387" s="8"/>
      <c r="Q387" s="8"/>
    </row>
    <row r="388" spans="15:17" s="255" customFormat="1">
      <c r="O388" s="8"/>
      <c r="P388" s="8"/>
      <c r="Q388" s="8"/>
    </row>
    <row r="389" spans="15:17" s="255" customFormat="1">
      <c r="O389" s="8"/>
      <c r="P389" s="8"/>
      <c r="Q389" s="8"/>
    </row>
    <row r="390" spans="15:17" s="255" customFormat="1">
      <c r="O390" s="8"/>
      <c r="P390" s="8"/>
      <c r="Q390" s="8"/>
    </row>
    <row r="391" spans="15:17" s="255" customFormat="1">
      <c r="O391" s="8"/>
      <c r="P391" s="8"/>
      <c r="Q391" s="8"/>
    </row>
    <row r="392" spans="15:17" s="255" customFormat="1">
      <c r="O392" s="8"/>
      <c r="P392" s="8"/>
      <c r="Q392" s="8"/>
    </row>
    <row r="393" spans="15:17" s="255" customFormat="1">
      <c r="O393" s="8"/>
      <c r="P393" s="8"/>
      <c r="Q393" s="8"/>
    </row>
    <row r="394" spans="15:17" s="255" customFormat="1">
      <c r="O394" s="8"/>
      <c r="P394" s="8"/>
      <c r="Q394" s="8"/>
    </row>
    <row r="395" spans="15:17" s="255" customFormat="1">
      <c r="O395" s="8"/>
      <c r="P395" s="8"/>
      <c r="Q395" s="8"/>
    </row>
    <row r="396" spans="15:17" s="255" customFormat="1">
      <c r="O396" s="8"/>
      <c r="P396" s="8"/>
      <c r="Q396" s="8"/>
    </row>
    <row r="397" spans="15:17" s="255" customFormat="1">
      <c r="O397" s="8"/>
      <c r="P397" s="8"/>
      <c r="Q397" s="8"/>
    </row>
    <row r="398" spans="15:17" s="255" customFormat="1">
      <c r="O398" s="8"/>
      <c r="P398" s="8"/>
      <c r="Q398" s="8"/>
    </row>
    <row r="399" spans="15:17" s="255" customFormat="1">
      <c r="O399" s="8"/>
      <c r="P399" s="8"/>
      <c r="Q399" s="8"/>
    </row>
    <row r="400" spans="15:17" s="255" customFormat="1">
      <c r="O400" s="8"/>
      <c r="P400" s="8"/>
      <c r="Q400" s="8"/>
    </row>
    <row r="401" spans="15:17" s="255" customFormat="1">
      <c r="O401" s="8"/>
      <c r="P401" s="8"/>
      <c r="Q401" s="8"/>
    </row>
    <row r="402" spans="15:17" s="255" customFormat="1">
      <c r="O402" s="8"/>
      <c r="P402" s="8"/>
      <c r="Q402" s="8"/>
    </row>
    <row r="403" spans="15:17" s="255" customFormat="1">
      <c r="O403" s="8"/>
      <c r="P403" s="8"/>
      <c r="Q403" s="8"/>
    </row>
    <row r="404" spans="15:17" s="255" customFormat="1">
      <c r="O404" s="8"/>
      <c r="P404" s="8"/>
      <c r="Q404" s="8"/>
    </row>
    <row r="405" spans="15:17" s="255" customFormat="1">
      <c r="O405" s="8"/>
      <c r="P405" s="8"/>
      <c r="Q405" s="8"/>
    </row>
    <row r="406" spans="15:17" s="255" customFormat="1">
      <c r="O406" s="8"/>
      <c r="P406" s="8"/>
      <c r="Q406" s="8"/>
    </row>
    <row r="407" spans="15:17" s="255" customFormat="1">
      <c r="O407" s="8"/>
      <c r="P407" s="8"/>
      <c r="Q407" s="8"/>
    </row>
    <row r="408" spans="15:17" s="255" customFormat="1">
      <c r="O408" s="8"/>
      <c r="P408" s="8"/>
      <c r="Q408" s="8"/>
    </row>
    <row r="409" spans="15:17" s="255" customFormat="1">
      <c r="O409" s="8"/>
      <c r="P409" s="8"/>
      <c r="Q409" s="8"/>
    </row>
    <row r="410" spans="15:17" s="255" customFormat="1">
      <c r="O410" s="8"/>
      <c r="P410" s="8"/>
      <c r="Q410" s="8"/>
    </row>
    <row r="411" spans="15:17" s="255" customFormat="1">
      <c r="O411" s="8"/>
      <c r="P411" s="8"/>
      <c r="Q411" s="8"/>
    </row>
    <row r="412" spans="15:17" s="255" customFormat="1">
      <c r="O412" s="8"/>
      <c r="P412" s="8"/>
      <c r="Q412" s="8"/>
    </row>
    <row r="413" spans="15:17" s="255" customFormat="1">
      <c r="O413" s="8"/>
      <c r="P413" s="8"/>
      <c r="Q413" s="8"/>
    </row>
    <row r="414" spans="15:17" s="255" customFormat="1">
      <c r="O414" s="8"/>
      <c r="P414" s="8"/>
      <c r="Q414" s="8"/>
    </row>
    <row r="415" spans="15:17" s="255" customFormat="1">
      <c r="O415" s="8"/>
      <c r="P415" s="8"/>
      <c r="Q415" s="8"/>
    </row>
    <row r="416" spans="15:17" s="255" customFormat="1">
      <c r="O416" s="8"/>
      <c r="P416" s="8"/>
      <c r="Q416" s="8"/>
    </row>
    <row r="417" spans="2:17" s="255" customFormat="1">
      <c r="O417" s="8"/>
      <c r="P417" s="8"/>
      <c r="Q417" s="8"/>
    </row>
    <row r="418" spans="2:17" s="255" customFormat="1">
      <c r="O418" s="8"/>
      <c r="P418" s="8"/>
      <c r="Q418" s="8"/>
    </row>
    <row r="419" spans="2:17" s="255" customFormat="1">
      <c r="O419" s="8"/>
      <c r="P419" s="8"/>
      <c r="Q419" s="8"/>
    </row>
    <row r="420" spans="2:17" s="255" customFormat="1">
      <c r="O420" s="8"/>
      <c r="P420" s="8"/>
      <c r="Q420" s="8"/>
    </row>
    <row r="421" spans="2:17" s="255" customFormat="1">
      <c r="O421" s="8"/>
      <c r="P421" s="8"/>
      <c r="Q421" s="8"/>
    </row>
    <row r="422" spans="2:17" s="255" customFormat="1">
      <c r="O422" s="8"/>
      <c r="P422" s="8"/>
      <c r="Q422" s="8"/>
    </row>
    <row r="423" spans="2:17" s="255" customFormat="1">
      <c r="O423" s="8"/>
      <c r="P423" s="8"/>
      <c r="Q423" s="8"/>
    </row>
    <row r="424" spans="2:17" s="255" customFormat="1">
      <c r="O424" s="8"/>
      <c r="P424" s="8"/>
      <c r="Q424" s="8"/>
    </row>
    <row r="425" spans="2:17" s="255" customFormat="1">
      <c r="O425" s="8"/>
      <c r="P425" s="8"/>
      <c r="Q425" s="8"/>
    </row>
    <row r="426" spans="2:17" s="255" customFormat="1">
      <c r="O426" s="8"/>
      <c r="P426" s="8"/>
      <c r="Q426" s="8"/>
    </row>
    <row r="427" spans="2:17" s="255" customFormat="1">
      <c r="O427" s="8"/>
      <c r="P427" s="8"/>
      <c r="Q427" s="8"/>
    </row>
    <row r="428" spans="2:17" s="255" customFormat="1">
      <c r="N428" s="8"/>
      <c r="O428" s="8"/>
      <c r="P428" s="8"/>
      <c r="Q428" s="8"/>
    </row>
    <row r="429" spans="2:17">
      <c r="B429" s="255"/>
      <c r="C429" s="255"/>
      <c r="D429" s="255"/>
      <c r="E429" s="255"/>
      <c r="F429" s="255"/>
      <c r="G429" s="255"/>
      <c r="I429" s="255"/>
      <c r="J429" s="255"/>
      <c r="K429" s="255"/>
      <c r="L429" s="255"/>
      <c r="M429" s="255"/>
    </row>
    <row r="430" spans="2:17">
      <c r="B430" s="255"/>
      <c r="C430" s="255"/>
      <c r="D430" s="255"/>
      <c r="E430" s="255"/>
      <c r="F430" s="255"/>
      <c r="G430" s="255"/>
      <c r="I430" s="255"/>
      <c r="J430" s="255"/>
      <c r="K430" s="255"/>
      <c r="L430" s="255"/>
      <c r="M430" s="255"/>
    </row>
    <row r="431" spans="2:17">
      <c r="I431" s="255"/>
      <c r="J431" s="255"/>
      <c r="K431" s="255"/>
      <c r="L431" s="255"/>
      <c r="M431" s="255"/>
    </row>
    <row r="432" spans="2:17">
      <c r="I432" s="255"/>
      <c r="J432" s="255"/>
      <c r="K432" s="255"/>
      <c r="L432" s="255"/>
      <c r="M432" s="255"/>
    </row>
    <row r="433" spans="9:13">
      <c r="I433" s="255"/>
      <c r="J433" s="255"/>
      <c r="K433" s="255"/>
      <c r="L433" s="255"/>
      <c r="M433" s="255"/>
    </row>
    <row r="434" spans="9:13">
      <c r="I434" s="255"/>
      <c r="J434" s="255"/>
      <c r="K434" s="255"/>
      <c r="L434" s="255"/>
      <c r="M434" s="255"/>
    </row>
  </sheetData>
  <mergeCells count="5">
    <mergeCell ref="I51:M51"/>
    <mergeCell ref="B1:G1"/>
    <mergeCell ref="I1:M1"/>
    <mergeCell ref="I9:M9"/>
    <mergeCell ref="B51:G52"/>
  </mergeCells>
  <pageMargins left="0.25" right="0.25" top="0.25" bottom="0.25" header="0.3" footer="0.3"/>
  <pageSetup scale="60" fitToHeight="0" orientation="landscape" r:id="rId1"/>
  <headerFooter>
    <oddFooter>&amp;R&amp;P of &amp;N</oddFooter>
  </headerFooter>
  <rowBreaks count="1" manualBreakCount="1">
    <brk id="50" min="8" max="1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B87"/>
  <sheetViews>
    <sheetView workbookViewId="0">
      <selection activeCell="K8" sqref="K8"/>
    </sheetView>
  </sheetViews>
  <sheetFormatPr defaultRowHeight="15"/>
  <cols>
    <col min="1" max="1" width="47.42578125" customWidth="1"/>
    <col min="2" max="2" width="7.42578125" customWidth="1"/>
    <col min="3" max="3" width="15.42578125" customWidth="1"/>
    <col min="4" max="9" width="9.42578125"/>
    <col min="10" max="10" width="12.5703125" customWidth="1"/>
    <col min="11" max="16" width="9.42578125"/>
  </cols>
  <sheetData>
    <row r="1" spans="1:28">
      <c r="A1" s="2626" t="s">
        <v>386</v>
      </c>
      <c r="B1" s="2626"/>
      <c r="C1" s="2626"/>
      <c r="D1" s="309"/>
      <c r="E1" s="309"/>
      <c r="F1" s="309"/>
      <c r="G1" s="309"/>
      <c r="H1" s="309"/>
      <c r="I1" s="309"/>
      <c r="J1" s="309"/>
      <c r="K1" s="309"/>
      <c r="L1" s="309"/>
      <c r="M1" s="309"/>
      <c r="N1" s="309"/>
      <c r="O1" s="309"/>
      <c r="P1" s="309"/>
      <c r="Q1" s="309"/>
      <c r="R1" s="309"/>
      <c r="S1" s="309"/>
      <c r="T1" s="309"/>
      <c r="U1" s="309"/>
      <c r="V1" s="309"/>
      <c r="W1" s="309"/>
      <c r="X1" s="309"/>
      <c r="Y1" s="309"/>
      <c r="Z1" s="309"/>
      <c r="AA1" s="309"/>
      <c r="AB1" s="309"/>
    </row>
    <row r="2" spans="1:28" s="556" customFormat="1" ht="40.5" customHeight="1">
      <c r="A2" s="13" t="s">
        <v>329</v>
      </c>
      <c r="B2" s="13" t="s">
        <v>384</v>
      </c>
      <c r="C2" s="13" t="s">
        <v>430</v>
      </c>
      <c r="D2" s="558"/>
      <c r="E2" s="558"/>
      <c r="F2" s="558"/>
      <c r="G2" s="558"/>
      <c r="H2" s="558"/>
      <c r="I2" s="558"/>
      <c r="J2" s="558"/>
      <c r="K2" s="558"/>
      <c r="L2" s="558"/>
      <c r="M2" s="558"/>
      <c r="N2" s="558"/>
      <c r="O2" s="558"/>
      <c r="P2" s="558"/>
      <c r="Q2" s="558"/>
      <c r="R2" s="558"/>
      <c r="S2" s="558"/>
      <c r="T2" s="558"/>
      <c r="U2" s="558"/>
      <c r="V2" s="558"/>
      <c r="W2" s="558"/>
      <c r="X2" s="558"/>
      <c r="Y2" s="558"/>
      <c r="Z2" s="558"/>
      <c r="AA2" s="558"/>
      <c r="AB2" s="558"/>
    </row>
    <row r="3" spans="1:28">
      <c r="A3" s="408" t="s">
        <v>143</v>
      </c>
      <c r="B3" s="15">
        <v>43</v>
      </c>
      <c r="C3" s="322">
        <v>53276.030634405448</v>
      </c>
      <c r="D3" s="309"/>
      <c r="E3" s="309"/>
      <c r="F3" s="309"/>
      <c r="G3" s="309"/>
      <c r="H3" s="309"/>
      <c r="I3" s="309"/>
      <c r="J3" s="309"/>
      <c r="K3" s="309"/>
      <c r="L3" s="309"/>
      <c r="M3" s="309"/>
      <c r="N3" s="309"/>
      <c r="O3" s="309"/>
      <c r="P3" s="309"/>
      <c r="Q3" s="309"/>
      <c r="R3" s="309"/>
      <c r="S3" s="309"/>
      <c r="T3" s="309"/>
      <c r="U3" s="309"/>
      <c r="V3" s="309"/>
      <c r="W3" s="309"/>
      <c r="X3" s="309"/>
      <c r="Y3" s="309"/>
      <c r="Z3" s="309"/>
      <c r="AA3" s="309"/>
      <c r="AB3" s="309"/>
    </row>
    <row r="4" spans="1:28">
      <c r="A4" s="408" t="s">
        <v>144</v>
      </c>
      <c r="B4" s="15">
        <v>43</v>
      </c>
      <c r="C4" s="322">
        <v>75010.821691296602</v>
      </c>
      <c r="D4" s="309"/>
      <c r="E4" s="309"/>
      <c r="F4" s="309"/>
      <c r="G4" s="309"/>
      <c r="H4" s="309"/>
      <c r="I4" s="309"/>
      <c r="J4" s="309"/>
      <c r="K4" s="309"/>
      <c r="L4" s="309"/>
      <c r="M4" s="309"/>
      <c r="N4" s="309"/>
      <c r="O4" s="309"/>
      <c r="P4" s="309"/>
      <c r="Q4" s="309"/>
      <c r="R4" s="309"/>
      <c r="S4" s="309"/>
      <c r="T4" s="309"/>
      <c r="U4" s="309"/>
      <c r="V4" s="309"/>
      <c r="W4" s="309"/>
      <c r="X4" s="309"/>
      <c r="Y4" s="309"/>
      <c r="Z4" s="309"/>
      <c r="AA4" s="309"/>
      <c r="AB4" s="309"/>
    </row>
    <row r="5" spans="1:28">
      <c r="A5" s="408" t="s">
        <v>145</v>
      </c>
      <c r="B5" s="15">
        <v>27</v>
      </c>
      <c r="C5" s="322">
        <v>46843.437567579254</v>
      </c>
      <c r="D5" s="553"/>
      <c r="E5" s="553"/>
      <c r="F5" s="553"/>
      <c r="G5" s="553"/>
      <c r="H5" s="553"/>
      <c r="I5" s="553"/>
      <c r="J5" s="553"/>
      <c r="K5" s="553"/>
      <c r="L5" s="553"/>
      <c r="M5" s="553"/>
      <c r="N5" s="553"/>
      <c r="O5" s="553"/>
      <c r="P5" s="553"/>
      <c r="Q5" s="309"/>
      <c r="R5" s="309"/>
      <c r="S5" s="309"/>
      <c r="T5" s="309"/>
      <c r="U5" s="309"/>
      <c r="V5" s="309"/>
      <c r="W5" s="309"/>
      <c r="X5" s="309"/>
      <c r="Y5" s="309"/>
      <c r="Z5" s="309"/>
      <c r="AA5" s="309"/>
      <c r="AB5" s="309"/>
    </row>
    <row r="6" spans="1:28">
      <c r="A6" s="408" t="s">
        <v>146</v>
      </c>
      <c r="B6" s="15">
        <v>17</v>
      </c>
      <c r="C6" s="322">
        <v>51777.351090884753</v>
      </c>
      <c r="D6" s="553"/>
      <c r="E6" s="553"/>
      <c r="F6" s="553"/>
      <c r="G6" s="553"/>
      <c r="H6" s="553"/>
      <c r="I6" s="553"/>
      <c r="J6" s="553"/>
      <c r="K6" s="553"/>
      <c r="L6" s="553"/>
      <c r="M6" s="553"/>
      <c r="N6" s="553"/>
      <c r="O6" s="553"/>
      <c r="P6" s="553"/>
      <c r="Q6" s="309"/>
      <c r="R6" s="309"/>
      <c r="S6" s="309"/>
      <c r="T6" s="309"/>
      <c r="U6" s="309"/>
      <c r="V6" s="309"/>
      <c r="W6" s="309"/>
      <c r="X6" s="309"/>
      <c r="Y6" s="309"/>
      <c r="Z6" s="309"/>
      <c r="AA6" s="309"/>
      <c r="AB6" s="309"/>
    </row>
    <row r="7" spans="1:28">
      <c r="A7" s="408" t="s">
        <v>147</v>
      </c>
      <c r="B7" s="15">
        <v>23</v>
      </c>
      <c r="C7" s="322">
        <v>193464.06752540206</v>
      </c>
      <c r="D7" s="553"/>
      <c r="E7" s="553"/>
      <c r="F7" s="553"/>
      <c r="G7" s="553"/>
      <c r="H7" s="553"/>
      <c r="I7" s="553"/>
      <c r="J7" s="553"/>
      <c r="K7" s="553"/>
      <c r="L7" s="553"/>
      <c r="M7" s="553"/>
      <c r="N7" s="553"/>
      <c r="O7" s="553"/>
      <c r="P7" s="553"/>
      <c r="Q7" s="309"/>
      <c r="R7" s="309"/>
      <c r="S7" s="309"/>
      <c r="T7" s="309"/>
      <c r="U7" s="309"/>
      <c r="V7" s="309"/>
      <c r="W7" s="309"/>
      <c r="X7" s="309"/>
      <c r="Y7" s="309"/>
      <c r="Z7" s="309"/>
      <c r="AA7" s="309"/>
      <c r="AB7" s="309"/>
    </row>
    <row r="8" spans="1:28">
      <c r="A8" s="408" t="s">
        <v>149</v>
      </c>
      <c r="B8" s="15">
        <v>18</v>
      </c>
      <c r="C8" s="322">
        <v>91012.385633270285</v>
      </c>
      <c r="D8" s="553"/>
      <c r="E8" s="553"/>
      <c r="F8" s="553"/>
      <c r="G8" s="553"/>
      <c r="H8" s="553"/>
      <c r="I8" s="553"/>
      <c r="J8" s="553"/>
      <c r="K8" s="553"/>
      <c r="L8" s="553"/>
      <c r="M8" s="553"/>
      <c r="N8" s="553"/>
      <c r="O8" s="553"/>
      <c r="P8" s="553"/>
      <c r="Q8" s="309"/>
      <c r="R8" s="309"/>
      <c r="S8" s="309"/>
      <c r="T8" s="309"/>
      <c r="U8" s="309"/>
      <c r="V8" s="309"/>
      <c r="W8" s="309"/>
      <c r="X8" s="309"/>
      <c r="Y8" s="309"/>
      <c r="Z8" s="309"/>
      <c r="AA8" s="309"/>
      <c r="AB8" s="309"/>
    </row>
    <row r="9" spans="1:28">
      <c r="A9" s="408" t="s">
        <v>150</v>
      </c>
      <c r="B9" s="15">
        <v>40</v>
      </c>
      <c r="C9" s="322">
        <v>62536.406798164797</v>
      </c>
      <c r="D9" s="553"/>
      <c r="E9" s="553"/>
      <c r="F9" s="553"/>
      <c r="G9" s="553"/>
      <c r="H9" s="553"/>
      <c r="I9" s="553"/>
      <c r="J9" s="553"/>
      <c r="K9" s="553"/>
      <c r="L9" s="553"/>
      <c r="M9" s="553"/>
      <c r="N9" s="553"/>
      <c r="O9" s="553"/>
      <c r="P9" s="553"/>
      <c r="Q9" s="309"/>
      <c r="R9" s="309"/>
      <c r="S9" s="309"/>
      <c r="T9" s="309"/>
      <c r="U9" s="309"/>
      <c r="V9" s="309"/>
      <c r="W9" s="309"/>
      <c r="X9" s="309"/>
      <c r="Y9" s="309"/>
      <c r="Z9" s="309"/>
      <c r="AA9" s="309"/>
      <c r="AB9" s="309"/>
    </row>
    <row r="10" spans="1:28">
      <c r="A10" s="408" t="s">
        <v>151</v>
      </c>
      <c r="B10" s="15">
        <v>13</v>
      </c>
      <c r="C10" s="322">
        <v>48012.938761040583</v>
      </c>
      <c r="D10" s="553"/>
      <c r="E10" s="553"/>
      <c r="F10" s="553"/>
      <c r="G10" s="553"/>
      <c r="H10" s="553"/>
      <c r="I10" s="553"/>
      <c r="J10" s="553"/>
      <c r="K10" s="553"/>
      <c r="L10" s="553"/>
      <c r="M10" s="553"/>
      <c r="N10" s="553"/>
      <c r="O10" s="553"/>
      <c r="P10" s="553"/>
      <c r="Q10" s="309"/>
      <c r="R10" s="309"/>
      <c r="S10" s="309"/>
      <c r="T10" s="309"/>
      <c r="U10" s="309"/>
      <c r="V10" s="309"/>
      <c r="W10" s="309"/>
      <c r="X10" s="309"/>
      <c r="Y10" s="309"/>
      <c r="Z10" s="309"/>
      <c r="AA10" s="309"/>
      <c r="AB10" s="309"/>
    </row>
    <row r="11" spans="1:28">
      <c r="A11" s="408" t="s">
        <v>153</v>
      </c>
      <c r="B11" s="15">
        <v>5</v>
      </c>
      <c r="C11" s="322">
        <v>65341.59199999999</v>
      </c>
      <c r="D11" s="553"/>
      <c r="E11" s="553"/>
      <c r="F11" s="553"/>
      <c r="G11" s="553"/>
      <c r="H11" s="553"/>
      <c r="I11" s="553"/>
      <c r="J11" s="553"/>
      <c r="K11" s="553"/>
      <c r="L11" s="553"/>
      <c r="M11" s="553"/>
      <c r="N11" s="553"/>
      <c r="O11" s="553"/>
      <c r="P11" s="553"/>
      <c r="Q11" s="309"/>
      <c r="R11" s="309"/>
      <c r="S11" s="309"/>
      <c r="T11" s="309"/>
      <c r="U11" s="309"/>
      <c r="V11" s="309"/>
      <c r="W11" s="309"/>
      <c r="X11" s="309"/>
      <c r="Y11" s="309"/>
      <c r="Z11" s="309"/>
      <c r="AA11" s="309"/>
      <c r="AB11" s="309"/>
    </row>
    <row r="12" spans="1:28">
      <c r="A12" s="408" t="s">
        <v>156</v>
      </c>
      <c r="B12" s="15">
        <v>2</v>
      </c>
      <c r="C12" s="322">
        <v>51704.074074074073</v>
      </c>
      <c r="D12" s="553"/>
      <c r="E12" s="553"/>
      <c r="F12" s="553"/>
      <c r="G12" s="553"/>
      <c r="H12" s="553"/>
      <c r="I12" s="553"/>
      <c r="J12" s="553"/>
      <c r="K12" s="553"/>
      <c r="L12" s="553"/>
      <c r="M12" s="553"/>
      <c r="N12" s="553"/>
      <c r="O12" s="553"/>
      <c r="P12" s="553"/>
      <c r="Q12" s="309"/>
      <c r="R12" s="309"/>
      <c r="S12" s="309"/>
      <c r="T12" s="309"/>
      <c r="U12" s="309"/>
      <c r="V12" s="309"/>
      <c r="W12" s="309"/>
      <c r="X12" s="309"/>
      <c r="Y12" s="309"/>
      <c r="Z12" s="309"/>
      <c r="AA12" s="309"/>
      <c r="AB12" s="309"/>
    </row>
    <row r="13" spans="1:28">
      <c r="A13" s="408" t="s">
        <v>163</v>
      </c>
      <c r="B13" s="15">
        <v>13</v>
      </c>
      <c r="C13" s="322">
        <v>67597.182758934548</v>
      </c>
      <c r="D13" s="553"/>
      <c r="E13" s="553"/>
      <c r="F13" s="553"/>
      <c r="G13" s="553"/>
      <c r="H13" s="553"/>
      <c r="I13" s="553"/>
      <c r="J13" s="553"/>
      <c r="K13" s="553"/>
      <c r="L13" s="553"/>
      <c r="M13" s="553"/>
      <c r="N13" s="553"/>
      <c r="O13" s="553"/>
      <c r="P13" s="553"/>
      <c r="Q13" s="309"/>
      <c r="R13" s="309"/>
      <c r="S13" s="309"/>
      <c r="T13" s="309"/>
      <c r="U13" s="309"/>
      <c r="V13" s="309"/>
      <c r="W13" s="309"/>
      <c r="X13" s="309"/>
      <c r="Y13" s="309"/>
      <c r="Z13" s="309"/>
      <c r="AA13" s="309"/>
      <c r="AB13" s="309"/>
    </row>
    <row r="14" spans="1:28">
      <c r="A14" s="408" t="s">
        <v>298</v>
      </c>
      <c r="B14" s="15">
        <v>5</v>
      </c>
      <c r="C14" s="322">
        <v>44275</v>
      </c>
      <c r="D14" s="553"/>
      <c r="E14" s="553"/>
      <c r="F14" s="553"/>
      <c r="G14" s="553"/>
      <c r="H14" s="553"/>
      <c r="I14" s="553"/>
      <c r="J14" s="553"/>
      <c r="K14" s="553"/>
      <c r="L14" s="553"/>
      <c r="M14" s="553"/>
      <c r="N14" s="553"/>
      <c r="O14" s="553"/>
      <c r="P14" s="553"/>
      <c r="Q14" s="309"/>
      <c r="R14" s="309"/>
      <c r="S14" s="309"/>
      <c r="T14" s="309"/>
      <c r="U14" s="309"/>
      <c r="V14" s="309"/>
      <c r="W14" s="309"/>
      <c r="X14" s="309"/>
      <c r="Y14" s="309"/>
      <c r="Z14" s="309"/>
      <c r="AA14" s="309"/>
      <c r="AB14" s="309"/>
    </row>
    <row r="15" spans="1:28">
      <c r="A15" s="408" t="s">
        <v>164</v>
      </c>
      <c r="B15" s="15">
        <v>15</v>
      </c>
      <c r="C15" s="322">
        <v>52869.374398591419</v>
      </c>
      <c r="D15" s="553"/>
      <c r="E15" s="553"/>
      <c r="F15" s="553"/>
      <c r="G15" s="553"/>
      <c r="H15" s="553"/>
      <c r="I15" s="553"/>
      <c r="J15" s="553"/>
      <c r="K15" s="553"/>
      <c r="L15" s="553"/>
      <c r="M15" s="553"/>
      <c r="N15" s="553"/>
      <c r="O15" s="553"/>
      <c r="P15" s="553"/>
      <c r="Q15" s="309"/>
      <c r="R15" s="309"/>
      <c r="S15" s="309"/>
      <c r="T15" s="309"/>
      <c r="U15" s="309"/>
      <c r="V15" s="309"/>
      <c r="W15" s="309"/>
      <c r="X15" s="309"/>
      <c r="Y15" s="309"/>
      <c r="Z15" s="309"/>
      <c r="AA15" s="309"/>
      <c r="AB15" s="309"/>
    </row>
    <row r="16" spans="1:28">
      <c r="A16" s="408" t="s">
        <v>165</v>
      </c>
      <c r="B16" s="15">
        <v>8</v>
      </c>
      <c r="C16" s="322">
        <v>54140.123465211458</v>
      </c>
      <c r="D16" s="553"/>
      <c r="E16" s="553"/>
      <c r="F16" s="553"/>
      <c r="G16" s="553"/>
      <c r="H16" s="553"/>
      <c r="I16" s="553"/>
      <c r="J16" s="553"/>
      <c r="K16" s="553"/>
      <c r="L16" s="553"/>
      <c r="M16" s="553"/>
      <c r="N16" s="553"/>
      <c r="O16" s="553"/>
      <c r="P16" s="553"/>
      <c r="Q16" s="309"/>
      <c r="R16" s="309"/>
      <c r="S16" s="309"/>
      <c r="T16" s="309"/>
      <c r="U16" s="309"/>
      <c r="V16" s="309"/>
      <c r="W16" s="309"/>
      <c r="X16" s="309"/>
      <c r="Y16" s="309"/>
      <c r="Z16" s="309"/>
      <c r="AA16" s="309"/>
      <c r="AB16" s="309"/>
    </row>
    <row r="17" spans="1:28">
      <c r="A17" s="408" t="s">
        <v>166</v>
      </c>
      <c r="B17" s="15">
        <v>8</v>
      </c>
      <c r="C17" s="322">
        <v>56253.89287152639</v>
      </c>
      <c r="D17" s="553"/>
      <c r="E17" s="553"/>
      <c r="F17" s="553"/>
      <c r="G17" s="553"/>
      <c r="H17" s="553"/>
      <c r="I17" s="553"/>
      <c r="J17" s="553"/>
      <c r="K17" s="553"/>
      <c r="L17" s="553"/>
      <c r="M17" s="553"/>
      <c r="N17" s="553"/>
      <c r="O17" s="553"/>
      <c r="P17" s="553"/>
      <c r="Q17" s="309"/>
      <c r="R17" s="309"/>
      <c r="S17" s="309"/>
      <c r="T17" s="309"/>
      <c r="U17" s="309"/>
      <c r="V17" s="309"/>
      <c r="W17" s="309"/>
      <c r="X17" s="309"/>
      <c r="Y17" s="309"/>
      <c r="Z17" s="309"/>
      <c r="AA17" s="309"/>
      <c r="AB17" s="309"/>
    </row>
    <row r="18" spans="1:28" s="10" customFormat="1">
      <c r="A18" s="408" t="s">
        <v>167</v>
      </c>
      <c r="B18" s="15">
        <v>5</v>
      </c>
      <c r="C18" s="322">
        <v>41087.91064388962</v>
      </c>
      <c r="D18" s="552"/>
      <c r="E18" s="552"/>
      <c r="F18" s="552"/>
      <c r="G18" s="552"/>
      <c r="H18" s="552"/>
      <c r="I18" s="552"/>
      <c r="J18" s="552"/>
      <c r="K18" s="552"/>
      <c r="L18" s="552"/>
      <c r="M18" s="552"/>
      <c r="N18" s="552"/>
      <c r="O18" s="552"/>
      <c r="P18" s="552"/>
      <c r="Q18" s="551"/>
      <c r="R18" s="551"/>
      <c r="S18" s="551"/>
      <c r="T18" s="551"/>
      <c r="U18" s="551"/>
      <c r="V18" s="551"/>
      <c r="W18" s="551"/>
      <c r="X18" s="551"/>
      <c r="Y18" s="551"/>
      <c r="Z18" s="551"/>
      <c r="AA18" s="551"/>
      <c r="AB18" s="551"/>
    </row>
    <row r="19" spans="1:28">
      <c r="A19" s="408" t="s">
        <v>168</v>
      </c>
      <c r="B19" s="15">
        <v>6</v>
      </c>
      <c r="C19" s="322">
        <v>41494.147224456952</v>
      </c>
      <c r="D19" s="553"/>
      <c r="E19" s="553"/>
      <c r="F19" s="553"/>
      <c r="G19" s="553"/>
      <c r="H19" s="553"/>
      <c r="I19" s="553"/>
      <c r="J19" s="553"/>
      <c r="K19" s="553"/>
      <c r="L19" s="553"/>
      <c r="M19" s="553"/>
      <c r="N19" s="553"/>
      <c r="O19" s="553"/>
      <c r="P19" s="553"/>
      <c r="Q19" s="309"/>
      <c r="R19" s="309"/>
      <c r="S19" s="309"/>
      <c r="T19" s="309"/>
      <c r="U19" s="309"/>
      <c r="V19" s="309"/>
      <c r="W19" s="309"/>
      <c r="X19" s="309"/>
      <c r="Y19" s="309"/>
      <c r="Z19" s="309"/>
      <c r="AA19" s="309"/>
      <c r="AB19" s="309"/>
    </row>
    <row r="20" spans="1:28">
      <c r="A20" s="408" t="s">
        <v>169</v>
      </c>
      <c r="B20" s="15">
        <v>12</v>
      </c>
      <c r="C20" s="322">
        <v>42965.760132590025</v>
      </c>
      <c r="D20" s="553"/>
      <c r="E20" s="553"/>
      <c r="F20" s="553"/>
      <c r="G20" s="553"/>
      <c r="H20" s="553"/>
      <c r="I20" s="553"/>
      <c r="J20" s="553"/>
      <c r="K20" s="553"/>
      <c r="L20" s="553"/>
      <c r="M20" s="553"/>
      <c r="N20" s="553"/>
      <c r="O20" s="553"/>
      <c r="P20" s="553"/>
      <c r="Q20" s="309"/>
      <c r="R20" s="309"/>
      <c r="S20" s="309"/>
      <c r="T20" s="309"/>
      <c r="U20" s="309"/>
      <c r="V20" s="309"/>
      <c r="W20" s="309"/>
      <c r="X20" s="309"/>
      <c r="Y20" s="309"/>
      <c r="Z20" s="309"/>
      <c r="AA20" s="309"/>
      <c r="AB20" s="309"/>
    </row>
    <row r="21" spans="1:28">
      <c r="A21" s="408" t="s">
        <v>170</v>
      </c>
      <c r="B21" s="15">
        <v>10</v>
      </c>
      <c r="C21" s="322">
        <v>52832.864586271338</v>
      </c>
      <c r="D21" s="553"/>
      <c r="E21" s="553"/>
      <c r="F21" s="553"/>
      <c r="G21" s="553"/>
      <c r="H21" s="553"/>
      <c r="I21" s="553"/>
      <c r="J21" s="553"/>
      <c r="K21" s="553"/>
      <c r="L21" s="553"/>
      <c r="M21" s="553"/>
      <c r="N21" s="553"/>
      <c r="O21" s="553"/>
      <c r="P21" s="553"/>
      <c r="Q21" s="309"/>
      <c r="R21" s="309"/>
      <c r="S21" s="309"/>
      <c r="T21" s="309"/>
      <c r="U21" s="309"/>
      <c r="V21" s="309"/>
      <c r="W21" s="309"/>
      <c r="X21" s="309"/>
      <c r="Y21" s="309"/>
      <c r="Z21" s="309"/>
      <c r="AA21" s="309"/>
      <c r="AB21" s="309"/>
    </row>
    <row r="22" spans="1:28">
      <c r="A22" s="408" t="s">
        <v>171</v>
      </c>
      <c r="B22" s="15">
        <v>22</v>
      </c>
      <c r="C22" s="322">
        <v>38342.516143102963</v>
      </c>
      <c r="D22" s="553"/>
      <c r="E22" s="553"/>
      <c r="F22" s="553"/>
      <c r="G22" s="553"/>
      <c r="H22" s="553"/>
      <c r="I22" s="553"/>
      <c r="J22" s="553"/>
      <c r="K22" s="553"/>
      <c r="L22" s="553"/>
      <c r="M22" s="553"/>
      <c r="N22" s="553"/>
      <c r="O22" s="553"/>
      <c r="P22" s="553"/>
      <c r="Q22" s="309"/>
      <c r="R22" s="309"/>
      <c r="S22" s="309"/>
      <c r="T22" s="309"/>
      <c r="U22" s="309"/>
      <c r="V22" s="309"/>
      <c r="W22" s="309"/>
      <c r="X22" s="309"/>
      <c r="Y22" s="309"/>
      <c r="Z22" s="309"/>
      <c r="AA22" s="309"/>
      <c r="AB22" s="309"/>
    </row>
    <row r="23" spans="1:28">
      <c r="A23" s="408" t="s">
        <v>172</v>
      </c>
      <c r="B23" s="15">
        <v>28</v>
      </c>
      <c r="C23" s="322">
        <v>40393.771749788117</v>
      </c>
      <c r="D23" s="553"/>
      <c r="E23" s="553"/>
      <c r="F23" s="553"/>
      <c r="G23" s="553"/>
      <c r="H23" s="553"/>
      <c r="I23" s="553"/>
      <c r="J23" s="553"/>
      <c r="K23" s="553"/>
      <c r="L23" s="553"/>
      <c r="M23" s="553"/>
      <c r="N23" s="553"/>
      <c r="O23" s="553"/>
      <c r="P23" s="553"/>
      <c r="Q23" s="309"/>
      <c r="R23" s="309"/>
      <c r="S23" s="309"/>
      <c r="T23" s="309"/>
      <c r="U23" s="309"/>
      <c r="V23" s="309"/>
      <c r="W23" s="309"/>
      <c r="X23" s="309"/>
      <c r="Y23" s="309"/>
      <c r="Z23" s="309"/>
      <c r="AA23" s="309"/>
      <c r="AB23" s="309"/>
    </row>
    <row r="24" spans="1:28">
      <c r="A24" s="408" t="s">
        <v>173</v>
      </c>
      <c r="B24" s="15">
        <v>26</v>
      </c>
      <c r="C24" s="322">
        <v>43004.698425588969</v>
      </c>
      <c r="D24" s="553"/>
      <c r="E24" s="553"/>
      <c r="F24" s="553"/>
      <c r="G24" s="553"/>
      <c r="H24" s="553"/>
      <c r="I24" s="553"/>
      <c r="J24" s="553"/>
      <c r="K24" s="553"/>
      <c r="L24" s="553"/>
      <c r="M24" s="553"/>
      <c r="N24" s="553"/>
      <c r="O24" s="553"/>
      <c r="P24" s="553"/>
      <c r="Q24" s="309"/>
      <c r="R24" s="309"/>
      <c r="S24" s="309"/>
      <c r="T24" s="309"/>
      <c r="U24" s="309"/>
      <c r="V24" s="309"/>
      <c r="W24" s="309"/>
      <c r="X24" s="309"/>
      <c r="Y24" s="309"/>
      <c r="Z24" s="309"/>
      <c r="AA24" s="309"/>
      <c r="AB24" s="309"/>
    </row>
    <row r="25" spans="1:28">
      <c r="A25" s="408" t="s">
        <v>174</v>
      </c>
      <c r="B25" s="15">
        <v>40</v>
      </c>
      <c r="C25" s="322">
        <v>29222.778684981982</v>
      </c>
      <c r="D25" s="553"/>
      <c r="E25" s="553"/>
      <c r="F25" s="553"/>
      <c r="G25" s="553"/>
      <c r="H25" s="553"/>
      <c r="I25" s="553"/>
      <c r="J25" s="553"/>
      <c r="K25" s="553"/>
      <c r="L25" s="553"/>
      <c r="M25" s="553"/>
      <c r="N25" s="553"/>
      <c r="O25" s="553"/>
      <c r="P25" s="553"/>
      <c r="Q25" s="309"/>
      <c r="R25" s="309"/>
      <c r="S25" s="309"/>
      <c r="T25" s="309"/>
      <c r="U25" s="309"/>
      <c r="V25" s="309"/>
      <c r="W25" s="309"/>
      <c r="X25" s="309"/>
      <c r="Y25" s="309"/>
      <c r="Z25" s="309"/>
      <c r="AA25" s="309"/>
      <c r="AB25" s="309"/>
    </row>
    <row r="26" spans="1:28">
      <c r="A26" s="408" t="s">
        <v>175</v>
      </c>
      <c r="B26" s="15">
        <v>39</v>
      </c>
      <c r="C26" s="322">
        <v>25459.587602204498</v>
      </c>
      <c r="D26" s="553"/>
      <c r="E26" s="553"/>
      <c r="F26" s="553"/>
      <c r="G26" s="553"/>
      <c r="H26" s="553"/>
      <c r="I26" s="553"/>
      <c r="J26" s="553"/>
      <c r="K26" s="553"/>
      <c r="L26" s="553"/>
      <c r="M26" s="553"/>
      <c r="N26" s="553"/>
      <c r="O26" s="553"/>
      <c r="P26" s="553"/>
      <c r="Q26" s="309"/>
      <c r="R26" s="309"/>
      <c r="S26" s="309"/>
      <c r="T26" s="309"/>
      <c r="U26" s="309"/>
      <c r="V26" s="309"/>
      <c r="W26" s="309"/>
      <c r="X26" s="309"/>
      <c r="Y26" s="309"/>
      <c r="Z26" s="309"/>
      <c r="AA26" s="309"/>
      <c r="AB26" s="309"/>
    </row>
    <row r="27" spans="1:28">
      <c r="A27" s="408" t="s">
        <v>176</v>
      </c>
      <c r="B27" s="15">
        <v>37</v>
      </c>
      <c r="C27" s="322">
        <v>37236.882767877927</v>
      </c>
      <c r="D27" s="553"/>
      <c r="E27" s="553"/>
      <c r="F27" s="553"/>
      <c r="G27" s="553"/>
      <c r="H27" s="553"/>
      <c r="I27" s="553"/>
      <c r="J27" s="553"/>
      <c r="K27" s="553"/>
      <c r="L27" s="553"/>
      <c r="M27" s="553"/>
      <c r="N27" s="553"/>
      <c r="O27" s="553"/>
      <c r="P27" s="553"/>
      <c r="Q27" s="309"/>
      <c r="R27" s="309"/>
      <c r="S27" s="309"/>
      <c r="T27" s="309"/>
      <c r="U27" s="309"/>
      <c r="V27" s="309"/>
      <c r="W27" s="309"/>
      <c r="X27" s="309"/>
      <c r="Y27" s="309"/>
      <c r="Z27" s="309"/>
      <c r="AA27" s="309"/>
      <c r="AB27" s="309"/>
    </row>
    <row r="28" spans="1:28">
      <c r="A28" s="408" t="s">
        <v>177</v>
      </c>
      <c r="B28" s="15">
        <v>21</v>
      </c>
      <c r="C28" s="322">
        <v>42882.364646574999</v>
      </c>
      <c r="D28" s="553"/>
      <c r="E28" s="553"/>
      <c r="F28" s="553"/>
      <c r="G28" s="553"/>
      <c r="H28" s="553"/>
      <c r="I28" s="553"/>
      <c r="J28" s="553"/>
      <c r="K28" s="553"/>
      <c r="L28" s="553"/>
      <c r="M28" s="553"/>
      <c r="N28" s="553"/>
      <c r="O28" s="553"/>
      <c r="P28" s="553"/>
      <c r="Q28" s="309"/>
      <c r="R28" s="309"/>
      <c r="S28" s="309"/>
      <c r="T28" s="309"/>
      <c r="U28" s="309"/>
      <c r="V28" s="309"/>
      <c r="W28" s="309"/>
      <c r="X28" s="309"/>
      <c r="Y28" s="309"/>
      <c r="Z28" s="309"/>
      <c r="AA28" s="309"/>
      <c r="AB28" s="309"/>
    </row>
    <row r="29" spans="1:28">
      <c r="A29" s="408" t="s">
        <v>178</v>
      </c>
      <c r="B29" s="15">
        <v>2</v>
      </c>
      <c r="C29" s="557" t="s">
        <v>181</v>
      </c>
      <c r="D29" s="553"/>
      <c r="E29" s="553"/>
      <c r="F29" s="553"/>
      <c r="G29" s="553"/>
      <c r="H29" s="553"/>
      <c r="I29" s="553"/>
      <c r="J29" s="553"/>
      <c r="K29" s="553"/>
      <c r="L29" s="553"/>
      <c r="M29" s="553"/>
      <c r="N29" s="553"/>
      <c r="O29" s="553"/>
      <c r="P29" s="553"/>
      <c r="Q29" s="309"/>
      <c r="R29" s="309"/>
      <c r="S29" s="309"/>
      <c r="T29" s="309"/>
      <c r="U29" s="309"/>
      <c r="V29" s="309"/>
      <c r="W29" s="309"/>
      <c r="X29" s="309"/>
      <c r="Y29" s="309"/>
      <c r="Z29" s="309"/>
      <c r="AA29" s="309"/>
      <c r="AB29" s="309"/>
    </row>
    <row r="30" spans="1:28">
      <c r="A30" s="314"/>
      <c r="B30" s="314"/>
      <c r="C30" s="314"/>
      <c r="D30" s="553"/>
      <c r="E30" s="553"/>
      <c r="F30" s="553"/>
      <c r="G30" s="553"/>
      <c r="H30" s="553"/>
      <c r="I30" s="553"/>
      <c r="J30" s="553"/>
      <c r="K30" s="553"/>
      <c r="L30" s="553"/>
      <c r="M30" s="553"/>
      <c r="N30" s="553"/>
      <c r="O30" s="553"/>
      <c r="P30" s="553"/>
      <c r="Q30" s="309"/>
      <c r="R30" s="309"/>
      <c r="S30" s="309"/>
      <c r="T30" s="309"/>
      <c r="U30" s="309"/>
      <c r="V30" s="309"/>
      <c r="W30" s="309"/>
      <c r="X30" s="309"/>
      <c r="Y30" s="309"/>
      <c r="Z30" s="309"/>
      <c r="AA30" s="309"/>
      <c r="AB30" s="309"/>
    </row>
    <row r="31" spans="1:28">
      <c r="A31" s="555" t="s">
        <v>595</v>
      </c>
      <c r="B31" s="314"/>
      <c r="C31" s="314"/>
      <c r="D31" s="553"/>
      <c r="E31" s="553"/>
      <c r="F31" s="553"/>
      <c r="G31" s="553"/>
      <c r="H31" s="553"/>
      <c r="I31" s="553"/>
      <c r="J31" s="553"/>
      <c r="K31" s="553"/>
      <c r="L31" s="553"/>
      <c r="M31" s="553"/>
      <c r="N31" s="553"/>
      <c r="O31" s="553"/>
      <c r="P31" s="553"/>
      <c r="Q31" s="309"/>
      <c r="R31" s="309"/>
      <c r="S31" s="309"/>
      <c r="T31" s="309"/>
      <c r="U31" s="309"/>
      <c r="V31" s="309"/>
      <c r="W31" s="309"/>
      <c r="X31" s="309"/>
      <c r="Y31" s="309"/>
      <c r="Z31" s="309"/>
      <c r="AA31" s="309"/>
      <c r="AB31" s="309"/>
    </row>
    <row r="32" spans="1:28">
      <c r="A32" s="555" t="s">
        <v>593</v>
      </c>
      <c r="B32" s="314"/>
      <c r="C32" s="314"/>
      <c r="D32" s="553"/>
      <c r="E32" s="553"/>
      <c r="F32" s="553"/>
      <c r="G32" s="553"/>
      <c r="H32" s="553"/>
      <c r="I32" s="553"/>
      <c r="J32" s="553"/>
      <c r="K32" s="553"/>
      <c r="L32" s="553"/>
      <c r="M32" s="553"/>
      <c r="N32" s="553"/>
      <c r="O32" s="553"/>
      <c r="P32" s="553"/>
      <c r="Q32" s="309"/>
      <c r="R32" s="309"/>
      <c r="S32" s="309"/>
      <c r="T32" s="309"/>
      <c r="U32" s="309"/>
      <c r="V32" s="309"/>
      <c r="W32" s="309"/>
      <c r="X32" s="309"/>
      <c r="Y32" s="309"/>
      <c r="Z32" s="309"/>
      <c r="AA32" s="309"/>
      <c r="AB32" s="309"/>
    </row>
    <row r="33" spans="1:28">
      <c r="A33" s="555" t="s">
        <v>594</v>
      </c>
      <c r="B33" s="314"/>
      <c r="C33" s="314"/>
      <c r="D33" s="553"/>
      <c r="E33" s="553"/>
      <c r="F33" s="553"/>
      <c r="G33" s="553"/>
      <c r="H33" s="553"/>
      <c r="I33" s="553"/>
      <c r="J33" s="553"/>
      <c r="K33" s="553"/>
      <c r="L33" s="553"/>
      <c r="M33" s="553"/>
      <c r="N33" s="553"/>
      <c r="O33" s="553"/>
      <c r="P33" s="553"/>
      <c r="Q33" s="309"/>
      <c r="R33" s="309"/>
      <c r="S33" s="309"/>
      <c r="T33" s="309"/>
      <c r="U33" s="309"/>
      <c r="V33" s="309"/>
      <c r="W33" s="309"/>
      <c r="X33" s="309"/>
      <c r="Y33" s="309"/>
      <c r="Z33" s="309"/>
      <c r="AA33" s="309"/>
      <c r="AB33" s="309"/>
    </row>
    <row r="34" spans="1:28">
      <c r="A34" s="555" t="s">
        <v>596</v>
      </c>
      <c r="B34" s="314"/>
      <c r="C34" s="314"/>
      <c r="D34" s="553"/>
      <c r="E34" s="553"/>
      <c r="F34" s="553"/>
      <c r="G34" s="553"/>
      <c r="H34" s="553"/>
      <c r="I34" s="553"/>
      <c r="J34" s="553"/>
      <c r="K34" s="553"/>
      <c r="L34" s="553"/>
      <c r="M34" s="553"/>
      <c r="N34" s="553"/>
      <c r="O34" s="553"/>
      <c r="P34" s="553"/>
      <c r="Q34" s="309"/>
      <c r="R34" s="309"/>
      <c r="S34" s="309"/>
      <c r="T34" s="309"/>
      <c r="U34" s="309"/>
      <c r="V34" s="309"/>
      <c r="W34" s="309"/>
      <c r="X34" s="309"/>
      <c r="Y34" s="309"/>
      <c r="Z34" s="309"/>
      <c r="AA34" s="309"/>
      <c r="AB34" s="309"/>
    </row>
    <row r="35" spans="1:28">
      <c r="A35" s="314"/>
      <c r="B35" s="314"/>
      <c r="C35" s="554"/>
      <c r="D35" s="553"/>
      <c r="E35" s="553"/>
      <c r="F35" s="553"/>
      <c r="G35" s="553"/>
      <c r="H35" s="553"/>
      <c r="I35" s="553"/>
      <c r="J35" s="553"/>
      <c r="K35" s="553"/>
      <c r="L35" s="553"/>
      <c r="M35" s="553"/>
      <c r="N35" s="553"/>
      <c r="O35" s="553"/>
      <c r="P35" s="553"/>
      <c r="Q35" s="309"/>
      <c r="R35" s="309"/>
      <c r="S35" s="309"/>
      <c r="T35" s="309"/>
      <c r="U35" s="309"/>
      <c r="V35" s="309"/>
      <c r="W35" s="309"/>
      <c r="X35" s="309"/>
      <c r="Y35" s="309"/>
      <c r="Z35" s="309"/>
      <c r="AA35" s="309"/>
      <c r="AB35" s="309"/>
    </row>
    <row r="36" spans="1:28">
      <c r="A36" s="309"/>
      <c r="B36" s="309"/>
      <c r="C36" s="309"/>
      <c r="D36" s="553"/>
      <c r="E36" s="553"/>
      <c r="F36" s="553"/>
      <c r="G36" s="553"/>
      <c r="H36" s="553"/>
      <c r="I36" s="553"/>
      <c r="J36" s="553"/>
      <c r="K36" s="553"/>
      <c r="L36" s="553"/>
      <c r="M36" s="553"/>
      <c r="N36" s="553"/>
      <c r="O36" s="553"/>
      <c r="P36" s="553"/>
      <c r="Q36" s="309"/>
      <c r="R36" s="309"/>
      <c r="S36" s="309"/>
      <c r="T36" s="309"/>
      <c r="U36" s="309"/>
      <c r="V36" s="309"/>
      <c r="W36" s="309"/>
      <c r="X36" s="309"/>
      <c r="Y36" s="309"/>
      <c r="Z36" s="309"/>
      <c r="AA36" s="309"/>
      <c r="AB36" s="309"/>
    </row>
    <row r="37" spans="1:28">
      <c r="A37" s="309"/>
      <c r="B37" s="309"/>
      <c r="C37" s="559"/>
      <c r="D37" s="553"/>
      <c r="E37" s="553"/>
      <c r="F37" s="553"/>
      <c r="G37" s="553"/>
      <c r="H37" s="553"/>
      <c r="I37" s="553"/>
      <c r="J37" s="553"/>
      <c r="K37" s="553"/>
      <c r="L37" s="553"/>
      <c r="M37" s="553"/>
      <c r="N37" s="553"/>
      <c r="O37" s="553"/>
      <c r="P37" s="553"/>
      <c r="Q37" s="309"/>
      <c r="R37" s="309"/>
      <c r="S37" s="309"/>
      <c r="T37" s="309"/>
      <c r="U37" s="309"/>
      <c r="V37" s="309"/>
      <c r="W37" s="309"/>
      <c r="X37" s="309"/>
      <c r="Y37" s="309"/>
      <c r="Z37" s="309"/>
      <c r="AA37" s="309"/>
      <c r="AB37" s="309"/>
    </row>
    <row r="38" spans="1:28">
      <c r="A38" s="309"/>
      <c r="B38" s="309"/>
      <c r="C38" s="560"/>
      <c r="D38" s="553"/>
      <c r="E38" s="553"/>
      <c r="F38" s="553"/>
      <c r="G38" s="553"/>
      <c r="H38" s="553"/>
      <c r="I38" s="553"/>
      <c r="J38" s="553"/>
      <c r="K38" s="553"/>
      <c r="L38" s="553"/>
      <c r="M38" s="553"/>
      <c r="N38" s="553"/>
      <c r="O38" s="553"/>
      <c r="P38" s="553"/>
      <c r="Q38" s="309"/>
      <c r="R38" s="309"/>
      <c r="S38" s="309"/>
      <c r="T38" s="309"/>
      <c r="U38" s="309"/>
      <c r="V38" s="309"/>
      <c r="W38" s="309"/>
      <c r="X38" s="309"/>
      <c r="Y38" s="309"/>
      <c r="Z38" s="309"/>
      <c r="AA38" s="309"/>
      <c r="AB38" s="309"/>
    </row>
    <row r="39" spans="1:28">
      <c r="A39" s="309"/>
      <c r="B39" s="309"/>
      <c r="C39" s="561"/>
      <c r="D39" s="553"/>
      <c r="E39" s="553"/>
      <c r="F39" s="553"/>
      <c r="G39" s="553"/>
      <c r="H39" s="553"/>
      <c r="I39" s="553"/>
      <c r="J39" s="553"/>
      <c r="K39" s="553"/>
      <c r="L39" s="553"/>
      <c r="M39" s="553"/>
      <c r="N39" s="553"/>
      <c r="O39" s="553"/>
      <c r="P39" s="553"/>
      <c r="Q39" s="309"/>
      <c r="R39" s="309"/>
      <c r="S39" s="309"/>
      <c r="T39" s="309"/>
      <c r="U39" s="309"/>
      <c r="V39" s="309"/>
      <c r="W39" s="309"/>
      <c r="X39" s="309"/>
      <c r="Y39" s="309"/>
      <c r="Z39" s="309"/>
      <c r="AA39" s="309"/>
      <c r="AB39" s="309"/>
    </row>
    <row r="40" spans="1:28">
      <c r="A40" s="309"/>
      <c r="B40" s="309"/>
      <c r="C40" s="562"/>
      <c r="D40" s="553"/>
      <c r="E40" s="553"/>
      <c r="F40" s="553"/>
      <c r="G40" s="553"/>
      <c r="H40" s="553"/>
      <c r="I40" s="553"/>
      <c r="J40" s="553"/>
      <c r="K40" s="553"/>
      <c r="L40" s="553"/>
      <c r="M40" s="553"/>
      <c r="N40" s="553"/>
      <c r="O40" s="553"/>
      <c r="P40" s="553"/>
      <c r="Q40" s="309"/>
      <c r="R40" s="309"/>
      <c r="S40" s="309"/>
      <c r="T40" s="309"/>
      <c r="U40" s="309"/>
      <c r="V40" s="309"/>
      <c r="W40" s="309"/>
      <c r="X40" s="309"/>
      <c r="Y40" s="309"/>
      <c r="Z40" s="309"/>
      <c r="AA40" s="309"/>
      <c r="AB40" s="309"/>
    </row>
    <row r="41" spans="1:28">
      <c r="A41" s="309"/>
      <c r="B41" s="309"/>
      <c r="C41" s="562"/>
      <c r="D41" s="553"/>
      <c r="E41" s="553"/>
      <c r="F41" s="553"/>
      <c r="G41" s="553"/>
      <c r="H41" s="553"/>
      <c r="I41" s="553"/>
      <c r="J41" s="553"/>
      <c r="K41" s="553"/>
      <c r="L41" s="553"/>
      <c r="M41" s="553"/>
      <c r="N41" s="553"/>
      <c r="O41" s="553"/>
      <c r="P41" s="553"/>
      <c r="Q41" s="309"/>
      <c r="R41" s="309"/>
      <c r="S41" s="309"/>
      <c r="T41" s="309"/>
      <c r="U41" s="309"/>
      <c r="V41" s="309"/>
      <c r="W41" s="309"/>
      <c r="X41" s="309"/>
      <c r="Y41" s="309"/>
      <c r="Z41" s="309"/>
      <c r="AA41" s="309"/>
      <c r="AB41" s="309"/>
    </row>
    <row r="42" spans="1:28">
      <c r="A42" s="309"/>
      <c r="B42" s="309"/>
      <c r="C42" s="562"/>
      <c r="D42" s="553"/>
      <c r="E42" s="553"/>
      <c r="F42" s="553"/>
      <c r="G42" s="553"/>
      <c r="H42" s="553"/>
      <c r="I42" s="553"/>
      <c r="J42" s="553"/>
      <c r="K42" s="553"/>
      <c r="L42" s="553"/>
      <c r="M42" s="553"/>
      <c r="N42" s="553"/>
      <c r="O42" s="553"/>
      <c r="P42" s="553"/>
      <c r="Q42" s="309"/>
      <c r="R42" s="309"/>
      <c r="S42" s="309"/>
      <c r="T42" s="309"/>
      <c r="U42" s="309"/>
      <c r="V42" s="309"/>
      <c r="W42" s="309"/>
      <c r="X42" s="309"/>
      <c r="Y42" s="309"/>
      <c r="Z42" s="309"/>
      <c r="AA42" s="309"/>
      <c r="AB42" s="309"/>
    </row>
    <row r="43" spans="1:28">
      <c r="A43" s="309"/>
      <c r="B43" s="309"/>
      <c r="C43" s="562"/>
      <c r="D43" s="553"/>
      <c r="E43" s="553"/>
      <c r="F43" s="553"/>
      <c r="G43" s="553"/>
      <c r="H43" s="553"/>
      <c r="I43" s="553"/>
      <c r="J43" s="553"/>
      <c r="K43" s="553"/>
      <c r="L43" s="553"/>
      <c r="M43" s="553"/>
      <c r="N43" s="553"/>
      <c r="O43" s="553"/>
      <c r="P43" s="553"/>
      <c r="Q43" s="309"/>
      <c r="R43" s="309"/>
      <c r="S43" s="309"/>
      <c r="T43" s="309"/>
      <c r="U43" s="309"/>
      <c r="V43" s="309"/>
      <c r="W43" s="309"/>
      <c r="X43" s="309"/>
      <c r="Y43" s="309"/>
      <c r="Z43" s="309"/>
      <c r="AA43" s="309"/>
      <c r="AB43" s="309"/>
    </row>
    <row r="44" spans="1:28">
      <c r="A44" s="309"/>
      <c r="B44" s="309"/>
      <c r="C44" s="562"/>
      <c r="D44" s="553"/>
      <c r="E44" s="553"/>
      <c r="F44" s="553"/>
      <c r="G44" s="553"/>
      <c r="H44" s="553"/>
      <c r="I44" s="553"/>
      <c r="J44" s="553"/>
      <c r="K44" s="553"/>
      <c r="L44" s="553"/>
      <c r="M44" s="553"/>
      <c r="N44" s="553"/>
      <c r="O44" s="553"/>
      <c r="P44" s="553"/>
      <c r="Q44" s="309"/>
      <c r="R44" s="309"/>
      <c r="S44" s="309"/>
      <c r="T44" s="309"/>
      <c r="U44" s="309"/>
      <c r="V44" s="309"/>
      <c r="W44" s="309"/>
      <c r="X44" s="309"/>
      <c r="Y44" s="309"/>
      <c r="Z44" s="309"/>
      <c r="AA44" s="309"/>
      <c r="AB44" s="309"/>
    </row>
    <row r="45" spans="1:28">
      <c r="A45" s="309"/>
      <c r="B45" s="309"/>
      <c r="C45" s="562"/>
      <c r="D45" s="553"/>
      <c r="E45" s="553"/>
      <c r="F45" s="553"/>
      <c r="G45" s="553"/>
      <c r="H45" s="553"/>
      <c r="I45" s="553"/>
      <c r="J45" s="553"/>
      <c r="K45" s="553"/>
      <c r="L45" s="553"/>
      <c r="M45" s="553"/>
      <c r="N45" s="553"/>
      <c r="O45" s="553"/>
      <c r="P45" s="553"/>
      <c r="Q45" s="309"/>
      <c r="R45" s="309"/>
      <c r="S45" s="309"/>
      <c r="T45" s="309"/>
      <c r="U45" s="309"/>
      <c r="V45" s="309"/>
      <c r="W45" s="309"/>
      <c r="X45" s="309"/>
      <c r="Y45" s="309"/>
      <c r="Z45" s="309"/>
      <c r="AA45" s="309"/>
      <c r="AB45" s="309"/>
    </row>
    <row r="46" spans="1:28">
      <c r="A46" s="309"/>
      <c r="B46" s="309"/>
      <c r="C46" s="562"/>
      <c r="D46" s="553"/>
      <c r="E46" s="553"/>
      <c r="F46" s="553"/>
      <c r="G46" s="553"/>
      <c r="H46" s="553"/>
      <c r="I46" s="553"/>
      <c r="J46" s="553"/>
      <c r="K46" s="553"/>
      <c r="L46" s="553"/>
      <c r="M46" s="553"/>
      <c r="N46" s="553"/>
      <c r="O46" s="553"/>
      <c r="P46" s="553"/>
      <c r="Q46" s="309"/>
      <c r="R46" s="309"/>
      <c r="S46" s="309"/>
      <c r="T46" s="309"/>
      <c r="U46" s="309"/>
      <c r="V46" s="309"/>
      <c r="W46" s="309"/>
      <c r="X46" s="309"/>
      <c r="Y46" s="309"/>
      <c r="Z46" s="309"/>
      <c r="AA46" s="309"/>
      <c r="AB46" s="309"/>
    </row>
    <row r="47" spans="1:28">
      <c r="A47" s="309"/>
      <c r="B47" s="309"/>
      <c r="C47" s="562"/>
      <c r="D47" s="553"/>
      <c r="E47" s="553"/>
      <c r="F47" s="553"/>
      <c r="G47" s="553"/>
      <c r="H47" s="553"/>
      <c r="I47" s="553"/>
      <c r="J47" s="553"/>
      <c r="K47" s="553"/>
      <c r="L47" s="553"/>
      <c r="M47" s="553"/>
      <c r="N47" s="553"/>
      <c r="O47" s="553"/>
      <c r="P47" s="553"/>
      <c r="Q47" s="309"/>
      <c r="R47" s="309"/>
      <c r="S47" s="309"/>
      <c r="T47" s="309"/>
      <c r="U47" s="309"/>
      <c r="V47" s="309"/>
      <c r="W47" s="309"/>
      <c r="X47" s="309"/>
      <c r="Y47" s="309"/>
      <c r="Z47" s="309"/>
      <c r="AA47" s="309"/>
      <c r="AB47" s="309"/>
    </row>
    <row r="48" spans="1:28">
      <c r="A48" s="309"/>
      <c r="B48" s="309"/>
      <c r="C48" s="562"/>
      <c r="D48" s="553"/>
      <c r="E48" s="553"/>
      <c r="F48" s="553"/>
      <c r="G48" s="553"/>
      <c r="H48" s="553"/>
      <c r="I48" s="553"/>
      <c r="J48" s="553"/>
      <c r="K48" s="553"/>
      <c r="L48" s="553"/>
      <c r="M48" s="553"/>
      <c r="N48" s="553"/>
      <c r="O48" s="553"/>
      <c r="P48" s="553"/>
      <c r="Q48" s="309"/>
      <c r="R48" s="309"/>
      <c r="S48" s="309"/>
      <c r="T48" s="309"/>
      <c r="U48" s="309"/>
      <c r="V48" s="309"/>
      <c r="W48" s="309"/>
      <c r="X48" s="309"/>
      <c r="Y48" s="309"/>
      <c r="Z48" s="309"/>
      <c r="AA48" s="309"/>
      <c r="AB48" s="309"/>
    </row>
    <row r="49" spans="1:28">
      <c r="A49" s="309"/>
      <c r="B49" s="309"/>
      <c r="C49" s="562"/>
      <c r="D49" s="553"/>
      <c r="E49" s="553"/>
      <c r="F49" s="553"/>
      <c r="G49" s="553"/>
      <c r="H49" s="553"/>
      <c r="I49" s="553"/>
      <c r="J49" s="553"/>
      <c r="K49" s="553"/>
      <c r="L49" s="553"/>
      <c r="M49" s="553"/>
      <c r="N49" s="553"/>
      <c r="O49" s="553"/>
      <c r="P49" s="553"/>
      <c r="Q49" s="309"/>
      <c r="R49" s="309"/>
      <c r="S49" s="309"/>
      <c r="T49" s="309"/>
      <c r="U49" s="309"/>
      <c r="V49" s="309"/>
      <c r="W49" s="309"/>
      <c r="X49" s="309"/>
      <c r="Y49" s="309"/>
      <c r="Z49" s="309"/>
      <c r="AA49" s="309"/>
      <c r="AB49" s="309"/>
    </row>
    <row r="50" spans="1:28">
      <c r="A50" s="309"/>
      <c r="B50" s="309"/>
      <c r="C50" s="562"/>
      <c r="D50" s="553"/>
      <c r="E50" s="553"/>
      <c r="F50" s="553"/>
      <c r="G50" s="553"/>
      <c r="H50" s="553"/>
      <c r="I50" s="553"/>
      <c r="J50" s="553"/>
      <c r="K50" s="553"/>
      <c r="L50" s="553"/>
      <c r="M50" s="553"/>
      <c r="N50" s="553"/>
      <c r="O50" s="553"/>
      <c r="P50" s="553"/>
      <c r="Q50" s="309"/>
      <c r="R50" s="309"/>
      <c r="S50" s="309"/>
      <c r="T50" s="309"/>
      <c r="U50" s="309"/>
      <c r="V50" s="309"/>
      <c r="W50" s="309"/>
      <c r="X50" s="309"/>
      <c r="Y50" s="309"/>
      <c r="Z50" s="309"/>
      <c r="AA50" s="309"/>
      <c r="AB50" s="309"/>
    </row>
    <row r="51" spans="1:28">
      <c r="A51" s="309"/>
      <c r="B51" s="309"/>
      <c r="C51" s="562"/>
      <c r="D51" s="553"/>
      <c r="E51" s="553"/>
      <c r="F51" s="553"/>
      <c r="G51" s="553"/>
      <c r="H51" s="553"/>
      <c r="I51" s="553"/>
      <c r="J51" s="553"/>
      <c r="K51" s="553"/>
      <c r="L51" s="553"/>
      <c r="M51" s="553"/>
      <c r="N51" s="553"/>
      <c r="O51" s="553"/>
      <c r="P51" s="553"/>
      <c r="Q51" s="309"/>
      <c r="R51" s="309"/>
      <c r="S51" s="309"/>
      <c r="T51" s="309"/>
      <c r="U51" s="309"/>
      <c r="V51" s="309"/>
      <c r="W51" s="309"/>
      <c r="X51" s="309"/>
      <c r="Y51" s="309"/>
      <c r="Z51" s="309"/>
      <c r="AA51" s="309"/>
      <c r="AB51" s="309"/>
    </row>
    <row r="52" spans="1:28">
      <c r="A52" s="309"/>
      <c r="B52" s="309"/>
      <c r="C52" s="562"/>
      <c r="D52" s="553"/>
      <c r="E52" s="553"/>
      <c r="F52" s="553"/>
      <c r="G52" s="553"/>
      <c r="H52" s="553"/>
      <c r="I52" s="553"/>
      <c r="J52" s="553"/>
      <c r="K52" s="553"/>
      <c r="L52" s="553"/>
      <c r="M52" s="553"/>
      <c r="N52" s="553"/>
      <c r="O52" s="553"/>
      <c r="P52" s="553"/>
      <c r="Q52" s="309"/>
      <c r="R52" s="309"/>
      <c r="S52" s="309"/>
      <c r="T52" s="309"/>
      <c r="U52" s="309"/>
      <c r="V52" s="309"/>
      <c r="W52" s="309"/>
      <c r="X52" s="309"/>
      <c r="Y52" s="309"/>
      <c r="Z52" s="309"/>
      <c r="AA52" s="309"/>
      <c r="AB52" s="309"/>
    </row>
    <row r="53" spans="1:28">
      <c r="A53" s="309"/>
      <c r="B53" s="309"/>
      <c r="C53" s="562"/>
      <c r="D53" s="553"/>
      <c r="E53" s="553"/>
      <c r="F53" s="553"/>
      <c r="G53" s="553"/>
      <c r="H53" s="553"/>
      <c r="I53" s="553"/>
      <c r="J53" s="553"/>
      <c r="K53" s="553"/>
      <c r="L53" s="553"/>
      <c r="M53" s="553"/>
      <c r="N53" s="553"/>
      <c r="O53" s="553"/>
      <c r="P53" s="553"/>
      <c r="Q53" s="309"/>
      <c r="R53" s="309"/>
      <c r="S53" s="309"/>
      <c r="T53" s="309"/>
      <c r="U53" s="309"/>
      <c r="V53" s="309"/>
      <c r="W53" s="309"/>
      <c r="X53" s="309"/>
      <c r="Y53" s="309"/>
      <c r="Z53" s="309"/>
      <c r="AA53" s="309"/>
      <c r="AB53" s="309"/>
    </row>
    <row r="54" spans="1:28">
      <c r="A54" s="309"/>
      <c r="B54" s="309"/>
      <c r="C54" s="562"/>
      <c r="D54" s="553"/>
      <c r="E54" s="553"/>
      <c r="F54" s="553"/>
      <c r="G54" s="553"/>
      <c r="H54" s="553"/>
      <c r="I54" s="553"/>
      <c r="J54" s="553"/>
      <c r="K54" s="553"/>
      <c r="L54" s="553"/>
      <c r="M54" s="553"/>
      <c r="N54" s="553"/>
      <c r="O54" s="553"/>
      <c r="P54" s="553"/>
      <c r="Q54" s="309"/>
      <c r="R54" s="309"/>
      <c r="S54" s="309"/>
      <c r="T54" s="309"/>
      <c r="U54" s="309"/>
      <c r="V54" s="309"/>
      <c r="W54" s="309"/>
      <c r="X54" s="309"/>
      <c r="Y54" s="309"/>
      <c r="Z54" s="309"/>
      <c r="AA54" s="309"/>
      <c r="AB54" s="309"/>
    </row>
    <row r="55" spans="1:28">
      <c r="A55" s="309"/>
      <c r="B55" s="309"/>
      <c r="C55" s="562"/>
      <c r="D55" s="553"/>
      <c r="E55" s="553"/>
      <c r="F55" s="553"/>
      <c r="G55" s="553"/>
      <c r="H55" s="553"/>
      <c r="I55" s="553"/>
      <c r="J55" s="553"/>
      <c r="K55" s="553"/>
      <c r="L55" s="553"/>
      <c r="M55" s="553"/>
      <c r="N55" s="553"/>
      <c r="O55" s="553"/>
      <c r="P55" s="553"/>
      <c r="Q55" s="309"/>
      <c r="R55" s="309"/>
      <c r="S55" s="309"/>
      <c r="T55" s="309"/>
      <c r="U55" s="309"/>
      <c r="V55" s="309"/>
      <c r="W55" s="309"/>
      <c r="X55" s="309"/>
      <c r="Y55" s="309"/>
      <c r="Z55" s="309"/>
      <c r="AA55" s="309"/>
      <c r="AB55" s="309"/>
    </row>
    <row r="56" spans="1:28">
      <c r="A56" s="309"/>
      <c r="B56" s="309"/>
      <c r="C56" s="562"/>
      <c r="D56" s="553"/>
      <c r="E56" s="553"/>
      <c r="F56" s="553"/>
      <c r="G56" s="553"/>
      <c r="H56" s="553"/>
      <c r="I56" s="553"/>
      <c r="J56" s="553"/>
      <c r="K56" s="553"/>
      <c r="L56" s="553"/>
      <c r="M56" s="553"/>
      <c r="N56" s="553"/>
      <c r="O56" s="553"/>
      <c r="P56" s="553"/>
      <c r="Q56" s="309"/>
      <c r="R56" s="309"/>
      <c r="S56" s="309"/>
      <c r="T56" s="309"/>
      <c r="U56" s="309"/>
      <c r="V56" s="309"/>
      <c r="W56" s="309"/>
      <c r="X56" s="309"/>
      <c r="Y56" s="309"/>
      <c r="Z56" s="309"/>
      <c r="AA56" s="309"/>
      <c r="AB56" s="309"/>
    </row>
    <row r="57" spans="1:28">
      <c r="A57" s="309"/>
      <c r="B57" s="309"/>
      <c r="C57" s="562"/>
      <c r="D57" s="553"/>
      <c r="E57" s="553"/>
      <c r="F57" s="553"/>
      <c r="G57" s="553"/>
      <c r="H57" s="553"/>
      <c r="I57" s="553"/>
      <c r="J57" s="553"/>
      <c r="K57" s="553"/>
      <c r="L57" s="553"/>
      <c r="M57" s="553"/>
      <c r="N57" s="553"/>
      <c r="O57" s="553"/>
      <c r="P57" s="553"/>
      <c r="Q57" s="309"/>
      <c r="R57" s="309"/>
      <c r="S57" s="309"/>
      <c r="T57" s="309"/>
      <c r="U57" s="309"/>
      <c r="V57" s="309"/>
      <c r="W57" s="309"/>
      <c r="X57" s="309"/>
      <c r="Y57" s="309"/>
      <c r="Z57" s="309"/>
      <c r="AA57" s="309"/>
      <c r="AB57" s="309"/>
    </row>
    <row r="58" spans="1:28">
      <c r="A58" s="309"/>
      <c r="B58" s="309"/>
      <c r="C58" s="562"/>
      <c r="D58" s="553"/>
      <c r="E58" s="553"/>
      <c r="F58" s="553"/>
      <c r="G58" s="553"/>
      <c r="H58" s="553"/>
      <c r="I58" s="553"/>
      <c r="J58" s="553"/>
      <c r="K58" s="553"/>
      <c r="L58" s="553"/>
      <c r="M58" s="553"/>
      <c r="N58" s="553"/>
      <c r="O58" s="553"/>
      <c r="P58" s="553"/>
      <c r="Q58" s="309"/>
      <c r="R58" s="309"/>
      <c r="S58" s="309"/>
      <c r="T58" s="309"/>
      <c r="U58" s="309"/>
      <c r="V58" s="309"/>
      <c r="W58" s="309"/>
      <c r="X58" s="309"/>
      <c r="Y58" s="309"/>
      <c r="Z58" s="309"/>
      <c r="AA58" s="309"/>
      <c r="AB58" s="309"/>
    </row>
    <row r="59" spans="1:28">
      <c r="A59" s="309"/>
      <c r="B59" s="309"/>
      <c r="C59" s="562"/>
      <c r="D59" s="553"/>
      <c r="E59" s="553"/>
      <c r="F59" s="553"/>
      <c r="G59" s="553"/>
      <c r="H59" s="553"/>
      <c r="I59" s="553"/>
      <c r="J59" s="553"/>
      <c r="K59" s="553"/>
      <c r="L59" s="553"/>
      <c r="M59" s="553"/>
      <c r="N59" s="553"/>
      <c r="O59" s="553"/>
      <c r="P59" s="553"/>
      <c r="Q59" s="309"/>
      <c r="R59" s="309"/>
      <c r="S59" s="309"/>
      <c r="T59" s="309"/>
      <c r="U59" s="309"/>
      <c r="V59" s="309"/>
      <c r="W59" s="309"/>
      <c r="X59" s="309"/>
      <c r="Y59" s="309"/>
      <c r="Z59" s="309"/>
      <c r="AA59" s="309"/>
      <c r="AB59" s="309"/>
    </row>
    <row r="60" spans="1:28">
      <c r="A60" s="309"/>
      <c r="B60" s="309"/>
      <c r="C60" s="562"/>
      <c r="D60" s="553"/>
      <c r="E60" s="553"/>
      <c r="F60" s="553"/>
      <c r="G60" s="553"/>
      <c r="H60" s="553"/>
      <c r="I60" s="553"/>
      <c r="J60" s="553"/>
      <c r="K60" s="553"/>
      <c r="L60" s="553"/>
      <c r="M60" s="553"/>
      <c r="N60" s="553"/>
      <c r="O60" s="553"/>
      <c r="P60" s="553"/>
      <c r="Q60" s="309"/>
      <c r="R60" s="309"/>
      <c r="S60" s="309"/>
      <c r="T60" s="309"/>
      <c r="U60" s="309"/>
      <c r="V60" s="309"/>
      <c r="W60" s="309"/>
      <c r="X60" s="309"/>
      <c r="Y60" s="309"/>
      <c r="Z60" s="309"/>
      <c r="AA60" s="309"/>
      <c r="AB60" s="309"/>
    </row>
    <row r="61" spans="1:28">
      <c r="A61" s="309"/>
      <c r="B61" s="309"/>
      <c r="C61" s="562"/>
      <c r="D61" s="553"/>
      <c r="E61" s="553"/>
      <c r="F61" s="553"/>
      <c r="G61" s="553"/>
      <c r="H61" s="553"/>
      <c r="I61" s="553"/>
      <c r="J61" s="553"/>
      <c r="K61" s="553"/>
      <c r="L61" s="553"/>
      <c r="M61" s="553"/>
      <c r="N61" s="553"/>
      <c r="O61" s="553"/>
      <c r="P61" s="553"/>
      <c r="Q61" s="309"/>
      <c r="R61" s="309"/>
      <c r="S61" s="309"/>
      <c r="T61" s="309"/>
      <c r="U61" s="309"/>
      <c r="V61" s="309"/>
      <c r="W61" s="309"/>
      <c r="X61" s="309"/>
      <c r="Y61" s="309"/>
      <c r="Z61" s="309"/>
      <c r="AA61" s="309"/>
      <c r="AB61" s="309"/>
    </row>
    <row r="62" spans="1:28">
      <c r="A62" s="309"/>
      <c r="B62" s="309"/>
      <c r="C62" s="562"/>
      <c r="D62" s="553"/>
      <c r="E62" s="553"/>
      <c r="F62" s="553"/>
      <c r="G62" s="553"/>
      <c r="H62" s="553"/>
      <c r="I62" s="553"/>
      <c r="J62" s="553"/>
      <c r="K62" s="553"/>
      <c r="L62" s="553"/>
      <c r="M62" s="553"/>
      <c r="N62" s="553"/>
      <c r="O62" s="553"/>
      <c r="P62" s="553"/>
      <c r="Q62" s="309"/>
      <c r="R62" s="309"/>
      <c r="S62" s="309"/>
      <c r="T62" s="309"/>
      <c r="U62" s="309"/>
      <c r="V62" s="309"/>
      <c r="W62" s="309"/>
      <c r="X62" s="309"/>
      <c r="Y62" s="309"/>
      <c r="Z62" s="309"/>
      <c r="AA62" s="309"/>
      <c r="AB62" s="309"/>
    </row>
    <row r="63" spans="1:28">
      <c r="A63" s="309"/>
      <c r="B63" s="309"/>
      <c r="C63" s="562"/>
      <c r="D63" s="553"/>
      <c r="E63" s="553"/>
      <c r="F63" s="553"/>
      <c r="G63" s="553"/>
      <c r="H63" s="553"/>
      <c r="I63" s="553"/>
      <c r="J63" s="553"/>
      <c r="K63" s="553"/>
      <c r="L63" s="553"/>
      <c r="M63" s="553"/>
      <c r="N63" s="553"/>
      <c r="O63" s="553"/>
      <c r="P63" s="553"/>
      <c r="Q63" s="309"/>
      <c r="R63" s="309"/>
      <c r="S63" s="309"/>
      <c r="T63" s="309"/>
      <c r="U63" s="309"/>
      <c r="V63" s="309"/>
      <c r="W63" s="309"/>
      <c r="X63" s="309"/>
      <c r="Y63" s="309"/>
      <c r="Z63" s="309"/>
      <c r="AA63" s="309"/>
      <c r="AB63" s="309"/>
    </row>
    <row r="64" spans="1:28">
      <c r="A64" s="309"/>
      <c r="B64" s="309"/>
      <c r="C64" s="562"/>
      <c r="D64" s="553"/>
      <c r="E64" s="553"/>
      <c r="F64" s="553"/>
      <c r="G64" s="553"/>
      <c r="H64" s="553"/>
      <c r="I64" s="553"/>
      <c r="J64" s="553"/>
      <c r="K64" s="553"/>
      <c r="L64" s="553"/>
      <c r="M64" s="553"/>
      <c r="N64" s="553"/>
      <c r="O64" s="553"/>
      <c r="P64" s="553"/>
      <c r="Q64" s="309"/>
      <c r="R64" s="309"/>
      <c r="S64" s="309"/>
      <c r="T64" s="309"/>
      <c r="U64" s="309"/>
      <c r="V64" s="309"/>
      <c r="W64" s="309"/>
      <c r="X64" s="309"/>
      <c r="Y64" s="309"/>
      <c r="Z64" s="309"/>
      <c r="AA64" s="309"/>
      <c r="AB64" s="309"/>
    </row>
    <row r="65" spans="1:28">
      <c r="A65" s="309"/>
      <c r="B65" s="309"/>
      <c r="C65" s="562"/>
      <c r="D65" s="553"/>
      <c r="E65" s="553"/>
      <c r="F65" s="553"/>
      <c r="G65" s="553"/>
      <c r="H65" s="553"/>
      <c r="I65" s="553"/>
      <c r="J65" s="553"/>
      <c r="K65" s="553"/>
      <c r="L65" s="553"/>
      <c r="M65" s="553"/>
      <c r="N65" s="553"/>
      <c r="O65" s="553"/>
      <c r="P65" s="553"/>
      <c r="Q65" s="309"/>
      <c r="R65" s="309"/>
      <c r="S65" s="309"/>
      <c r="T65" s="309"/>
      <c r="U65" s="309"/>
      <c r="V65" s="309"/>
      <c r="W65" s="309"/>
      <c r="X65" s="309"/>
      <c r="Y65" s="309"/>
      <c r="Z65" s="309"/>
      <c r="AA65" s="309"/>
      <c r="AB65" s="309"/>
    </row>
    <row r="66" spans="1:28">
      <c r="A66" s="309"/>
      <c r="B66" s="309"/>
      <c r="C66" s="562"/>
      <c r="D66" s="553"/>
      <c r="E66" s="553"/>
      <c r="F66" s="553"/>
      <c r="G66" s="553"/>
      <c r="H66" s="553"/>
      <c r="I66" s="553"/>
      <c r="J66" s="553"/>
      <c r="K66" s="553"/>
      <c r="L66" s="553"/>
      <c r="M66" s="553"/>
      <c r="N66" s="553"/>
      <c r="O66" s="553"/>
      <c r="P66" s="553"/>
      <c r="Q66" s="309"/>
      <c r="R66" s="309"/>
      <c r="S66" s="309"/>
      <c r="T66" s="309"/>
      <c r="U66" s="309"/>
      <c r="V66" s="309"/>
      <c r="W66" s="309"/>
      <c r="X66" s="309"/>
      <c r="Y66" s="309"/>
      <c r="Z66" s="309"/>
      <c r="AA66" s="309"/>
      <c r="AB66" s="309"/>
    </row>
    <row r="67" spans="1:28">
      <c r="A67" s="309"/>
      <c r="B67" s="309"/>
      <c r="C67" s="562"/>
      <c r="D67" s="553"/>
      <c r="E67" s="553"/>
      <c r="F67" s="553"/>
      <c r="G67" s="553"/>
      <c r="H67" s="553"/>
      <c r="I67" s="553"/>
      <c r="J67" s="553"/>
      <c r="K67" s="553"/>
      <c r="L67" s="553"/>
      <c r="M67" s="553"/>
      <c r="N67" s="553"/>
      <c r="O67" s="553"/>
      <c r="P67" s="553"/>
      <c r="Q67" s="309"/>
      <c r="R67" s="309"/>
      <c r="S67" s="309"/>
      <c r="T67" s="309"/>
      <c r="U67" s="309"/>
      <c r="V67" s="309"/>
      <c r="W67" s="309"/>
      <c r="X67" s="309"/>
      <c r="Y67" s="309"/>
      <c r="Z67" s="309"/>
      <c r="AA67" s="309"/>
      <c r="AB67" s="309"/>
    </row>
    <row r="68" spans="1:28">
      <c r="A68" s="309"/>
      <c r="B68" s="309"/>
      <c r="C68" s="562"/>
      <c r="D68" s="553"/>
      <c r="E68" s="553"/>
      <c r="F68" s="553"/>
      <c r="G68" s="553"/>
      <c r="H68" s="553"/>
      <c r="I68" s="553"/>
      <c r="J68" s="553"/>
      <c r="K68" s="553"/>
      <c r="L68" s="553"/>
      <c r="M68" s="553"/>
      <c r="N68" s="553"/>
      <c r="O68" s="553"/>
      <c r="P68" s="553"/>
      <c r="Q68" s="309"/>
      <c r="R68" s="309"/>
      <c r="S68" s="309"/>
      <c r="T68" s="309"/>
      <c r="U68" s="309"/>
      <c r="V68" s="309"/>
      <c r="W68" s="309"/>
      <c r="X68" s="309"/>
      <c r="Y68" s="309"/>
      <c r="Z68" s="309"/>
      <c r="AA68" s="309"/>
      <c r="AB68" s="309"/>
    </row>
    <row r="69" spans="1:28">
      <c r="A69" s="309"/>
      <c r="B69" s="309"/>
      <c r="C69" s="562"/>
      <c r="D69" s="553"/>
      <c r="E69" s="553"/>
      <c r="F69" s="553"/>
      <c r="G69" s="553"/>
      <c r="H69" s="553"/>
      <c r="I69" s="553"/>
      <c r="J69" s="553"/>
      <c r="K69" s="553"/>
      <c r="L69" s="553"/>
      <c r="M69" s="553"/>
      <c r="N69" s="553"/>
      <c r="O69" s="553"/>
      <c r="P69" s="553"/>
      <c r="Q69" s="309"/>
      <c r="R69" s="309"/>
      <c r="S69" s="309"/>
      <c r="T69" s="309"/>
      <c r="U69" s="309"/>
      <c r="V69" s="309"/>
      <c r="W69" s="309"/>
      <c r="X69" s="309"/>
      <c r="Y69" s="309"/>
      <c r="Z69" s="309"/>
      <c r="AA69" s="309"/>
      <c r="AB69" s="309"/>
    </row>
    <row r="70" spans="1:28">
      <c r="A70" s="309"/>
      <c r="B70" s="309"/>
      <c r="C70" s="562"/>
      <c r="D70" s="553"/>
      <c r="E70" s="553"/>
      <c r="F70" s="553"/>
      <c r="G70" s="553"/>
      <c r="H70" s="553"/>
      <c r="I70" s="553"/>
      <c r="J70" s="553"/>
      <c r="K70" s="553"/>
      <c r="L70" s="553"/>
      <c r="M70" s="553"/>
      <c r="N70" s="553"/>
      <c r="O70" s="553"/>
      <c r="P70" s="553"/>
      <c r="Q70" s="309"/>
      <c r="R70" s="309"/>
      <c r="S70" s="309"/>
      <c r="T70" s="309"/>
      <c r="U70" s="309"/>
      <c r="V70" s="309"/>
      <c r="W70" s="309"/>
      <c r="X70" s="309"/>
      <c r="Y70" s="309"/>
      <c r="Z70" s="309"/>
      <c r="AA70" s="309"/>
      <c r="AB70" s="309"/>
    </row>
    <row r="71" spans="1:28">
      <c r="A71" s="309"/>
      <c r="B71" s="309"/>
      <c r="C71" s="562"/>
      <c r="D71" s="553"/>
      <c r="E71" s="553"/>
      <c r="F71" s="553"/>
      <c r="G71" s="553"/>
      <c r="H71" s="553"/>
      <c r="I71" s="553"/>
      <c r="J71" s="553"/>
      <c r="K71" s="553"/>
      <c r="L71" s="553"/>
      <c r="M71" s="553"/>
      <c r="N71" s="553"/>
      <c r="O71" s="553"/>
      <c r="P71" s="553"/>
      <c r="Q71" s="309"/>
      <c r="R71" s="309"/>
      <c r="S71" s="309"/>
      <c r="T71" s="309"/>
      <c r="U71" s="309"/>
      <c r="V71" s="309"/>
      <c r="W71" s="309"/>
      <c r="X71" s="309"/>
      <c r="Y71" s="309"/>
      <c r="Z71" s="309"/>
      <c r="AA71" s="309"/>
      <c r="AB71" s="309"/>
    </row>
    <row r="72" spans="1:28">
      <c r="A72" s="309"/>
      <c r="B72" s="309"/>
      <c r="C72" s="562"/>
      <c r="D72" s="553"/>
      <c r="E72" s="553"/>
      <c r="F72" s="553"/>
      <c r="G72" s="553"/>
      <c r="H72" s="553"/>
      <c r="I72" s="553"/>
      <c r="J72" s="553"/>
      <c r="K72" s="553"/>
      <c r="L72" s="553"/>
      <c r="M72" s="553"/>
      <c r="N72" s="553"/>
      <c r="O72" s="553"/>
      <c r="P72" s="553"/>
      <c r="Q72" s="309"/>
      <c r="R72" s="309"/>
      <c r="S72" s="309"/>
      <c r="T72" s="309"/>
      <c r="U72" s="309"/>
      <c r="V72" s="309"/>
      <c r="W72" s="309"/>
      <c r="X72" s="309"/>
      <c r="Y72" s="309"/>
      <c r="Z72" s="309"/>
      <c r="AA72" s="309"/>
      <c r="AB72" s="309"/>
    </row>
    <row r="73" spans="1:28">
      <c r="A73" s="309"/>
      <c r="B73" s="309"/>
      <c r="C73" s="562"/>
      <c r="D73" s="553"/>
      <c r="E73" s="553"/>
      <c r="F73" s="553"/>
      <c r="G73" s="553"/>
      <c r="H73" s="553"/>
      <c r="I73" s="553"/>
      <c r="J73" s="553"/>
      <c r="K73" s="553"/>
      <c r="L73" s="553"/>
      <c r="M73" s="553"/>
      <c r="N73" s="553"/>
      <c r="O73" s="553"/>
      <c r="P73" s="553"/>
      <c r="Q73" s="309"/>
      <c r="R73" s="309"/>
      <c r="S73" s="309"/>
      <c r="T73" s="309"/>
      <c r="U73" s="309"/>
      <c r="V73" s="309"/>
      <c r="W73" s="309"/>
      <c r="X73" s="309"/>
      <c r="Y73" s="309"/>
      <c r="Z73" s="309"/>
      <c r="AA73" s="309"/>
      <c r="AB73" s="309"/>
    </row>
    <row r="74" spans="1:28">
      <c r="A74" s="309"/>
      <c r="B74" s="309"/>
      <c r="C74" s="562"/>
      <c r="D74" s="553"/>
      <c r="E74" s="553"/>
      <c r="F74" s="553"/>
      <c r="G74" s="553"/>
      <c r="H74" s="553"/>
      <c r="I74" s="553"/>
      <c r="J74" s="553"/>
      <c r="K74" s="553"/>
      <c r="L74" s="553"/>
      <c r="M74" s="553"/>
      <c r="N74" s="553"/>
      <c r="O74" s="553"/>
      <c r="P74" s="553"/>
      <c r="Q74" s="309"/>
      <c r="R74" s="309"/>
      <c r="S74" s="309"/>
      <c r="T74" s="309"/>
      <c r="U74" s="309"/>
      <c r="V74" s="309"/>
      <c r="W74" s="309"/>
      <c r="X74" s="309"/>
      <c r="Y74" s="309"/>
      <c r="Z74" s="309"/>
      <c r="AA74" s="309"/>
      <c r="AB74" s="309"/>
    </row>
    <row r="75" spans="1:28">
      <c r="A75" s="309"/>
      <c r="B75" s="309"/>
      <c r="C75" s="562"/>
      <c r="D75" s="553"/>
      <c r="E75" s="553"/>
      <c r="F75" s="553"/>
      <c r="G75" s="553"/>
      <c r="H75" s="553"/>
      <c r="I75" s="553"/>
      <c r="J75" s="553"/>
      <c r="K75" s="553"/>
      <c r="L75" s="553"/>
      <c r="M75" s="553"/>
      <c r="N75" s="553"/>
      <c r="O75" s="553"/>
      <c r="P75" s="553"/>
      <c r="Q75" s="309"/>
      <c r="R75" s="309"/>
      <c r="S75" s="309"/>
      <c r="T75" s="309"/>
      <c r="U75" s="309"/>
      <c r="V75" s="309"/>
      <c r="W75" s="309"/>
      <c r="X75" s="309"/>
      <c r="Y75" s="309"/>
      <c r="Z75" s="309"/>
      <c r="AA75" s="309"/>
      <c r="AB75" s="309"/>
    </row>
    <row r="76" spans="1:28">
      <c r="A76" s="309"/>
      <c r="B76" s="309"/>
      <c r="C76" s="562"/>
      <c r="D76" s="553"/>
      <c r="E76" s="553"/>
      <c r="F76" s="553"/>
      <c r="G76" s="553"/>
      <c r="H76" s="553"/>
      <c r="I76" s="553"/>
      <c r="J76" s="553"/>
      <c r="K76" s="553"/>
      <c r="L76" s="553"/>
      <c r="M76" s="553"/>
      <c r="N76" s="553"/>
      <c r="O76" s="553"/>
      <c r="P76" s="553"/>
      <c r="Q76" s="309"/>
      <c r="R76" s="309"/>
      <c r="S76" s="309"/>
      <c r="T76" s="309"/>
      <c r="U76" s="309"/>
      <c r="V76" s="309"/>
      <c r="W76" s="309"/>
      <c r="X76" s="309"/>
      <c r="Y76" s="309"/>
      <c r="Z76" s="309"/>
      <c r="AA76" s="309"/>
      <c r="AB76" s="309"/>
    </row>
    <row r="77" spans="1:28">
      <c r="A77" s="309"/>
      <c r="B77" s="309"/>
      <c r="C77" s="562"/>
      <c r="D77" s="553"/>
      <c r="E77" s="553"/>
      <c r="F77" s="553"/>
      <c r="G77" s="553"/>
      <c r="H77" s="553"/>
      <c r="I77" s="553"/>
      <c r="J77" s="553"/>
      <c r="K77" s="553"/>
      <c r="L77" s="553"/>
      <c r="M77" s="553"/>
      <c r="N77" s="553"/>
      <c r="O77" s="553"/>
      <c r="P77" s="553"/>
      <c r="Q77" s="309"/>
      <c r="R77" s="309"/>
      <c r="S77" s="309"/>
      <c r="T77" s="309"/>
      <c r="U77" s="309"/>
      <c r="V77" s="309"/>
      <c r="W77" s="309"/>
      <c r="X77" s="309"/>
      <c r="Y77" s="309"/>
      <c r="Z77" s="309"/>
      <c r="AA77" s="309"/>
      <c r="AB77" s="309"/>
    </row>
    <row r="78" spans="1:28">
      <c r="A78" s="309"/>
      <c r="B78" s="309"/>
      <c r="C78" s="562"/>
      <c r="D78" s="553"/>
      <c r="E78" s="553"/>
      <c r="F78" s="553"/>
      <c r="G78" s="553"/>
      <c r="H78" s="553"/>
      <c r="I78" s="553"/>
      <c r="J78" s="553"/>
      <c r="K78" s="553"/>
      <c r="L78" s="553"/>
      <c r="M78" s="553"/>
      <c r="N78" s="553"/>
      <c r="O78" s="553"/>
      <c r="P78" s="553"/>
      <c r="Q78" s="309"/>
      <c r="R78" s="309"/>
      <c r="S78" s="309"/>
      <c r="T78" s="309"/>
      <c r="U78" s="309"/>
      <c r="V78" s="309"/>
      <c r="W78" s="309"/>
      <c r="X78" s="309"/>
      <c r="Y78" s="309"/>
      <c r="Z78" s="309"/>
      <c r="AA78" s="309"/>
      <c r="AB78" s="309"/>
    </row>
    <row r="79" spans="1:28">
      <c r="A79" s="309"/>
      <c r="B79" s="309"/>
      <c r="C79" s="562"/>
      <c r="D79" s="553"/>
      <c r="E79" s="553"/>
      <c r="F79" s="553"/>
      <c r="G79" s="553"/>
      <c r="H79" s="553"/>
      <c r="I79" s="553"/>
      <c r="J79" s="553"/>
      <c r="K79" s="553"/>
      <c r="L79" s="553"/>
      <c r="M79" s="553"/>
      <c r="N79" s="553"/>
      <c r="O79" s="553"/>
      <c r="P79" s="553"/>
      <c r="Q79" s="309"/>
      <c r="R79" s="309"/>
      <c r="S79" s="309"/>
      <c r="T79" s="309"/>
      <c r="U79" s="309"/>
      <c r="V79" s="309"/>
      <c r="W79" s="309"/>
      <c r="X79" s="309"/>
      <c r="Y79" s="309"/>
      <c r="Z79" s="309"/>
      <c r="AA79" s="309"/>
      <c r="AB79" s="309"/>
    </row>
    <row r="80" spans="1:28">
      <c r="A80" s="309"/>
      <c r="B80" s="309"/>
      <c r="C80" s="562"/>
      <c r="D80" s="553"/>
      <c r="E80" s="553"/>
      <c r="F80" s="553"/>
      <c r="G80" s="553"/>
      <c r="H80" s="553"/>
      <c r="I80" s="553"/>
      <c r="J80" s="553"/>
      <c r="K80" s="553"/>
      <c r="L80" s="553"/>
      <c r="M80" s="553"/>
      <c r="N80" s="553"/>
      <c r="O80" s="553"/>
      <c r="P80" s="553"/>
      <c r="Q80" s="309"/>
      <c r="R80" s="309"/>
      <c r="S80" s="309"/>
      <c r="T80" s="309"/>
      <c r="U80" s="309"/>
      <c r="V80" s="309"/>
      <c r="W80" s="309"/>
      <c r="X80" s="309"/>
      <c r="Y80" s="309"/>
      <c r="Z80" s="309"/>
      <c r="AA80" s="309"/>
      <c r="AB80" s="309"/>
    </row>
    <row r="81" spans="1:28">
      <c r="A81" s="309"/>
      <c r="B81" s="309"/>
      <c r="C81" s="562"/>
      <c r="D81" s="553"/>
      <c r="E81" s="553"/>
      <c r="F81" s="553"/>
      <c r="G81" s="553"/>
      <c r="H81" s="553"/>
      <c r="I81" s="553"/>
      <c r="J81" s="553"/>
      <c r="K81" s="553"/>
      <c r="L81" s="553"/>
      <c r="M81" s="553"/>
      <c r="N81" s="553"/>
      <c r="O81" s="553"/>
      <c r="P81" s="553"/>
      <c r="Q81" s="309"/>
      <c r="R81" s="309"/>
      <c r="S81" s="309"/>
      <c r="T81" s="309"/>
      <c r="U81" s="309"/>
      <c r="V81" s="309"/>
      <c r="W81" s="309"/>
      <c r="X81" s="309"/>
      <c r="Y81" s="309"/>
      <c r="Z81" s="309"/>
      <c r="AA81" s="309"/>
      <c r="AB81" s="309"/>
    </row>
    <row r="82" spans="1:28">
      <c r="A82" s="309"/>
      <c r="B82" s="309"/>
      <c r="C82" s="562"/>
      <c r="D82" s="553"/>
      <c r="E82" s="553"/>
      <c r="F82" s="553"/>
      <c r="G82" s="553"/>
      <c r="H82" s="553"/>
      <c r="I82" s="553"/>
      <c r="J82" s="553"/>
      <c r="K82" s="553"/>
      <c r="L82" s="553"/>
      <c r="M82" s="553"/>
      <c r="N82" s="553"/>
      <c r="O82" s="553"/>
      <c r="P82" s="553"/>
      <c r="Q82" s="309"/>
      <c r="R82" s="309"/>
      <c r="S82" s="309"/>
      <c r="T82" s="309"/>
      <c r="U82" s="309"/>
      <c r="V82" s="309"/>
      <c r="W82" s="309"/>
      <c r="X82" s="309"/>
      <c r="Y82" s="309"/>
      <c r="Z82" s="309"/>
      <c r="AA82" s="309"/>
      <c r="AB82" s="309"/>
    </row>
    <row r="83" spans="1:28">
      <c r="A83" s="309"/>
      <c r="B83" s="309"/>
      <c r="C83" s="562"/>
      <c r="D83" s="553"/>
      <c r="E83" s="553"/>
      <c r="F83" s="553"/>
      <c r="G83" s="553"/>
      <c r="H83" s="553"/>
      <c r="I83" s="553"/>
      <c r="J83" s="553"/>
      <c r="K83" s="553"/>
      <c r="L83" s="553"/>
      <c r="M83" s="553"/>
      <c r="N83" s="553"/>
      <c r="O83" s="553"/>
      <c r="P83" s="553"/>
      <c r="Q83" s="309"/>
      <c r="R83" s="309"/>
      <c r="S83" s="309"/>
      <c r="T83" s="309"/>
      <c r="U83" s="309"/>
      <c r="V83" s="309"/>
      <c r="W83" s="309"/>
      <c r="X83" s="309"/>
      <c r="Y83" s="309"/>
      <c r="Z83" s="309"/>
      <c r="AA83" s="309"/>
      <c r="AB83" s="309"/>
    </row>
    <row r="84" spans="1:28">
      <c r="C84" s="18"/>
      <c r="D84" s="17"/>
      <c r="E84" s="17"/>
      <c r="F84" s="17"/>
      <c r="G84" s="17"/>
      <c r="H84" s="17"/>
      <c r="I84" s="17"/>
      <c r="J84" s="17"/>
      <c r="K84" s="553"/>
      <c r="L84" s="553"/>
      <c r="M84" s="553"/>
      <c r="N84" s="553"/>
      <c r="O84" s="553"/>
      <c r="P84" s="553"/>
      <c r="Q84" s="309"/>
      <c r="R84" s="309"/>
      <c r="S84" s="309"/>
      <c r="T84" s="309"/>
      <c r="U84" s="309"/>
      <c r="V84" s="309"/>
      <c r="W84" s="309"/>
      <c r="X84" s="309"/>
      <c r="Y84" s="309"/>
      <c r="Z84" s="309"/>
      <c r="AA84" s="309"/>
      <c r="AB84" s="309"/>
    </row>
    <row r="85" spans="1:28">
      <c r="A85" s="11"/>
      <c r="C85" s="18"/>
      <c r="D85" s="17"/>
      <c r="E85" s="17"/>
      <c r="F85" s="17"/>
      <c r="G85" s="17"/>
      <c r="H85" s="17"/>
      <c r="I85" s="17"/>
      <c r="J85" s="17"/>
      <c r="K85" s="553"/>
      <c r="L85" s="553"/>
      <c r="M85" s="553"/>
      <c r="N85" s="553"/>
      <c r="O85" s="553"/>
      <c r="P85" s="553"/>
      <c r="Q85" s="309"/>
      <c r="R85" s="309"/>
      <c r="S85" s="309"/>
      <c r="T85" s="309"/>
      <c r="U85" s="309"/>
      <c r="V85" s="309"/>
      <c r="W85" s="309"/>
      <c r="X85" s="309"/>
      <c r="Y85" s="309"/>
      <c r="Z85" s="309"/>
      <c r="AA85" s="309"/>
      <c r="AB85" s="309"/>
    </row>
    <row r="86" spans="1:28">
      <c r="C86" s="18"/>
      <c r="D86" s="17"/>
      <c r="E86" s="17"/>
      <c r="F86" s="17"/>
      <c r="G86" s="17"/>
      <c r="H86" s="17"/>
      <c r="I86" s="17"/>
      <c r="J86" s="17"/>
      <c r="K86" s="553"/>
      <c r="L86" s="553"/>
      <c r="M86" s="553"/>
      <c r="N86" s="553"/>
      <c r="O86" s="553"/>
      <c r="P86" s="553"/>
      <c r="Q86" s="309"/>
      <c r="R86" s="309"/>
      <c r="S86" s="309"/>
      <c r="T86" s="309"/>
      <c r="U86" s="309"/>
      <c r="V86" s="309"/>
      <c r="W86" s="309"/>
      <c r="X86" s="309"/>
      <c r="Y86" s="309"/>
      <c r="Z86" s="309"/>
      <c r="AA86" s="309"/>
      <c r="AB86" s="309"/>
    </row>
    <row r="87" spans="1:28">
      <c r="C87" s="18"/>
      <c r="D87" s="17"/>
      <c r="E87" s="17"/>
      <c r="F87" s="17"/>
      <c r="G87" s="17"/>
      <c r="H87" s="17"/>
      <c r="I87" s="17"/>
      <c r="J87" s="17"/>
      <c r="K87" s="17"/>
      <c r="L87" s="17"/>
      <c r="M87" s="17"/>
      <c r="N87" s="17"/>
      <c r="O87" s="17"/>
      <c r="P87" s="17"/>
    </row>
  </sheetData>
  <mergeCells count="1">
    <mergeCell ref="A1:C1"/>
  </mergeCells>
  <pageMargins left="0.7" right="0.7" top="0.75" bottom="0.75" header="0.3" footer="0.3"/>
  <pageSetup orientation="portrait" r:id="rId1"/>
  <headerFooter>
    <oddFooter>&amp;R&amp;P of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D287"/>
  <sheetViews>
    <sheetView topLeftCell="A76" workbookViewId="0">
      <selection activeCell="H65" sqref="H65"/>
    </sheetView>
  </sheetViews>
  <sheetFormatPr defaultRowHeight="15"/>
  <cols>
    <col min="1" max="1" width="13.42578125" style="1" customWidth="1"/>
    <col min="2" max="2" width="53.5703125" bestFit="1" customWidth="1"/>
    <col min="3" max="3" width="9.5703125" style="22" customWidth="1"/>
    <col min="4" max="4" width="14.5703125" style="12" bestFit="1" customWidth="1"/>
    <col min="5" max="5" width="2.5703125" style="1" customWidth="1"/>
    <col min="6" max="6" width="11.5703125" style="309" bestFit="1" customWidth="1"/>
    <col min="7" max="7" width="6.5703125" style="309" customWidth="1"/>
    <col min="8" max="8" width="12.5703125" style="309" customWidth="1"/>
    <col min="9" max="11" width="6.5703125" style="309" customWidth="1"/>
    <col min="12" max="13" width="6.5703125" style="309" bestFit="1" customWidth="1"/>
    <col min="14" max="14" width="11.5703125" style="309" bestFit="1" customWidth="1"/>
    <col min="15" max="16" width="5.5703125" style="309" customWidth="1"/>
    <col min="17" max="17" width="8.5703125" style="309" customWidth="1"/>
    <col min="18" max="22" width="5.5703125" style="309" customWidth="1"/>
    <col min="23" max="23" width="5.5703125" style="309" bestFit="1" customWidth="1"/>
    <col min="24" max="28" width="4.5703125" style="309" customWidth="1"/>
    <col min="29" max="29" width="12.5703125" style="309" customWidth="1"/>
    <col min="30" max="31" width="3.5703125" style="309" customWidth="1"/>
    <col min="32" max="32" width="3" style="309" customWidth="1"/>
    <col min="33" max="34" width="2" style="309" customWidth="1"/>
    <col min="35" max="56" width="3" style="309" customWidth="1"/>
    <col min="57" max="60" width="3" customWidth="1"/>
    <col min="61" max="63" width="4" customWidth="1"/>
    <col min="64" max="64" width="7" customWidth="1"/>
    <col min="65" max="81" width="4" customWidth="1"/>
    <col min="82" max="82" width="7" customWidth="1"/>
    <col min="83" max="83" width="4" customWidth="1"/>
    <col min="84" max="84" width="7" bestFit="1" customWidth="1"/>
    <col min="85" max="107" width="4" customWidth="1"/>
    <col min="108" max="108" width="6" customWidth="1"/>
    <col min="109" max="137" width="4" customWidth="1"/>
    <col min="138" max="138" width="7" bestFit="1" customWidth="1"/>
    <col min="139" max="151" width="4" customWidth="1"/>
    <col min="152" max="164" width="5" customWidth="1"/>
    <col min="165" max="165" width="12" bestFit="1" customWidth="1"/>
    <col min="166" max="175" width="5" customWidth="1"/>
    <col min="176" max="176" width="8" customWidth="1"/>
    <col min="177" max="191" width="5" customWidth="1"/>
    <col min="192" max="192" width="8" customWidth="1"/>
    <col min="193" max="238" width="5" customWidth="1"/>
    <col min="239" max="239" width="8" bestFit="1" customWidth="1"/>
    <col min="240" max="261" width="5" customWidth="1"/>
    <col min="262" max="262" width="8" bestFit="1" customWidth="1"/>
    <col min="263" max="266" width="5" customWidth="1"/>
    <col min="267" max="267" width="8" bestFit="1" customWidth="1"/>
    <col min="268" max="286" width="5" customWidth="1"/>
    <col min="287" max="287" width="12" bestFit="1" customWidth="1"/>
    <col min="288" max="294" width="5" customWidth="1"/>
    <col min="295" max="295" width="8" bestFit="1" customWidth="1"/>
    <col min="296" max="297" width="5" customWidth="1"/>
    <col min="298" max="298" width="8" bestFit="1" customWidth="1"/>
    <col min="299" max="333" width="5" customWidth="1"/>
    <col min="334" max="334" width="8" customWidth="1"/>
    <col min="335" max="338" width="5" customWidth="1"/>
    <col min="339" max="339" width="8" bestFit="1" customWidth="1"/>
    <col min="340" max="449" width="5" customWidth="1"/>
    <col min="450" max="450" width="7" bestFit="1" customWidth="1"/>
    <col min="451" max="456" width="5" customWidth="1"/>
    <col min="457" max="476" width="6" customWidth="1"/>
    <col min="477" max="477" width="12" bestFit="1" customWidth="1"/>
    <col min="478" max="478" width="6" customWidth="1"/>
    <col min="479" max="479" width="6" bestFit="1" customWidth="1"/>
    <col min="480" max="490" width="6" customWidth="1"/>
    <col min="491" max="491" width="6" bestFit="1" customWidth="1"/>
    <col min="492" max="498" width="6" customWidth="1"/>
    <col min="499" max="499" width="9" bestFit="1" customWidth="1"/>
    <col min="500" max="529" width="6" customWidth="1"/>
    <col min="530" max="530" width="9" customWidth="1"/>
    <col min="531" max="550" width="6" customWidth="1"/>
    <col min="551" max="551" width="9" customWidth="1"/>
    <col min="552" max="561" width="6" customWidth="1"/>
    <col min="562" max="562" width="12" bestFit="1" customWidth="1"/>
    <col min="563" max="578" width="6" customWidth="1"/>
    <col min="579" max="579" width="9" customWidth="1"/>
    <col min="580" max="585" width="6" customWidth="1"/>
    <col min="586" max="586" width="9" bestFit="1" customWidth="1"/>
    <col min="587" max="609" width="6" customWidth="1"/>
    <col min="610" max="610" width="9" bestFit="1" customWidth="1"/>
    <col min="611" max="640" width="6" customWidth="1"/>
    <col min="641" max="641" width="9" customWidth="1"/>
    <col min="642" max="655" width="6" customWidth="1"/>
    <col min="656" max="656" width="9" bestFit="1" customWidth="1"/>
    <col min="657" max="661" width="6" customWidth="1"/>
    <col min="662" max="662" width="9" bestFit="1" customWidth="1"/>
    <col min="663" max="677" width="6" customWidth="1"/>
    <col min="678" max="678" width="12" customWidth="1"/>
    <col min="679" max="687" width="6" customWidth="1"/>
    <col min="688" max="688" width="9" bestFit="1" customWidth="1"/>
    <col min="689" max="732" width="6" customWidth="1"/>
    <col min="733" max="733" width="12" bestFit="1" customWidth="1"/>
    <col min="734" max="778" width="6" customWidth="1"/>
    <col min="779" max="779" width="9" customWidth="1"/>
    <col min="780" max="784" width="6" customWidth="1"/>
    <col min="785" max="785" width="11" customWidth="1"/>
    <col min="786" max="799" width="6" customWidth="1"/>
    <col min="800" max="800" width="9" customWidth="1"/>
    <col min="801" max="817" width="6" customWidth="1"/>
    <col min="818" max="818" width="9" bestFit="1" customWidth="1"/>
    <col min="819" max="840" width="6" customWidth="1"/>
    <col min="841" max="841" width="12" bestFit="1" customWidth="1"/>
    <col min="842" max="893" width="6" customWidth="1"/>
    <col min="894" max="894" width="9" customWidth="1"/>
    <col min="895" max="895" width="6" customWidth="1"/>
    <col min="896" max="896" width="9" customWidth="1"/>
    <col min="897" max="898" width="6" customWidth="1"/>
    <col min="899" max="899" width="9" customWidth="1"/>
    <col min="900" max="900" width="6" customWidth="1"/>
    <col min="901" max="901" width="9" bestFit="1" customWidth="1"/>
    <col min="902" max="902" width="9" customWidth="1"/>
    <col min="903" max="919" width="6" customWidth="1"/>
    <col min="920" max="920" width="11" bestFit="1" customWidth="1"/>
    <col min="921" max="937" width="6" customWidth="1"/>
    <col min="938" max="938" width="9" customWidth="1"/>
    <col min="939" max="939" width="12" bestFit="1" customWidth="1"/>
    <col min="940" max="943" width="6" customWidth="1"/>
    <col min="944" max="944" width="9" customWidth="1"/>
    <col min="945" max="952" width="6" customWidth="1"/>
    <col min="953" max="953" width="12" customWidth="1"/>
    <col min="954" max="963" width="6" customWidth="1"/>
    <col min="964" max="964" width="9" customWidth="1"/>
    <col min="965" max="977" width="6" customWidth="1"/>
    <col min="978" max="978" width="12" customWidth="1"/>
    <col min="979" max="981" width="6" customWidth="1"/>
    <col min="982" max="982" width="9" customWidth="1"/>
    <col min="983" max="990" width="6" customWidth="1"/>
    <col min="991" max="991" width="9" customWidth="1"/>
    <col min="992" max="1015" width="6" customWidth="1"/>
    <col min="1016" max="1016" width="8" bestFit="1" customWidth="1"/>
    <col min="1017" max="1019" width="6" customWidth="1"/>
    <col min="1020" max="1020" width="9" customWidth="1"/>
    <col min="1021" max="1027" width="6" customWidth="1"/>
    <col min="1028" max="1028" width="8" customWidth="1"/>
    <col min="1029" max="1030" width="6" customWidth="1"/>
    <col min="1031" max="1031" width="8" customWidth="1"/>
    <col min="1032" max="1037" width="6" customWidth="1"/>
    <col min="1038" max="1050" width="6" bestFit="1" customWidth="1"/>
    <col min="1051" max="1052" width="6" customWidth="1"/>
    <col min="1053" max="1053" width="9" bestFit="1" customWidth="1"/>
    <col min="1054" max="1062" width="6" customWidth="1"/>
    <col min="1063" max="1063" width="12" bestFit="1" customWidth="1"/>
    <col min="1064" max="1071" width="6" customWidth="1"/>
    <col min="1072" max="1072" width="9" customWidth="1"/>
    <col min="1073" max="1082" width="6" customWidth="1"/>
    <col min="1083" max="1083" width="9" customWidth="1"/>
    <col min="1084" max="1084" width="12" bestFit="1" customWidth="1"/>
    <col min="1085" max="1085" width="6" customWidth="1"/>
    <col min="1086" max="1086" width="9" bestFit="1" customWidth="1"/>
    <col min="1087" max="1093" width="6" customWidth="1"/>
    <col min="1094" max="1094" width="6" bestFit="1" customWidth="1"/>
    <col min="1095" max="1095" width="9" bestFit="1" customWidth="1"/>
    <col min="1096" max="1096" width="6" customWidth="1"/>
    <col min="1097" max="1097" width="6" bestFit="1" customWidth="1"/>
    <col min="1098" max="1098" width="12" bestFit="1" customWidth="1"/>
    <col min="1099" max="1102" width="6" bestFit="1" customWidth="1"/>
    <col min="1103" max="1103" width="12" bestFit="1" customWidth="1"/>
    <col min="1104" max="1107" width="6" bestFit="1" customWidth="1"/>
    <col min="1108" max="1108" width="6" customWidth="1"/>
    <col min="1109" max="1127" width="6" bestFit="1" customWidth="1"/>
    <col min="1128" max="1128" width="9" bestFit="1" customWidth="1"/>
    <col min="1129" max="1142" width="6" bestFit="1" customWidth="1"/>
    <col min="1143" max="1143" width="6" customWidth="1"/>
    <col min="1144" max="1160" width="6" bestFit="1" customWidth="1"/>
    <col min="1161" max="1161" width="9" bestFit="1" customWidth="1"/>
    <col min="1162" max="1162" width="6" bestFit="1" customWidth="1"/>
    <col min="1163" max="1163" width="6" customWidth="1"/>
    <col min="1164" max="1172" width="6" bestFit="1" customWidth="1"/>
    <col min="1173" max="1173" width="12" bestFit="1" customWidth="1"/>
    <col min="1174" max="1188" width="6" bestFit="1" customWidth="1"/>
    <col min="1189" max="1189" width="8" bestFit="1" customWidth="1"/>
    <col min="1190" max="1193" width="6" bestFit="1" customWidth="1"/>
    <col min="1194" max="1194" width="9" bestFit="1" customWidth="1"/>
    <col min="1195" max="1235" width="6" bestFit="1" customWidth="1"/>
    <col min="1236" max="1236" width="9" customWidth="1"/>
    <col min="1237" max="1240" width="6" bestFit="1" customWidth="1"/>
    <col min="1241" max="1241" width="12" bestFit="1" customWidth="1"/>
    <col min="1242" max="1245" width="6" bestFit="1" customWidth="1"/>
    <col min="1246" max="1246" width="7" bestFit="1" customWidth="1"/>
    <col min="1247" max="1247" width="7" customWidth="1"/>
    <col min="1248" max="1259" width="7" bestFit="1" customWidth="1"/>
    <col min="1260" max="1260" width="12" bestFit="1" customWidth="1"/>
    <col min="1261" max="1261" width="7" customWidth="1"/>
    <col min="1262" max="1263" width="7" bestFit="1" customWidth="1"/>
    <col min="1264" max="1264" width="10" bestFit="1" customWidth="1"/>
    <col min="1265" max="1284" width="7" bestFit="1" customWidth="1"/>
    <col min="1285" max="1285" width="10" bestFit="1" customWidth="1"/>
    <col min="1286" max="1288" width="7" bestFit="1" customWidth="1"/>
    <col min="1289" max="1289" width="12" bestFit="1" customWidth="1"/>
    <col min="1290" max="1298" width="7" bestFit="1" customWidth="1"/>
    <col min="1299" max="1299" width="7" customWidth="1"/>
    <col min="1300" max="1303" width="7" bestFit="1" customWidth="1"/>
    <col min="1304" max="1304" width="10" bestFit="1" customWidth="1"/>
    <col min="1305" max="1321" width="7" bestFit="1" customWidth="1"/>
    <col min="1322" max="1322" width="7" customWidth="1"/>
    <col min="1323" max="1323" width="10" bestFit="1" customWidth="1"/>
    <col min="1324" max="1326" width="7" bestFit="1" customWidth="1"/>
    <col min="1327" max="1327" width="9" bestFit="1" customWidth="1"/>
    <col min="1328" max="1335" width="7" bestFit="1" customWidth="1"/>
    <col min="1336" max="1336" width="7" customWidth="1"/>
    <col min="1337" max="1338" width="7" bestFit="1" customWidth="1"/>
    <col min="1339" max="1339" width="10" bestFit="1" customWidth="1"/>
    <col min="1340" max="1342" width="7" bestFit="1" customWidth="1"/>
    <col min="1343" max="1343" width="7" customWidth="1"/>
    <col min="1344" max="1372" width="7" bestFit="1" customWidth="1"/>
    <col min="1373" max="1373" width="10" bestFit="1" customWidth="1"/>
    <col min="1374" max="1379" width="7" bestFit="1" customWidth="1"/>
    <col min="1380" max="1380" width="7" customWidth="1"/>
    <col min="1381" max="1381" width="10" bestFit="1" customWidth="1"/>
    <col min="1382" max="1382" width="7" bestFit="1" customWidth="1"/>
    <col min="1383" max="1383" width="12" bestFit="1" customWidth="1"/>
    <col min="1384" max="1384" width="7" bestFit="1" customWidth="1"/>
    <col min="1385" max="1385" width="7" customWidth="1"/>
    <col min="1386" max="1393" width="7" bestFit="1" customWidth="1"/>
    <col min="1394" max="1394" width="10" bestFit="1" customWidth="1"/>
    <col min="1395" max="1408" width="7" bestFit="1" customWidth="1"/>
    <col min="1409" max="1409" width="12" bestFit="1" customWidth="1"/>
    <col min="1410" max="1446" width="7" bestFit="1" customWidth="1"/>
    <col min="1447" max="1447" width="12" bestFit="1" customWidth="1"/>
    <col min="1448" max="1453" width="7" bestFit="1" customWidth="1"/>
    <col min="1454" max="1454" width="10" bestFit="1" customWidth="1"/>
    <col min="1455" max="1463" width="7" bestFit="1" customWidth="1"/>
    <col min="1464" max="1464" width="10" bestFit="1" customWidth="1"/>
    <col min="1465" max="1504" width="7" bestFit="1" customWidth="1"/>
    <col min="1505" max="1505" width="7" customWidth="1"/>
    <col min="1506" max="1509" width="7" bestFit="1" customWidth="1"/>
    <col min="1510" max="1510" width="10" bestFit="1" customWidth="1"/>
    <col min="1511" max="1511" width="7" bestFit="1" customWidth="1"/>
    <col min="1512" max="1512" width="12" bestFit="1" customWidth="1"/>
    <col min="1513" max="1517" width="7" bestFit="1" customWidth="1"/>
    <col min="1518" max="1518" width="12" bestFit="1" customWidth="1"/>
    <col min="1519" max="1520" width="7" bestFit="1" customWidth="1"/>
    <col min="1521" max="1521" width="7" customWidth="1"/>
    <col min="1522" max="1522" width="10" bestFit="1" customWidth="1"/>
    <col min="1523" max="1527" width="7" bestFit="1" customWidth="1"/>
    <col min="1528" max="1528" width="10" bestFit="1" customWidth="1"/>
    <col min="1529" max="1529" width="7" bestFit="1" customWidth="1"/>
    <col min="1530" max="1530" width="10" bestFit="1" customWidth="1"/>
    <col min="1531" max="1550" width="7" bestFit="1" customWidth="1"/>
    <col min="1551" max="1551" width="12" bestFit="1" customWidth="1"/>
    <col min="1552" max="1560" width="7" bestFit="1" customWidth="1"/>
    <col min="1561" max="1561" width="7" customWidth="1"/>
    <col min="1562" max="1566" width="7" bestFit="1" customWidth="1"/>
    <col min="1567" max="1567" width="10" bestFit="1" customWidth="1"/>
    <col min="1568" max="1569" width="7" bestFit="1" customWidth="1"/>
    <col min="1570" max="1570" width="7" customWidth="1"/>
    <col min="1571" max="1575" width="7" bestFit="1" customWidth="1"/>
    <col min="1576" max="1576" width="10" bestFit="1" customWidth="1"/>
    <col min="1577" max="1583" width="7" bestFit="1" customWidth="1"/>
    <col min="1584" max="1584" width="7" customWidth="1"/>
    <col min="1585" max="1585" width="7" bestFit="1" customWidth="1"/>
    <col min="1586" max="1586" width="11" bestFit="1" customWidth="1"/>
    <col min="1587" max="1587" width="7" bestFit="1" customWidth="1"/>
    <col min="1588" max="1588" width="7" customWidth="1"/>
    <col min="1589" max="1597" width="7" bestFit="1" customWidth="1"/>
    <col min="1598" max="1599" width="10" bestFit="1" customWidth="1"/>
    <col min="1600" max="1606" width="7" bestFit="1" customWidth="1"/>
    <col min="1607" max="1607" width="7" customWidth="1"/>
    <col min="1608" max="1627" width="7" bestFit="1" customWidth="1"/>
    <col min="1628" max="1628" width="10" bestFit="1" customWidth="1"/>
    <col min="1629" max="1629" width="7" bestFit="1" customWidth="1"/>
    <col min="1630" max="1630" width="11" bestFit="1" customWidth="1"/>
    <col min="1631" max="1631" width="7" bestFit="1" customWidth="1"/>
    <col min="1632" max="1632" width="12" bestFit="1" customWidth="1"/>
    <col min="1633" max="1637" width="7" bestFit="1" customWidth="1"/>
    <col min="1638" max="1638" width="7" customWidth="1"/>
    <col min="1639" max="1642" width="7" bestFit="1" customWidth="1"/>
    <col min="1643" max="1643" width="12" bestFit="1" customWidth="1"/>
    <col min="1644" max="1644" width="7" bestFit="1" customWidth="1"/>
    <col min="1645" max="1646" width="10" bestFit="1" customWidth="1"/>
    <col min="1647" max="1649" width="7" bestFit="1" customWidth="1"/>
    <col min="1650" max="1650" width="10" bestFit="1" customWidth="1"/>
    <col min="1651" max="1651" width="7" customWidth="1"/>
    <col min="1652" max="1652" width="7" bestFit="1" customWidth="1"/>
    <col min="1653" max="1653" width="10" bestFit="1" customWidth="1"/>
    <col min="1654" max="1658" width="7" bestFit="1" customWidth="1"/>
    <col min="1659" max="1659" width="12" bestFit="1" customWidth="1"/>
    <col min="1660" max="1660" width="7" customWidth="1"/>
    <col min="1661" max="1665" width="7" bestFit="1" customWidth="1"/>
    <col min="1666" max="1666" width="9" bestFit="1" customWidth="1"/>
    <col min="1667" max="1681" width="7" bestFit="1" customWidth="1"/>
    <col min="1682" max="1682" width="10" bestFit="1" customWidth="1"/>
    <col min="1683" max="1687" width="7" bestFit="1" customWidth="1"/>
    <col min="1688" max="1688" width="7" customWidth="1"/>
    <col min="1689" max="1689" width="12" bestFit="1" customWidth="1"/>
    <col min="1690" max="1693" width="7" bestFit="1" customWidth="1"/>
    <col min="1694" max="1694" width="12" bestFit="1" customWidth="1"/>
    <col min="1695" max="1703" width="7" bestFit="1" customWidth="1"/>
    <col min="1704" max="1704" width="10" bestFit="1" customWidth="1"/>
    <col min="1705" max="1710" width="7" bestFit="1" customWidth="1"/>
    <col min="1711" max="1711" width="10" bestFit="1" customWidth="1"/>
    <col min="1712" max="1714" width="7" bestFit="1" customWidth="1"/>
    <col min="1715" max="1715" width="12" bestFit="1" customWidth="1"/>
    <col min="1716" max="1721" width="7" bestFit="1" customWidth="1"/>
    <col min="1722" max="1722" width="12" bestFit="1" customWidth="1"/>
    <col min="1723" max="1724" width="7" bestFit="1" customWidth="1"/>
    <col min="1725" max="1725" width="7" customWidth="1"/>
    <col min="1726" max="1727" width="7" bestFit="1" customWidth="1"/>
    <col min="1728" max="1728" width="10" bestFit="1" customWidth="1"/>
    <col min="1729" max="1729" width="7" customWidth="1"/>
    <col min="1730" max="1732" width="7" bestFit="1" customWidth="1"/>
    <col min="1733" max="1733" width="12" bestFit="1" customWidth="1"/>
    <col min="1734" max="1741" width="7" bestFit="1" customWidth="1"/>
    <col min="1742" max="1742" width="7" customWidth="1"/>
    <col min="1743" max="1751" width="7" bestFit="1" customWidth="1"/>
    <col min="1752" max="1752" width="10" bestFit="1" customWidth="1"/>
    <col min="1753" max="1757" width="7" bestFit="1" customWidth="1"/>
    <col min="1758" max="1758" width="7" customWidth="1"/>
    <col min="1759" max="1761" width="7" bestFit="1" customWidth="1"/>
    <col min="1762" max="1762" width="12" bestFit="1" customWidth="1"/>
    <col min="1763" max="1763" width="7" bestFit="1" customWidth="1"/>
    <col min="1764" max="1764" width="10" bestFit="1" customWidth="1"/>
    <col min="1765" max="1765" width="7" bestFit="1" customWidth="1"/>
    <col min="1766" max="1766" width="10" bestFit="1" customWidth="1"/>
    <col min="1767" max="1767" width="7" bestFit="1" customWidth="1"/>
    <col min="1768" max="1768" width="10" bestFit="1" customWidth="1"/>
    <col min="1769" max="1770" width="7" bestFit="1" customWidth="1"/>
    <col min="1771" max="1771" width="12" bestFit="1" customWidth="1"/>
    <col min="1772" max="1772" width="7" bestFit="1" customWidth="1"/>
    <col min="1773" max="1773" width="7" customWidth="1"/>
    <col min="1774" max="1776" width="7" bestFit="1" customWidth="1"/>
    <col min="1777" max="1778" width="12" bestFit="1" customWidth="1"/>
    <col min="1779" max="1802" width="7" bestFit="1" customWidth="1"/>
    <col min="1803" max="1803" width="12" bestFit="1" customWidth="1"/>
    <col min="1804" max="1808" width="7" bestFit="1" customWidth="1"/>
    <col min="1809" max="1810" width="12" bestFit="1" customWidth="1"/>
    <col min="1811" max="1811" width="10" bestFit="1" customWidth="1"/>
    <col min="1812" max="1812" width="7" bestFit="1" customWidth="1"/>
    <col min="1813" max="1813" width="12" bestFit="1" customWidth="1"/>
    <col min="1814" max="1814" width="7" bestFit="1" customWidth="1"/>
    <col min="1815" max="1815" width="7" customWidth="1"/>
    <col min="1816" max="1820" width="7" bestFit="1" customWidth="1"/>
    <col min="1821" max="1821" width="10" bestFit="1" customWidth="1"/>
    <col min="1822" max="1826" width="7" bestFit="1" customWidth="1"/>
    <col min="1827" max="1827" width="10" customWidth="1"/>
    <col min="1828" max="1830" width="7" bestFit="1" customWidth="1"/>
    <col min="1831" max="1831" width="12" bestFit="1" customWidth="1"/>
    <col min="1832" max="1838" width="7" bestFit="1" customWidth="1"/>
    <col min="1839" max="1839" width="7" customWidth="1"/>
    <col min="1840" max="1843" width="7" bestFit="1" customWidth="1"/>
    <col min="1844" max="1844" width="7" customWidth="1"/>
    <col min="1845" max="1846" width="7" bestFit="1" customWidth="1"/>
    <col min="1847" max="1847" width="12" bestFit="1" customWidth="1"/>
    <col min="1848" max="1848" width="7" bestFit="1" customWidth="1"/>
    <col min="1849" max="1849" width="11" bestFit="1" customWidth="1"/>
    <col min="1850" max="1851" width="12" bestFit="1" customWidth="1"/>
    <col min="1852" max="1852" width="7" bestFit="1" customWidth="1"/>
    <col min="1853" max="1853" width="12" bestFit="1" customWidth="1"/>
    <col min="1854" max="1856" width="7" bestFit="1" customWidth="1"/>
    <col min="1857" max="1857" width="12" bestFit="1" customWidth="1"/>
    <col min="1858" max="1858" width="7" customWidth="1"/>
    <col min="1859" max="1865" width="7" bestFit="1" customWidth="1"/>
    <col min="1866" max="1866" width="10" bestFit="1" customWidth="1"/>
    <col min="1867" max="1868" width="7" bestFit="1" customWidth="1"/>
    <col min="1869" max="1869" width="7" customWidth="1"/>
    <col min="1870" max="1870" width="7" bestFit="1" customWidth="1"/>
    <col min="1871" max="1871" width="9" bestFit="1" customWidth="1"/>
    <col min="1872" max="1872" width="12" bestFit="1" customWidth="1"/>
    <col min="1873" max="1873" width="7" bestFit="1" customWidth="1"/>
    <col min="1874" max="1874" width="10" bestFit="1" customWidth="1"/>
    <col min="1875" max="1875" width="12" bestFit="1" customWidth="1"/>
    <col min="1876" max="1884" width="7" bestFit="1" customWidth="1"/>
    <col min="1885" max="1885" width="10" bestFit="1" customWidth="1"/>
    <col min="1886" max="1888" width="7" bestFit="1" customWidth="1"/>
    <col min="1889" max="1889" width="12" bestFit="1" customWidth="1"/>
    <col min="1890" max="1895" width="7" bestFit="1" customWidth="1"/>
    <col min="1896" max="1896" width="7" customWidth="1"/>
    <col min="1897" max="1897" width="12" bestFit="1" customWidth="1"/>
    <col min="1898" max="1898" width="7" bestFit="1" customWidth="1"/>
    <col min="1899" max="1899" width="12" bestFit="1" customWidth="1"/>
    <col min="1900" max="1901" width="7" bestFit="1" customWidth="1"/>
    <col min="1902" max="1902" width="10" bestFit="1" customWidth="1"/>
    <col min="1903" max="1907" width="7" bestFit="1" customWidth="1"/>
    <col min="1908" max="1908" width="10" bestFit="1" customWidth="1"/>
    <col min="1909" max="1915" width="7" bestFit="1" customWidth="1"/>
    <col min="1916" max="1916" width="7" customWidth="1"/>
    <col min="1917" max="1917" width="7" bestFit="1" customWidth="1"/>
    <col min="1918" max="1918" width="12" bestFit="1" customWidth="1"/>
    <col min="1919" max="1919" width="11" bestFit="1" customWidth="1"/>
    <col min="1920" max="1921" width="7" bestFit="1" customWidth="1"/>
    <col min="1922" max="1922" width="7" customWidth="1"/>
    <col min="1923" max="1925" width="7" bestFit="1" customWidth="1"/>
    <col min="1926" max="1926" width="10" bestFit="1" customWidth="1"/>
    <col min="1927" max="1928" width="7" bestFit="1" customWidth="1"/>
    <col min="1929" max="1929" width="7" customWidth="1"/>
    <col min="1930" max="1933" width="7" bestFit="1" customWidth="1"/>
    <col min="1934" max="1936" width="7" customWidth="1"/>
    <col min="1937" max="1939" width="7" bestFit="1" customWidth="1"/>
    <col min="1940" max="1940" width="12" bestFit="1" customWidth="1"/>
    <col min="1941" max="1941" width="8" bestFit="1" customWidth="1"/>
    <col min="1942" max="1943" width="8" customWidth="1"/>
    <col min="1944" max="1946" width="8" bestFit="1" customWidth="1"/>
    <col min="1947" max="1947" width="8" customWidth="1"/>
    <col min="1948" max="1949" width="8" bestFit="1" customWidth="1"/>
    <col min="1950" max="1950" width="10" bestFit="1" customWidth="1"/>
    <col min="1951" max="1953" width="8" bestFit="1" customWidth="1"/>
    <col min="1954" max="1954" width="11" bestFit="1" customWidth="1"/>
    <col min="1955" max="1955" width="10" bestFit="1" customWidth="1"/>
    <col min="1956" max="1960" width="8" bestFit="1" customWidth="1"/>
    <col min="1961" max="1961" width="8" customWidth="1"/>
    <col min="1962" max="1965" width="8" bestFit="1" customWidth="1"/>
    <col min="1966" max="1967" width="12" bestFit="1" customWidth="1"/>
    <col min="1968" max="1975" width="8" bestFit="1" customWidth="1"/>
    <col min="1976" max="1976" width="12" bestFit="1" customWidth="1"/>
    <col min="1977" max="1986" width="8" bestFit="1" customWidth="1"/>
    <col min="1987" max="1987" width="8" customWidth="1"/>
    <col min="1988" max="1991" width="8" bestFit="1" customWidth="1"/>
    <col min="1992" max="1992" width="11" bestFit="1" customWidth="1"/>
    <col min="1993" max="1994" width="8" bestFit="1" customWidth="1"/>
    <col min="1995" max="1995" width="8" customWidth="1"/>
    <col min="1996" max="1996" width="12" bestFit="1" customWidth="1"/>
    <col min="1997" max="1999" width="8" bestFit="1" customWidth="1"/>
    <col min="2000" max="2000" width="12" bestFit="1" customWidth="1"/>
    <col min="2001" max="2031" width="8" bestFit="1" customWidth="1"/>
    <col min="2032" max="2032" width="8" customWidth="1"/>
    <col min="2033" max="2035" width="8" bestFit="1" customWidth="1"/>
    <col min="2036" max="2036" width="12" bestFit="1" customWidth="1"/>
    <col min="2037" max="2037" width="8" customWidth="1"/>
    <col min="2038" max="2039" width="12" bestFit="1" customWidth="1"/>
    <col min="2040" max="2040" width="11" bestFit="1" customWidth="1"/>
    <col min="2041" max="2041" width="12" bestFit="1" customWidth="1"/>
    <col min="2042" max="2044" width="8" bestFit="1" customWidth="1"/>
    <col min="2045" max="2045" width="11" bestFit="1" customWidth="1"/>
    <col min="2046" max="2046" width="12" bestFit="1" customWidth="1"/>
    <col min="2047" max="2050" width="8" bestFit="1" customWidth="1"/>
    <col min="2051" max="2051" width="8" customWidth="1"/>
    <col min="2052" max="2057" width="8" bestFit="1" customWidth="1"/>
    <col min="2058" max="2058" width="11" bestFit="1" customWidth="1"/>
    <col min="2059" max="2063" width="8" bestFit="1" customWidth="1"/>
    <col min="2064" max="2065" width="12" bestFit="1" customWidth="1"/>
    <col min="2066" max="2066" width="8" customWidth="1"/>
    <col min="2067" max="2067" width="8" bestFit="1" customWidth="1"/>
    <col min="2068" max="2068" width="11" bestFit="1" customWidth="1"/>
    <col min="2069" max="2073" width="8" bestFit="1" customWidth="1"/>
    <col min="2074" max="2074" width="8" customWidth="1"/>
    <col min="2075" max="2077" width="8" bestFit="1" customWidth="1"/>
    <col min="2078" max="2078" width="11" bestFit="1" customWidth="1"/>
    <col min="2079" max="2082" width="8" bestFit="1" customWidth="1"/>
    <col min="2083" max="2083" width="11" bestFit="1" customWidth="1"/>
    <col min="2084" max="2085" width="8" bestFit="1" customWidth="1"/>
    <col min="2086" max="2086" width="11" bestFit="1" customWidth="1"/>
    <col min="2087" max="2090" width="8" bestFit="1" customWidth="1"/>
    <col min="2091" max="2091" width="8" customWidth="1"/>
    <col min="2092" max="2094" width="8" bestFit="1" customWidth="1"/>
    <col min="2095" max="2098" width="12" bestFit="1" customWidth="1"/>
    <col min="2099" max="2115" width="8" bestFit="1" customWidth="1"/>
    <col min="2116" max="2119" width="12" bestFit="1" customWidth="1"/>
    <col min="2120" max="2120" width="11" bestFit="1" customWidth="1"/>
    <col min="2121" max="2122" width="12" bestFit="1" customWidth="1"/>
    <col min="2123" max="2123" width="8" bestFit="1" customWidth="1"/>
    <col min="2124" max="2124" width="8" customWidth="1"/>
    <col min="2125" max="2125" width="8" bestFit="1" customWidth="1"/>
    <col min="2126" max="2126" width="8" customWidth="1"/>
    <col min="2127" max="2129" width="8" bestFit="1" customWidth="1"/>
    <col min="2130" max="2130" width="11" bestFit="1" customWidth="1"/>
    <col min="2131" max="2132" width="8" bestFit="1" customWidth="1"/>
    <col min="2133" max="2133" width="8" customWidth="1"/>
    <col min="2134" max="2135" width="8" bestFit="1" customWidth="1"/>
    <col min="2136" max="2137" width="12" bestFit="1" customWidth="1"/>
    <col min="2138" max="2142" width="8" bestFit="1" customWidth="1"/>
    <col min="2143" max="2143" width="8" customWidth="1"/>
    <col min="2144" max="2144" width="12" bestFit="1" customWidth="1"/>
    <col min="2145" max="2145" width="8" bestFit="1" customWidth="1"/>
    <col min="2146" max="2146" width="12" bestFit="1" customWidth="1"/>
    <col min="2147" max="2149" width="8" bestFit="1" customWidth="1"/>
    <col min="2150" max="2150" width="12" bestFit="1" customWidth="1"/>
    <col min="2151" max="2156" width="8" bestFit="1" customWidth="1"/>
    <col min="2157" max="2157" width="12" bestFit="1" customWidth="1"/>
    <col min="2158" max="2158" width="11" bestFit="1" customWidth="1"/>
    <col min="2159" max="2159" width="8" bestFit="1" customWidth="1"/>
    <col min="2160" max="2160" width="8" customWidth="1"/>
    <col min="2161" max="2161" width="12" bestFit="1" customWidth="1"/>
    <col min="2162" max="2162" width="8" bestFit="1" customWidth="1"/>
    <col min="2163" max="2163" width="12" bestFit="1" customWidth="1"/>
    <col min="2164" max="2164" width="8" customWidth="1"/>
    <col min="2165" max="2171" width="8" bestFit="1" customWidth="1"/>
    <col min="2172" max="2172" width="12" bestFit="1" customWidth="1"/>
    <col min="2173" max="2173" width="11" bestFit="1" customWidth="1"/>
    <col min="2174" max="2175" width="8" bestFit="1" customWidth="1"/>
    <col min="2176" max="2176" width="12" bestFit="1" customWidth="1"/>
    <col min="2177" max="2177" width="8" bestFit="1" customWidth="1"/>
    <col min="2178" max="2178" width="11" bestFit="1" customWidth="1"/>
    <col min="2179" max="2183" width="8" bestFit="1" customWidth="1"/>
    <col min="2184" max="2185" width="12" bestFit="1" customWidth="1"/>
    <col min="2186" max="2186" width="8" bestFit="1" customWidth="1"/>
    <col min="2187" max="2189" width="12" bestFit="1" customWidth="1"/>
    <col min="2190" max="2191" width="8" bestFit="1" customWidth="1"/>
    <col min="2192" max="2198" width="12" bestFit="1" customWidth="1"/>
    <col min="2199" max="2199" width="8" customWidth="1"/>
    <col min="2200" max="2200" width="12" bestFit="1" customWidth="1"/>
    <col min="2201" max="2202" width="8" bestFit="1" customWidth="1"/>
    <col min="2203" max="2204" width="8" customWidth="1"/>
    <col min="2205" max="2207" width="8" bestFit="1" customWidth="1"/>
    <col min="2208" max="2208" width="12" bestFit="1" customWidth="1"/>
    <col min="2209" max="2210" width="8" bestFit="1" customWidth="1"/>
    <col min="2211" max="2211" width="12" bestFit="1" customWidth="1"/>
    <col min="2212" max="2216" width="8" bestFit="1" customWidth="1"/>
    <col min="2217" max="2217" width="11" bestFit="1" customWidth="1"/>
    <col min="2218" max="2219" width="8" bestFit="1" customWidth="1"/>
    <col min="2220" max="2221" width="12" bestFit="1" customWidth="1"/>
    <col min="2222" max="2224" width="8" bestFit="1" customWidth="1"/>
    <col min="2225" max="2225" width="8" customWidth="1"/>
    <col min="2226" max="2228" width="11" bestFit="1" customWidth="1"/>
    <col min="2229" max="2230" width="8" bestFit="1" customWidth="1"/>
    <col min="2231" max="2231" width="11" bestFit="1" customWidth="1"/>
    <col min="2232" max="2233" width="12" bestFit="1" customWidth="1"/>
    <col min="2234" max="2237" width="8" bestFit="1" customWidth="1"/>
    <col min="2238" max="2238" width="11" bestFit="1" customWidth="1"/>
    <col min="2239" max="2240" width="8" bestFit="1" customWidth="1"/>
    <col min="2241" max="2241" width="11" bestFit="1" customWidth="1"/>
    <col min="2242" max="2246" width="8" bestFit="1" customWidth="1"/>
    <col min="2247" max="2247" width="8" customWidth="1"/>
    <col min="2248" max="2251" width="8" bestFit="1" customWidth="1"/>
    <col min="2252" max="2253" width="12" bestFit="1" customWidth="1"/>
    <col min="2254" max="2254" width="11" bestFit="1" customWidth="1"/>
    <col min="2255" max="2255" width="8" customWidth="1"/>
    <col min="2256" max="2269" width="9" bestFit="1" customWidth="1"/>
    <col min="2270" max="2271" width="12" bestFit="1" customWidth="1"/>
    <col min="2272" max="2272" width="9" bestFit="1" customWidth="1"/>
    <col min="2273" max="2273" width="9" customWidth="1"/>
    <col min="2274" max="2274" width="9" bestFit="1" customWidth="1"/>
    <col min="2275" max="2275" width="9" customWidth="1"/>
    <col min="2276" max="2277" width="9" bestFit="1" customWidth="1"/>
    <col min="2278" max="2279" width="12" bestFit="1" customWidth="1"/>
    <col min="2280" max="2281" width="9" bestFit="1" customWidth="1"/>
    <col min="2282" max="2282" width="12" bestFit="1" customWidth="1"/>
    <col min="2283" max="2283" width="9" bestFit="1" customWidth="1"/>
    <col min="2284" max="2284" width="12" bestFit="1" customWidth="1"/>
    <col min="2285" max="2285" width="9" bestFit="1" customWidth="1"/>
    <col min="2286" max="2287" width="9" customWidth="1"/>
    <col min="2288" max="2291" width="9" bestFit="1" customWidth="1"/>
    <col min="2292" max="2292" width="1.5703125" customWidth="1"/>
    <col min="2293" max="2293" width="7.42578125" bestFit="1" customWidth="1"/>
    <col min="2294" max="2294" width="11.42578125" bestFit="1" customWidth="1"/>
    <col min="2295" max="2304" width="7" bestFit="1" customWidth="1"/>
    <col min="2305" max="2305" width="10" bestFit="1" customWidth="1"/>
    <col min="2306" max="2308" width="7" bestFit="1" customWidth="1"/>
    <col min="2309" max="2309" width="12" bestFit="1" customWidth="1"/>
    <col min="2310" max="2311" width="7" bestFit="1" customWidth="1"/>
    <col min="2312" max="2312" width="12" bestFit="1" customWidth="1"/>
    <col min="2313" max="2319" width="7" bestFit="1" customWidth="1"/>
    <col min="2320" max="2320" width="10" bestFit="1" customWidth="1"/>
    <col min="2321" max="2325" width="7" bestFit="1" customWidth="1"/>
    <col min="2326" max="2326" width="10" bestFit="1" customWidth="1"/>
    <col min="2327" max="2328" width="7" bestFit="1" customWidth="1"/>
    <col min="2329" max="2329" width="12" bestFit="1" customWidth="1"/>
    <col min="2330" max="2333" width="7" bestFit="1" customWidth="1"/>
    <col min="2334" max="2334" width="12" bestFit="1" customWidth="1"/>
    <col min="2335" max="2335" width="7" bestFit="1" customWidth="1"/>
    <col min="2336" max="2336" width="10" bestFit="1" customWidth="1"/>
    <col min="2337" max="2338" width="7" bestFit="1" customWidth="1"/>
    <col min="2339" max="2339" width="12" bestFit="1" customWidth="1"/>
    <col min="2340" max="2352" width="7" bestFit="1" customWidth="1"/>
    <col min="2353" max="2353" width="10" bestFit="1" customWidth="1"/>
    <col min="2354" max="2360" width="7" bestFit="1" customWidth="1"/>
    <col min="2361" max="2361" width="12" bestFit="1" customWidth="1"/>
    <col min="2362" max="2365" width="7" bestFit="1" customWidth="1"/>
    <col min="2366" max="2366" width="12" bestFit="1" customWidth="1"/>
    <col min="2367" max="2370" width="7" bestFit="1" customWidth="1"/>
    <col min="2371" max="2372" width="12" bestFit="1" customWidth="1"/>
    <col min="2373" max="2390" width="7" bestFit="1" customWidth="1"/>
    <col min="2391" max="2391" width="12" bestFit="1" customWidth="1"/>
    <col min="2392" max="2394" width="7" bestFit="1" customWidth="1"/>
    <col min="2395" max="2396" width="12" bestFit="1" customWidth="1"/>
    <col min="2397" max="2397" width="10" bestFit="1" customWidth="1"/>
    <col min="2398" max="2398" width="7" bestFit="1" customWidth="1"/>
    <col min="2399" max="2399" width="12" bestFit="1" customWidth="1"/>
    <col min="2400" max="2403" width="7" bestFit="1" customWidth="1"/>
    <col min="2404" max="2404" width="10" bestFit="1" customWidth="1"/>
    <col min="2405" max="2410" width="7" bestFit="1" customWidth="1"/>
    <col min="2411" max="2411" width="12" bestFit="1" customWidth="1"/>
    <col min="2412" max="2421" width="7" bestFit="1" customWidth="1"/>
    <col min="2422" max="2422" width="12" bestFit="1" customWidth="1"/>
    <col min="2423" max="2423" width="11" bestFit="1" customWidth="1"/>
    <col min="2424" max="2426" width="12" bestFit="1" customWidth="1"/>
    <col min="2427" max="2428" width="7" bestFit="1" customWidth="1"/>
    <col min="2429" max="2429" width="12" bestFit="1" customWidth="1"/>
    <col min="2430" max="2432" width="7" bestFit="1" customWidth="1"/>
    <col min="2433" max="2433" width="10" bestFit="1" customWidth="1"/>
    <col min="2434" max="2436" width="7" bestFit="1" customWidth="1"/>
    <col min="2437" max="2437" width="9" bestFit="1" customWidth="1"/>
    <col min="2438" max="2438" width="12" bestFit="1" customWidth="1"/>
    <col min="2439" max="2439" width="7" bestFit="1" customWidth="1"/>
    <col min="2440" max="2440" width="10" bestFit="1" customWidth="1"/>
    <col min="2441" max="2441" width="12" bestFit="1" customWidth="1"/>
    <col min="2442" max="2446" width="7" bestFit="1" customWidth="1"/>
    <col min="2447" max="2447" width="10" bestFit="1" customWidth="1"/>
    <col min="2448" max="2450" width="7" bestFit="1" customWidth="1"/>
    <col min="2451" max="2451" width="12" bestFit="1" customWidth="1"/>
    <col min="2452" max="2452" width="7" bestFit="1" customWidth="1"/>
    <col min="2453" max="2454" width="12" bestFit="1" customWidth="1"/>
    <col min="2455" max="2455" width="7" bestFit="1" customWidth="1"/>
    <col min="2456" max="2456" width="10" bestFit="1" customWidth="1"/>
    <col min="2457" max="2462" width="7" bestFit="1" customWidth="1"/>
    <col min="2463" max="2463" width="12" bestFit="1" customWidth="1"/>
    <col min="2464" max="2464" width="11" bestFit="1" customWidth="1"/>
    <col min="2465" max="2469" width="7" bestFit="1" customWidth="1"/>
    <col min="2470" max="2470" width="10" bestFit="1" customWidth="1"/>
    <col min="2471" max="2476" width="7" bestFit="1" customWidth="1"/>
    <col min="2477" max="2477" width="12" bestFit="1" customWidth="1"/>
    <col min="2478" max="2482" width="8" bestFit="1" customWidth="1"/>
    <col min="2483" max="2483" width="11" bestFit="1" customWidth="1"/>
    <col min="2484" max="2490" width="8" bestFit="1" customWidth="1"/>
    <col min="2491" max="2492" width="12" bestFit="1" customWidth="1"/>
    <col min="2493" max="2497" width="8" bestFit="1" customWidth="1"/>
    <col min="2498" max="2498" width="12" bestFit="1" customWidth="1"/>
    <col min="2499" max="2508" width="8" bestFit="1" customWidth="1"/>
    <col min="2509" max="2509" width="11" bestFit="1" customWidth="1"/>
    <col min="2510" max="2511" width="8" bestFit="1" customWidth="1"/>
    <col min="2512" max="2512" width="12" bestFit="1" customWidth="1"/>
    <col min="2513" max="2515" width="8" bestFit="1" customWidth="1"/>
    <col min="2516" max="2516" width="12" bestFit="1" customWidth="1"/>
    <col min="2517" max="2547" width="8" bestFit="1" customWidth="1"/>
    <col min="2548" max="2548" width="12" bestFit="1" customWidth="1"/>
    <col min="2549" max="2549" width="8" bestFit="1" customWidth="1"/>
    <col min="2550" max="2551" width="12" bestFit="1" customWidth="1"/>
    <col min="2552" max="2552" width="11" bestFit="1" customWidth="1"/>
    <col min="2553" max="2553" width="12" bestFit="1" customWidth="1"/>
    <col min="2554" max="2556" width="8" bestFit="1" customWidth="1"/>
    <col min="2557" max="2557" width="11" bestFit="1" customWidth="1"/>
    <col min="2558" max="2558" width="12" bestFit="1" customWidth="1"/>
    <col min="2559" max="2568" width="8" bestFit="1" customWidth="1"/>
    <col min="2569" max="2569" width="11" bestFit="1" customWidth="1"/>
    <col min="2570" max="2574" width="8" bestFit="1" customWidth="1"/>
    <col min="2575" max="2576" width="12" bestFit="1" customWidth="1"/>
    <col min="2577" max="2587" width="8" bestFit="1" customWidth="1"/>
    <col min="2588" max="2588" width="11" bestFit="1" customWidth="1"/>
    <col min="2589" max="2592" width="8" bestFit="1" customWidth="1"/>
    <col min="2593" max="2593" width="11" bestFit="1" customWidth="1"/>
    <col min="2594" max="2595" width="8" bestFit="1" customWidth="1"/>
    <col min="2596" max="2596" width="11" bestFit="1" customWidth="1"/>
    <col min="2597" max="2604" width="8" bestFit="1" customWidth="1"/>
    <col min="2605" max="2608" width="12" bestFit="1" customWidth="1"/>
    <col min="2609" max="2625" width="8" bestFit="1" customWidth="1"/>
    <col min="2626" max="2629" width="12" bestFit="1" customWidth="1"/>
    <col min="2630" max="2630" width="11" bestFit="1" customWidth="1"/>
    <col min="2631" max="2632" width="12" bestFit="1" customWidth="1"/>
    <col min="2633" max="2639" width="8" bestFit="1" customWidth="1"/>
    <col min="2640" max="2640" width="11" bestFit="1" customWidth="1"/>
    <col min="2641" max="2645" width="8" bestFit="1" customWidth="1"/>
    <col min="2646" max="2647" width="12" bestFit="1" customWidth="1"/>
    <col min="2648" max="2652" width="8" bestFit="1" customWidth="1"/>
    <col min="2653" max="2653" width="12" bestFit="1" customWidth="1"/>
    <col min="2654" max="2654" width="8" bestFit="1" customWidth="1"/>
    <col min="2655" max="2655" width="12" bestFit="1" customWidth="1"/>
    <col min="2656" max="2658" width="8" bestFit="1" customWidth="1"/>
    <col min="2659" max="2659" width="12" bestFit="1" customWidth="1"/>
    <col min="2660" max="2665" width="8" bestFit="1" customWidth="1"/>
    <col min="2666" max="2666" width="12" bestFit="1" customWidth="1"/>
    <col min="2667" max="2667" width="11" bestFit="1" customWidth="1"/>
    <col min="2668" max="2669" width="8" bestFit="1" customWidth="1"/>
    <col min="2670" max="2670" width="12" bestFit="1" customWidth="1"/>
    <col min="2671" max="2671" width="8" bestFit="1" customWidth="1"/>
    <col min="2672" max="2672" width="12" bestFit="1" customWidth="1"/>
    <col min="2673" max="2680" width="8" bestFit="1" customWidth="1"/>
    <col min="2681" max="2681" width="12" bestFit="1" customWidth="1"/>
    <col min="2682" max="2682" width="11" bestFit="1" customWidth="1"/>
    <col min="2683" max="2684" width="8" bestFit="1" customWidth="1"/>
    <col min="2685" max="2685" width="12" bestFit="1" customWidth="1"/>
    <col min="2686" max="2686" width="8" bestFit="1" customWidth="1"/>
    <col min="2687" max="2687" width="11" bestFit="1" customWidth="1"/>
    <col min="2688" max="2692" width="8" bestFit="1" customWidth="1"/>
    <col min="2693" max="2694" width="12" bestFit="1" customWidth="1"/>
    <col min="2695" max="2695" width="8" bestFit="1" customWidth="1"/>
    <col min="2696" max="2698" width="12" bestFit="1" customWidth="1"/>
    <col min="2699" max="2700" width="8" bestFit="1" customWidth="1"/>
    <col min="2701" max="2707" width="12" bestFit="1" customWidth="1"/>
    <col min="2708" max="2708" width="8" bestFit="1" customWidth="1"/>
    <col min="2709" max="2709" width="12" bestFit="1" customWidth="1"/>
    <col min="2710" max="2716" width="8" bestFit="1" customWidth="1"/>
    <col min="2717" max="2717" width="12" bestFit="1" customWidth="1"/>
    <col min="2718" max="2719" width="8" bestFit="1" customWidth="1"/>
    <col min="2720" max="2720" width="12" bestFit="1" customWidth="1"/>
    <col min="2721" max="2725" width="8" bestFit="1" customWidth="1"/>
    <col min="2726" max="2726" width="11" bestFit="1" customWidth="1"/>
    <col min="2727" max="2728" width="8" bestFit="1" customWidth="1"/>
    <col min="2729" max="2730" width="12" bestFit="1" customWidth="1"/>
    <col min="2731" max="2734" width="8" bestFit="1" customWidth="1"/>
    <col min="2735" max="2737" width="11" bestFit="1" customWidth="1"/>
    <col min="2738" max="2739" width="8" bestFit="1" customWidth="1"/>
    <col min="2740" max="2740" width="11" bestFit="1" customWidth="1"/>
    <col min="2741" max="2742" width="12" bestFit="1" customWidth="1"/>
    <col min="2743" max="2746" width="8" bestFit="1" customWidth="1"/>
    <col min="2747" max="2747" width="11" bestFit="1" customWidth="1"/>
    <col min="2748" max="2749" width="8" bestFit="1" customWidth="1"/>
    <col min="2750" max="2750" width="11" bestFit="1" customWidth="1"/>
    <col min="2751" max="2760" width="8" bestFit="1" customWidth="1"/>
    <col min="2761" max="2762" width="12" bestFit="1" customWidth="1"/>
    <col min="2763" max="2763" width="11" bestFit="1" customWidth="1"/>
    <col min="2764" max="2764" width="8" bestFit="1" customWidth="1"/>
    <col min="2765" max="2778" width="9" bestFit="1" customWidth="1"/>
    <col min="2779" max="2780" width="12" bestFit="1" customWidth="1"/>
    <col min="2781" max="2786" width="9" bestFit="1" customWidth="1"/>
    <col min="2787" max="2788" width="12" bestFit="1" customWidth="1"/>
    <col min="2789" max="2790" width="9" bestFit="1" customWidth="1"/>
    <col min="2791" max="2791" width="12" bestFit="1" customWidth="1"/>
    <col min="2792" max="2792" width="9" bestFit="1" customWidth="1"/>
    <col min="2793" max="2793" width="12" bestFit="1" customWidth="1"/>
    <col min="2794" max="2800" width="9" bestFit="1" customWidth="1"/>
    <col min="2801" max="2801" width="1.5703125" bestFit="1" customWidth="1"/>
    <col min="2802" max="2802" width="7.42578125" bestFit="1" customWidth="1"/>
    <col min="2803" max="2803" width="12.42578125" bestFit="1" customWidth="1"/>
    <col min="2804" max="2804" width="11.42578125" bestFit="1" customWidth="1"/>
    <col min="2805" max="2805" width="11.5703125" bestFit="1" customWidth="1"/>
    <col min="2806" max="2806" width="14.5703125" bestFit="1" customWidth="1"/>
    <col min="2807" max="2807" width="8.5703125" bestFit="1" customWidth="1"/>
    <col min="2808" max="2808" width="11.5703125" bestFit="1" customWidth="1"/>
    <col min="2809" max="2809" width="8.5703125" bestFit="1" customWidth="1"/>
    <col min="2810" max="2810" width="11.5703125" bestFit="1" customWidth="1"/>
    <col min="2811" max="2811" width="8.5703125" bestFit="1" customWidth="1"/>
    <col min="2812" max="2812" width="11.5703125" bestFit="1" customWidth="1"/>
    <col min="2813" max="2813" width="8.5703125" bestFit="1" customWidth="1"/>
    <col min="2814" max="2814" width="11.5703125" bestFit="1" customWidth="1"/>
    <col min="2815" max="2815" width="8.5703125" bestFit="1" customWidth="1"/>
    <col min="2816" max="2816" width="11.5703125" bestFit="1" customWidth="1"/>
    <col min="2817" max="2817" width="8.5703125" bestFit="1" customWidth="1"/>
    <col min="2818" max="2818" width="11.5703125" bestFit="1" customWidth="1"/>
    <col min="2819" max="2819" width="8.5703125" bestFit="1" customWidth="1"/>
    <col min="2820" max="2820" width="11.5703125" bestFit="1" customWidth="1"/>
    <col min="2821" max="2821" width="8.5703125" bestFit="1" customWidth="1"/>
    <col min="2822" max="2822" width="11.5703125" bestFit="1" customWidth="1"/>
    <col min="2823" max="2823" width="8.5703125" bestFit="1" customWidth="1"/>
    <col min="2824" max="2824" width="11.5703125" bestFit="1" customWidth="1"/>
    <col min="2825" max="2825" width="8.5703125" bestFit="1" customWidth="1"/>
    <col min="2826" max="2826" width="11.5703125" bestFit="1" customWidth="1"/>
    <col min="2827" max="2827" width="8.5703125" bestFit="1" customWidth="1"/>
    <col min="2828" max="2828" width="11.5703125" bestFit="1" customWidth="1"/>
    <col min="2829" max="2829" width="8.5703125" bestFit="1" customWidth="1"/>
    <col min="2830" max="2830" width="11.5703125" bestFit="1" customWidth="1"/>
    <col min="2831" max="2831" width="8.5703125" bestFit="1" customWidth="1"/>
    <col min="2832" max="2832" width="11.5703125" bestFit="1" customWidth="1"/>
    <col min="2833" max="2833" width="8.5703125" bestFit="1" customWidth="1"/>
    <col min="2834" max="2834" width="11.5703125" bestFit="1" customWidth="1"/>
    <col min="2835" max="2835" width="13.5703125" bestFit="1" customWidth="1"/>
    <col min="2836" max="2836" width="21.5703125" bestFit="1" customWidth="1"/>
    <col min="2837" max="2837" width="8.5703125" bestFit="1" customWidth="1"/>
    <col min="2838" max="2838" width="11.5703125" bestFit="1" customWidth="1"/>
    <col min="2839" max="2839" width="8.5703125" bestFit="1" customWidth="1"/>
    <col min="2840" max="2840" width="11.5703125" bestFit="1" customWidth="1"/>
    <col min="2841" max="2841" width="8.5703125" bestFit="1" customWidth="1"/>
    <col min="2842" max="2842" width="11.5703125" bestFit="1" customWidth="1"/>
    <col min="2843" max="2843" width="8.5703125" bestFit="1" customWidth="1"/>
    <col min="2844" max="2844" width="11.5703125" bestFit="1" customWidth="1"/>
    <col min="2845" max="2845" width="12" bestFit="1" customWidth="1"/>
    <col min="2846" max="2846" width="11.5703125" bestFit="1" customWidth="1"/>
    <col min="2847" max="2847" width="8.5703125" bestFit="1" customWidth="1"/>
    <col min="2848" max="2848" width="11.5703125" bestFit="1" customWidth="1"/>
    <col min="2849" max="2849" width="8.5703125" bestFit="1" customWidth="1"/>
    <col min="2850" max="2850" width="11.5703125" bestFit="1" customWidth="1"/>
    <col min="2851" max="2851" width="8.5703125" bestFit="1" customWidth="1"/>
    <col min="2852" max="2852" width="11.5703125" bestFit="1" customWidth="1"/>
    <col min="2853" max="2853" width="8.5703125" bestFit="1" customWidth="1"/>
    <col min="2854" max="2854" width="11.5703125" bestFit="1" customWidth="1"/>
    <col min="2855" max="2855" width="8.5703125" bestFit="1" customWidth="1"/>
    <col min="2856" max="2856" width="11.5703125" bestFit="1" customWidth="1"/>
    <col min="2857" max="2857" width="8.5703125" bestFit="1" customWidth="1"/>
    <col min="2858" max="2858" width="11.5703125" bestFit="1" customWidth="1"/>
    <col min="2859" max="2859" width="8.5703125" bestFit="1" customWidth="1"/>
    <col min="2860" max="2860" width="11.5703125" bestFit="1" customWidth="1"/>
    <col min="2861" max="2861" width="8.5703125" bestFit="1" customWidth="1"/>
    <col min="2862" max="2862" width="11.5703125" bestFit="1" customWidth="1"/>
    <col min="2863" max="2863" width="8.5703125" bestFit="1" customWidth="1"/>
    <col min="2864" max="2864" width="11.5703125" bestFit="1" customWidth="1"/>
    <col min="2865" max="2865" width="8.5703125" bestFit="1" customWidth="1"/>
    <col min="2866" max="2866" width="11.5703125" bestFit="1" customWidth="1"/>
    <col min="2867" max="2867" width="12" bestFit="1" customWidth="1"/>
    <col min="2868" max="2868" width="11.5703125" bestFit="1" customWidth="1"/>
    <col min="2869" max="2869" width="8.5703125" bestFit="1" customWidth="1"/>
    <col min="2870" max="2870" width="11.5703125" bestFit="1" customWidth="1"/>
    <col min="2871" max="2871" width="8.5703125" bestFit="1" customWidth="1"/>
    <col min="2872" max="2872" width="11.5703125" bestFit="1" customWidth="1"/>
    <col min="2873" max="2873" width="12" bestFit="1" customWidth="1"/>
    <col min="2874" max="2874" width="11.5703125" bestFit="1" customWidth="1"/>
    <col min="2875" max="2875" width="12" bestFit="1" customWidth="1"/>
    <col min="2876" max="2876" width="11.5703125" bestFit="1" customWidth="1"/>
    <col min="2877" max="2877" width="8.5703125" bestFit="1" customWidth="1"/>
    <col min="2878" max="2878" width="11.5703125" bestFit="1" customWidth="1"/>
    <col min="2879" max="2879" width="8.5703125" bestFit="1" customWidth="1"/>
    <col min="2880" max="2880" width="11.5703125" bestFit="1" customWidth="1"/>
    <col min="2881" max="2881" width="12" bestFit="1" customWidth="1"/>
    <col min="2882" max="2882" width="11.5703125" bestFit="1" customWidth="1"/>
    <col min="2883" max="2883" width="8.5703125" bestFit="1" customWidth="1"/>
    <col min="2884" max="2884" width="11.5703125" bestFit="1" customWidth="1"/>
    <col min="2885" max="2885" width="8.5703125" bestFit="1" customWidth="1"/>
    <col min="2886" max="2886" width="11.5703125" bestFit="1" customWidth="1"/>
    <col min="2887" max="2887" width="8.5703125" bestFit="1" customWidth="1"/>
    <col min="2888" max="2888" width="11.5703125" bestFit="1" customWidth="1"/>
    <col min="2889" max="2889" width="8.5703125" bestFit="1" customWidth="1"/>
    <col min="2890" max="2890" width="11.5703125" bestFit="1" customWidth="1"/>
    <col min="2891" max="2891" width="8.5703125" bestFit="1" customWidth="1"/>
    <col min="2892" max="2892" width="11.5703125" bestFit="1" customWidth="1"/>
    <col min="2893" max="2893" width="12" bestFit="1" customWidth="1"/>
    <col min="2894" max="2894" width="11.5703125" bestFit="1" customWidth="1"/>
    <col min="2895" max="2895" width="8.5703125" bestFit="1" customWidth="1"/>
    <col min="2896" max="2896" width="11.5703125" bestFit="1" customWidth="1"/>
    <col min="2897" max="2897" width="12" bestFit="1" customWidth="1"/>
    <col min="2898" max="2898" width="11.5703125" bestFit="1" customWidth="1"/>
    <col min="2899" max="2899" width="8.5703125" bestFit="1" customWidth="1"/>
    <col min="2900" max="2900" width="11.5703125" bestFit="1" customWidth="1"/>
    <col min="2901" max="2901" width="8.5703125" bestFit="1" customWidth="1"/>
    <col min="2902" max="2902" width="11.5703125" bestFit="1" customWidth="1"/>
    <col min="2903" max="2903" width="8.5703125" bestFit="1" customWidth="1"/>
    <col min="2904" max="2904" width="11.5703125" bestFit="1" customWidth="1"/>
    <col min="2905" max="2905" width="8.5703125" bestFit="1" customWidth="1"/>
    <col min="2906" max="2906" width="11.5703125" bestFit="1" customWidth="1"/>
    <col min="2907" max="2907" width="8.5703125" bestFit="1" customWidth="1"/>
    <col min="2908" max="2908" width="11.5703125" bestFit="1" customWidth="1"/>
    <col min="2909" max="2909" width="8.5703125" bestFit="1" customWidth="1"/>
    <col min="2910" max="2910" width="11.5703125" bestFit="1" customWidth="1"/>
    <col min="2911" max="2911" width="13.5703125" bestFit="1" customWidth="1"/>
    <col min="2912" max="2912" width="21.5703125" bestFit="1" customWidth="1"/>
    <col min="2913" max="2913" width="8.5703125" bestFit="1" customWidth="1"/>
    <col min="2914" max="2914" width="11.5703125" bestFit="1" customWidth="1"/>
    <col min="2915" max="2915" width="8.5703125" bestFit="1" customWidth="1"/>
    <col min="2916" max="2916" width="11.5703125" bestFit="1" customWidth="1"/>
    <col min="2917" max="2917" width="8.5703125" bestFit="1" customWidth="1"/>
    <col min="2918" max="2918" width="11.5703125" bestFit="1" customWidth="1"/>
    <col min="2919" max="2919" width="12" bestFit="1" customWidth="1"/>
    <col min="2920" max="2920" width="11.5703125" bestFit="1" customWidth="1"/>
    <col min="2921" max="2921" width="8.5703125" bestFit="1" customWidth="1"/>
    <col min="2922" max="2922" width="11.5703125" bestFit="1" customWidth="1"/>
    <col min="2923" max="2923" width="8.5703125" bestFit="1" customWidth="1"/>
    <col min="2924" max="2925" width="11.5703125" bestFit="1" customWidth="1"/>
    <col min="2926" max="2926" width="14.5703125" bestFit="1" customWidth="1"/>
    <col min="2927" max="2927" width="8.5703125" bestFit="1" customWidth="1"/>
    <col min="2928" max="2928" width="11.5703125" bestFit="1" customWidth="1"/>
    <col min="2929" max="2929" width="12" bestFit="1" customWidth="1"/>
    <col min="2930" max="2930" width="11.5703125" bestFit="1" customWidth="1"/>
    <col min="2931" max="2931" width="8.5703125" bestFit="1" customWidth="1"/>
    <col min="2932" max="2932" width="11.5703125" bestFit="1" customWidth="1"/>
    <col min="2933" max="2933" width="8.5703125" bestFit="1" customWidth="1"/>
    <col min="2934" max="2934" width="11.5703125" bestFit="1" customWidth="1"/>
    <col min="2935" max="2935" width="8.5703125" bestFit="1" customWidth="1"/>
    <col min="2936" max="2936" width="11.5703125" bestFit="1" customWidth="1"/>
    <col min="2937" max="2937" width="8.5703125" bestFit="1" customWidth="1"/>
    <col min="2938" max="2938" width="11.5703125" bestFit="1" customWidth="1"/>
    <col min="2939" max="2939" width="12" bestFit="1" customWidth="1"/>
    <col min="2940" max="2940" width="11.5703125" bestFit="1" customWidth="1"/>
    <col min="2941" max="2941" width="8.5703125" bestFit="1" customWidth="1"/>
    <col min="2942" max="2942" width="11.5703125" bestFit="1" customWidth="1"/>
    <col min="2943" max="2943" width="8.5703125" bestFit="1" customWidth="1"/>
    <col min="2944" max="2945" width="11.5703125" bestFit="1" customWidth="1"/>
    <col min="2946" max="2946" width="14.5703125" bestFit="1" customWidth="1"/>
    <col min="2947" max="2947" width="12" bestFit="1" customWidth="1"/>
    <col min="2948" max="2948" width="11.5703125" bestFit="1" customWidth="1"/>
    <col min="2949" max="2949" width="8.5703125" bestFit="1" customWidth="1"/>
    <col min="2950" max="2950" width="11.5703125" bestFit="1" customWidth="1"/>
    <col min="2951" max="2951" width="8.5703125" bestFit="1" customWidth="1"/>
    <col min="2952" max="2952" width="11.5703125" bestFit="1" customWidth="1"/>
    <col min="2953" max="2953" width="8.5703125" bestFit="1" customWidth="1"/>
    <col min="2954" max="2954" width="11.5703125" bestFit="1" customWidth="1"/>
    <col min="2955" max="2955" width="8.5703125" bestFit="1" customWidth="1"/>
    <col min="2956" max="2956" width="11.5703125" bestFit="1" customWidth="1"/>
    <col min="2957" max="2957" width="8.5703125" bestFit="1" customWidth="1"/>
    <col min="2958" max="2958" width="11.5703125" bestFit="1" customWidth="1"/>
    <col min="2959" max="2959" width="8.5703125" bestFit="1" customWidth="1"/>
    <col min="2960" max="2960" width="11.5703125" bestFit="1" customWidth="1"/>
    <col min="2961" max="2961" width="8.5703125" bestFit="1" customWidth="1"/>
    <col min="2962" max="2962" width="11.5703125" bestFit="1" customWidth="1"/>
    <col min="2963" max="2963" width="8.5703125" bestFit="1" customWidth="1"/>
    <col min="2964" max="2964" width="11.5703125" bestFit="1" customWidth="1"/>
    <col min="2965" max="2965" width="8.5703125" bestFit="1" customWidth="1"/>
    <col min="2966" max="2966" width="11.5703125" bestFit="1" customWidth="1"/>
    <col min="2967" max="2967" width="8.5703125" bestFit="1" customWidth="1"/>
    <col min="2968" max="2968" width="11.5703125" bestFit="1" customWidth="1"/>
    <col min="2969" max="2969" width="8.5703125" bestFit="1" customWidth="1"/>
    <col min="2970" max="2970" width="11.5703125" bestFit="1" customWidth="1"/>
    <col min="2971" max="2971" width="8.5703125" bestFit="1" customWidth="1"/>
    <col min="2972" max="2972" width="11.5703125" bestFit="1" customWidth="1"/>
    <col min="2973" max="2973" width="8.5703125" bestFit="1" customWidth="1"/>
    <col min="2974" max="2974" width="11.5703125" bestFit="1" customWidth="1"/>
    <col min="2975" max="2975" width="8.5703125" bestFit="1" customWidth="1"/>
    <col min="2976" max="2976" width="11.5703125" bestFit="1" customWidth="1"/>
    <col min="2977" max="2977" width="8.5703125" bestFit="1" customWidth="1"/>
    <col min="2978" max="2978" width="11.5703125" bestFit="1" customWidth="1"/>
    <col min="2979" max="2979" width="8.5703125" bestFit="1" customWidth="1"/>
    <col min="2980" max="2980" width="11.5703125" bestFit="1" customWidth="1"/>
    <col min="2981" max="2981" width="8.5703125" bestFit="1" customWidth="1"/>
    <col min="2982" max="2982" width="11.5703125" bestFit="1" customWidth="1"/>
    <col min="2983" max="2983" width="8.5703125" bestFit="1" customWidth="1"/>
    <col min="2984" max="2984" width="11.5703125" bestFit="1" customWidth="1"/>
    <col min="2985" max="2985" width="8.5703125" bestFit="1" customWidth="1"/>
    <col min="2986" max="2986" width="11.5703125" bestFit="1" customWidth="1"/>
    <col min="2987" max="2987" width="8.5703125" bestFit="1" customWidth="1"/>
    <col min="2988" max="2988" width="11.5703125" bestFit="1" customWidth="1"/>
    <col min="2989" max="2989" width="12" bestFit="1" customWidth="1"/>
    <col min="2990" max="2990" width="11.5703125" bestFit="1" customWidth="1"/>
    <col min="2991" max="2991" width="8.5703125" bestFit="1" customWidth="1"/>
    <col min="2992" max="2992" width="11.5703125" bestFit="1" customWidth="1"/>
    <col min="2993" max="2993" width="8.5703125" bestFit="1" customWidth="1"/>
    <col min="2994" max="2994" width="11.5703125" bestFit="1" customWidth="1"/>
    <col min="2995" max="2995" width="8.5703125" bestFit="1" customWidth="1"/>
    <col min="2996" max="2996" width="11.5703125" bestFit="1" customWidth="1"/>
    <col min="2997" max="2997" width="8.5703125" bestFit="1" customWidth="1"/>
    <col min="2998" max="2998" width="11.5703125" bestFit="1" customWidth="1"/>
    <col min="2999" max="2999" width="8.5703125" bestFit="1" customWidth="1"/>
    <col min="3000" max="3000" width="11.5703125" bestFit="1" customWidth="1"/>
    <col min="3001" max="3001" width="8.5703125" bestFit="1" customWidth="1"/>
    <col min="3002" max="3002" width="11.5703125" bestFit="1" customWidth="1"/>
    <col min="3003" max="3003" width="8.5703125" bestFit="1" customWidth="1"/>
    <col min="3004" max="3004" width="11.5703125" bestFit="1" customWidth="1"/>
    <col min="3005" max="3005" width="8.5703125" bestFit="1" customWidth="1"/>
    <col min="3006" max="3006" width="11.5703125" bestFit="1" customWidth="1"/>
    <col min="3007" max="3007" width="8.5703125" bestFit="1" customWidth="1"/>
    <col min="3008" max="3008" width="11.5703125" bestFit="1" customWidth="1"/>
    <col min="3009" max="3009" width="8.5703125" bestFit="1" customWidth="1"/>
    <col min="3010" max="3010" width="11.5703125" bestFit="1" customWidth="1"/>
    <col min="3011" max="3011" width="8.5703125" bestFit="1" customWidth="1"/>
    <col min="3012" max="3012" width="11.5703125" bestFit="1" customWidth="1"/>
    <col min="3013" max="3013" width="8.5703125" bestFit="1" customWidth="1"/>
    <col min="3014" max="3014" width="11.5703125" bestFit="1" customWidth="1"/>
    <col min="3015" max="3015" width="12" bestFit="1" customWidth="1"/>
    <col min="3016" max="3016" width="11.5703125" bestFit="1" customWidth="1"/>
    <col min="3017" max="3017" width="8.5703125" bestFit="1" customWidth="1"/>
    <col min="3018" max="3018" width="11.5703125" bestFit="1" customWidth="1"/>
    <col min="3019" max="3019" width="8.5703125" bestFit="1" customWidth="1"/>
    <col min="3020" max="3020" width="11.5703125" bestFit="1" customWidth="1"/>
    <col min="3021" max="3021" width="8.5703125" bestFit="1" customWidth="1"/>
    <col min="3022" max="3022" width="11.5703125" bestFit="1" customWidth="1"/>
    <col min="3023" max="3023" width="8.5703125" bestFit="1" customWidth="1"/>
    <col min="3024" max="3024" width="11.5703125" bestFit="1" customWidth="1"/>
    <col min="3025" max="3025" width="8.5703125" bestFit="1" customWidth="1"/>
    <col min="3026" max="3026" width="11.5703125" bestFit="1" customWidth="1"/>
    <col min="3027" max="3027" width="8.5703125" bestFit="1" customWidth="1"/>
    <col min="3028" max="3028" width="11.5703125" bestFit="1" customWidth="1"/>
    <col min="3029" max="3029" width="8.5703125" bestFit="1" customWidth="1"/>
    <col min="3030" max="3030" width="11.5703125" bestFit="1" customWidth="1"/>
    <col min="3031" max="3031" width="8.5703125" bestFit="1" customWidth="1"/>
    <col min="3032" max="3032" width="11.5703125" bestFit="1" customWidth="1"/>
    <col min="3033" max="3033" width="8.5703125" bestFit="1" customWidth="1"/>
    <col min="3034" max="3034" width="11.5703125" bestFit="1" customWidth="1"/>
    <col min="3035" max="3035" width="8.5703125" bestFit="1" customWidth="1"/>
    <col min="3036" max="3037" width="11.5703125" bestFit="1" customWidth="1"/>
    <col min="3038" max="3038" width="14.5703125" bestFit="1" customWidth="1"/>
    <col min="3039" max="3039" width="12" bestFit="1" customWidth="1"/>
    <col min="3040" max="3040" width="11.5703125" bestFit="1" customWidth="1"/>
    <col min="3041" max="3041" width="13.5703125" bestFit="1" customWidth="1"/>
    <col min="3042" max="3042" width="21.5703125" bestFit="1" customWidth="1"/>
    <col min="3043" max="3043" width="8.5703125" bestFit="1" customWidth="1"/>
    <col min="3044" max="3044" width="11.5703125" bestFit="1" customWidth="1"/>
    <col min="3045" max="3045" width="8.5703125" bestFit="1" customWidth="1"/>
    <col min="3046" max="3046" width="11.5703125" bestFit="1" customWidth="1"/>
    <col min="3047" max="3047" width="8.5703125" bestFit="1" customWidth="1"/>
    <col min="3048" max="3048" width="11.5703125" bestFit="1" customWidth="1"/>
    <col min="3049" max="3049" width="8.5703125" bestFit="1" customWidth="1"/>
    <col min="3050" max="3050" width="11.5703125" bestFit="1" customWidth="1"/>
    <col min="3051" max="3051" width="8.5703125" bestFit="1" customWidth="1"/>
    <col min="3052" max="3052" width="11.5703125" bestFit="1" customWidth="1"/>
    <col min="3053" max="3053" width="13.5703125" bestFit="1" customWidth="1"/>
    <col min="3054" max="3054" width="21.5703125" bestFit="1" customWidth="1"/>
    <col min="3055" max="3055" width="8.5703125" bestFit="1" customWidth="1"/>
    <col min="3056" max="3056" width="11.5703125" bestFit="1" customWidth="1"/>
    <col min="3057" max="3057" width="12" bestFit="1" customWidth="1"/>
    <col min="3058" max="3058" width="11.5703125" bestFit="1" customWidth="1"/>
    <col min="3059" max="3059" width="8.5703125" bestFit="1" customWidth="1"/>
    <col min="3060" max="3061" width="11.5703125" bestFit="1" customWidth="1"/>
    <col min="3062" max="3062" width="14.5703125" bestFit="1" customWidth="1"/>
    <col min="3063" max="3063" width="8.5703125" bestFit="1" customWidth="1"/>
    <col min="3064" max="3064" width="11.5703125" bestFit="1" customWidth="1"/>
    <col min="3065" max="3065" width="12" bestFit="1" customWidth="1"/>
    <col min="3066" max="3066" width="11.5703125" bestFit="1" customWidth="1"/>
    <col min="3067" max="3067" width="8.5703125" bestFit="1" customWidth="1"/>
    <col min="3068" max="3068" width="11.5703125" bestFit="1" customWidth="1"/>
    <col min="3069" max="3069" width="8.5703125" bestFit="1" customWidth="1"/>
    <col min="3070" max="3070" width="11.5703125" bestFit="1" customWidth="1"/>
    <col min="3071" max="3071" width="8.5703125" bestFit="1" customWidth="1"/>
    <col min="3072" max="3073" width="11.5703125" bestFit="1" customWidth="1"/>
    <col min="3074" max="3074" width="14.5703125" bestFit="1" customWidth="1"/>
    <col min="3075" max="3075" width="8.5703125" bestFit="1" customWidth="1"/>
    <col min="3076" max="3077" width="11.5703125" bestFit="1" customWidth="1"/>
    <col min="3078" max="3078" width="14.5703125" bestFit="1" customWidth="1"/>
    <col min="3079" max="3079" width="12" bestFit="1" customWidth="1"/>
    <col min="3080" max="3080" width="11.5703125" bestFit="1" customWidth="1"/>
    <col min="3081" max="3081" width="12" bestFit="1" customWidth="1"/>
    <col min="3082" max="3082" width="11.5703125" bestFit="1" customWidth="1"/>
    <col min="3083" max="3083" width="8.5703125" bestFit="1" customWidth="1"/>
    <col min="3084" max="3084" width="11.5703125" bestFit="1" customWidth="1"/>
    <col min="3085" max="3085" width="8.5703125" bestFit="1" customWidth="1"/>
    <col min="3086" max="3086" width="11.5703125" bestFit="1" customWidth="1"/>
    <col min="3087" max="3087" width="8.5703125" bestFit="1" customWidth="1"/>
    <col min="3088" max="3088" width="11.5703125" bestFit="1" customWidth="1"/>
    <col min="3089" max="3089" width="8.5703125" bestFit="1" customWidth="1"/>
    <col min="3090" max="3090" width="11.5703125" bestFit="1" customWidth="1"/>
    <col min="3091" max="3091" width="8.5703125" bestFit="1" customWidth="1"/>
    <col min="3092" max="3092" width="11.5703125" bestFit="1" customWidth="1"/>
    <col min="3093" max="3093" width="8.5703125" bestFit="1" customWidth="1"/>
    <col min="3094" max="3094" width="11.5703125" bestFit="1" customWidth="1"/>
    <col min="3095" max="3095" width="8.5703125" bestFit="1" customWidth="1"/>
    <col min="3096" max="3096" width="11.5703125" bestFit="1" customWidth="1"/>
    <col min="3097" max="3097" width="8.5703125" bestFit="1" customWidth="1"/>
    <col min="3098" max="3098" width="11.5703125" bestFit="1" customWidth="1"/>
    <col min="3099" max="3099" width="8.5703125" bestFit="1" customWidth="1"/>
    <col min="3100" max="3100" width="11.5703125" bestFit="1" customWidth="1"/>
    <col min="3101" max="3101" width="8.5703125" bestFit="1" customWidth="1"/>
    <col min="3102" max="3102" width="11.5703125" bestFit="1" customWidth="1"/>
    <col min="3103" max="3103" width="12" bestFit="1" customWidth="1"/>
    <col min="3104" max="3104" width="11.5703125" bestFit="1" customWidth="1"/>
    <col min="3105" max="3105" width="8.5703125" bestFit="1" customWidth="1"/>
    <col min="3106" max="3106" width="11.5703125" bestFit="1" customWidth="1"/>
    <col min="3107" max="3107" width="8.5703125" bestFit="1" customWidth="1"/>
    <col min="3108" max="3108" width="11.5703125" bestFit="1" customWidth="1"/>
    <col min="3109" max="3109" width="8.5703125" bestFit="1" customWidth="1"/>
    <col min="3110" max="3110" width="11.5703125" bestFit="1" customWidth="1"/>
    <col min="3111" max="3111" width="8.5703125" bestFit="1" customWidth="1"/>
    <col min="3112" max="3112" width="11.5703125" bestFit="1" customWidth="1"/>
    <col min="3113" max="3113" width="8.5703125" bestFit="1" customWidth="1"/>
    <col min="3114" max="3114" width="11.5703125" bestFit="1" customWidth="1"/>
    <col min="3115" max="3115" width="8.5703125" bestFit="1" customWidth="1"/>
    <col min="3116" max="3116" width="11.5703125" bestFit="1" customWidth="1"/>
    <col min="3117" max="3117" width="8.5703125" bestFit="1" customWidth="1"/>
    <col min="3118" max="3118" width="11.5703125" bestFit="1" customWidth="1"/>
    <col min="3119" max="3119" width="13.5703125" bestFit="1" customWidth="1"/>
    <col min="3120" max="3120" width="21.5703125" bestFit="1" customWidth="1"/>
    <col min="3121" max="3121" width="8.5703125" bestFit="1" customWidth="1"/>
    <col min="3122" max="3122" width="11.5703125" bestFit="1" customWidth="1"/>
    <col min="3123" max="3123" width="8.5703125" bestFit="1" customWidth="1"/>
    <col min="3124" max="3124" width="11.5703125" bestFit="1" customWidth="1"/>
    <col min="3125" max="3125" width="8.5703125" bestFit="1" customWidth="1"/>
    <col min="3126" max="3126" width="11.5703125" bestFit="1" customWidth="1"/>
    <col min="3127" max="3127" width="8.5703125" bestFit="1" customWidth="1"/>
    <col min="3128" max="3128" width="11.5703125" bestFit="1" customWidth="1"/>
    <col min="3129" max="3129" width="12" bestFit="1" customWidth="1"/>
    <col min="3130" max="3130" width="11.5703125" bestFit="1" customWidth="1"/>
    <col min="3131" max="3131" width="8.5703125" bestFit="1" customWidth="1"/>
    <col min="3132" max="3132" width="11.5703125" bestFit="1" customWidth="1"/>
    <col min="3133" max="3133" width="12" bestFit="1" customWidth="1"/>
    <col min="3134" max="3134" width="11.5703125" bestFit="1" customWidth="1"/>
    <col min="3135" max="3135" width="8.5703125" bestFit="1" customWidth="1"/>
    <col min="3136" max="3136" width="11.5703125" bestFit="1" customWidth="1"/>
    <col min="3137" max="3137" width="8.5703125" bestFit="1" customWidth="1"/>
    <col min="3138" max="3138" width="11.5703125" bestFit="1" customWidth="1"/>
    <col min="3139" max="3139" width="8.5703125" bestFit="1" customWidth="1"/>
    <col min="3140" max="3140" width="11.5703125" bestFit="1" customWidth="1"/>
    <col min="3141" max="3141" width="8.5703125" bestFit="1" customWidth="1"/>
    <col min="3142" max="3142" width="11.5703125" bestFit="1" customWidth="1"/>
    <col min="3143" max="3143" width="8.5703125" bestFit="1" customWidth="1"/>
    <col min="3144" max="3144" width="11.5703125" bestFit="1" customWidth="1"/>
    <col min="3145" max="3145" width="12" bestFit="1" customWidth="1"/>
    <col min="3146" max="3146" width="11.5703125" bestFit="1" customWidth="1"/>
    <col min="3147" max="3147" width="8.5703125" bestFit="1" customWidth="1"/>
    <col min="3148" max="3148" width="11.5703125" bestFit="1" customWidth="1"/>
    <col min="3149" max="3149" width="8.5703125" bestFit="1" customWidth="1"/>
    <col min="3150" max="3151" width="11.5703125" bestFit="1" customWidth="1"/>
    <col min="3152" max="3152" width="14.5703125" bestFit="1" customWidth="1"/>
    <col min="3153" max="3153" width="12" bestFit="1" customWidth="1"/>
    <col min="3154" max="3154" width="11.5703125" bestFit="1" customWidth="1"/>
    <col min="3155" max="3155" width="8.5703125" bestFit="1" customWidth="1"/>
    <col min="3156" max="3156" width="11.5703125" bestFit="1" customWidth="1"/>
    <col min="3157" max="3157" width="8.5703125" bestFit="1" customWidth="1"/>
    <col min="3158" max="3158" width="11.5703125" bestFit="1" customWidth="1"/>
    <col min="3159" max="3159" width="8.5703125" bestFit="1" customWidth="1"/>
    <col min="3160" max="3160" width="11.5703125" bestFit="1" customWidth="1"/>
    <col min="3161" max="3161" width="8.5703125" bestFit="1" customWidth="1"/>
    <col min="3162" max="3162" width="11.5703125" bestFit="1" customWidth="1"/>
    <col min="3163" max="3163" width="8.5703125" bestFit="1" customWidth="1"/>
    <col min="3164" max="3164" width="11.5703125" bestFit="1" customWidth="1"/>
    <col min="3165" max="3165" width="8.5703125" bestFit="1" customWidth="1"/>
    <col min="3166" max="3166" width="11.5703125" bestFit="1" customWidth="1"/>
    <col min="3167" max="3167" width="8.5703125" bestFit="1" customWidth="1"/>
    <col min="3168" max="3169" width="11.5703125" bestFit="1" customWidth="1"/>
    <col min="3170" max="3170" width="14.5703125" bestFit="1" customWidth="1"/>
    <col min="3171" max="3171" width="8.5703125" bestFit="1" customWidth="1"/>
    <col min="3172" max="3172" width="11.5703125" bestFit="1" customWidth="1"/>
    <col min="3173" max="3173" width="8.5703125" bestFit="1" customWidth="1"/>
    <col min="3174" max="3174" width="11.5703125" bestFit="1" customWidth="1"/>
    <col min="3175" max="3175" width="8.5703125" bestFit="1" customWidth="1"/>
    <col min="3176" max="3176" width="11.5703125" bestFit="1" customWidth="1"/>
    <col min="3177" max="3177" width="8.5703125" bestFit="1" customWidth="1"/>
    <col min="3178" max="3178" width="11.5703125" bestFit="1" customWidth="1"/>
    <col min="3179" max="3179" width="8.5703125" bestFit="1" customWidth="1"/>
    <col min="3180" max="3180" width="11.5703125" bestFit="1" customWidth="1"/>
    <col min="3181" max="3181" width="12" bestFit="1" customWidth="1"/>
    <col min="3182" max="3182" width="11.5703125" bestFit="1" customWidth="1"/>
    <col min="3183" max="3183" width="12" bestFit="1" customWidth="1"/>
    <col min="3184" max="3184" width="11.5703125" bestFit="1" customWidth="1"/>
    <col min="3185" max="3185" width="8.5703125" bestFit="1" customWidth="1"/>
    <col min="3186" max="3186" width="11.5703125" bestFit="1" customWidth="1"/>
    <col min="3187" max="3187" width="8.5703125" bestFit="1" customWidth="1"/>
    <col min="3188" max="3188" width="11.5703125" bestFit="1" customWidth="1"/>
    <col min="3189" max="3189" width="12.5703125" bestFit="1" customWidth="1"/>
    <col min="3190" max="3190" width="21.5703125" bestFit="1" customWidth="1"/>
    <col min="3191" max="3191" width="8.5703125" bestFit="1" customWidth="1"/>
    <col min="3192" max="3192" width="11.5703125" bestFit="1" customWidth="1"/>
    <col min="3193" max="3193" width="8.5703125" bestFit="1" customWidth="1"/>
    <col min="3194" max="3194" width="11.5703125" bestFit="1" customWidth="1"/>
    <col min="3195" max="3195" width="12" bestFit="1" customWidth="1"/>
    <col min="3196" max="3196" width="11.5703125" bestFit="1" customWidth="1"/>
    <col min="3197" max="3197" width="8.5703125" bestFit="1" customWidth="1"/>
    <col min="3198" max="3198" width="11.5703125" bestFit="1" customWidth="1"/>
    <col min="3199" max="3199" width="8.5703125" bestFit="1" customWidth="1"/>
    <col min="3200" max="3200" width="11.5703125" bestFit="1" customWidth="1"/>
    <col min="3201" max="3201" width="8.5703125" bestFit="1" customWidth="1"/>
    <col min="3202" max="3202" width="11.5703125" bestFit="1" customWidth="1"/>
    <col min="3203" max="3203" width="8.5703125" bestFit="1" customWidth="1"/>
    <col min="3204" max="3204" width="11.5703125" bestFit="1" customWidth="1"/>
    <col min="3205" max="3205" width="8.5703125" bestFit="1" customWidth="1"/>
    <col min="3206" max="3206" width="11.5703125" bestFit="1" customWidth="1"/>
    <col min="3207" max="3207" width="8.5703125" bestFit="1" customWidth="1"/>
    <col min="3208" max="3208" width="11.5703125" bestFit="1" customWidth="1"/>
    <col min="3209" max="3209" width="8.5703125" bestFit="1" customWidth="1"/>
    <col min="3210" max="3210" width="11.5703125" bestFit="1" customWidth="1"/>
    <col min="3211" max="3211" width="8.5703125" bestFit="1" customWidth="1"/>
    <col min="3212" max="3213" width="11.5703125" bestFit="1" customWidth="1"/>
    <col min="3214" max="3214" width="14.5703125" bestFit="1" customWidth="1"/>
    <col min="3215" max="3215" width="11.5703125" bestFit="1" customWidth="1"/>
    <col min="3216" max="3216" width="14.5703125" bestFit="1" customWidth="1"/>
    <col min="3217" max="3217" width="12" bestFit="1" customWidth="1"/>
    <col min="3218" max="3218" width="11.5703125" bestFit="1" customWidth="1"/>
    <col min="3219" max="3219" width="8.5703125" bestFit="1" customWidth="1"/>
    <col min="3220" max="3220" width="11.5703125" bestFit="1" customWidth="1"/>
    <col min="3221" max="3221" width="8.5703125" bestFit="1" customWidth="1"/>
    <col min="3222" max="3222" width="11.5703125" bestFit="1" customWidth="1"/>
    <col min="3223" max="3223" width="8.5703125" bestFit="1" customWidth="1"/>
    <col min="3224" max="3224" width="11.5703125" bestFit="1" customWidth="1"/>
    <col min="3225" max="3225" width="8.5703125" bestFit="1" customWidth="1"/>
    <col min="3226" max="3226" width="11.5703125" bestFit="1" customWidth="1"/>
    <col min="3227" max="3227" width="8.5703125" bestFit="1" customWidth="1"/>
    <col min="3228" max="3228" width="11.5703125" bestFit="1" customWidth="1"/>
    <col min="3229" max="3229" width="8.5703125" bestFit="1" customWidth="1"/>
    <col min="3230" max="3230" width="11.5703125" bestFit="1" customWidth="1"/>
    <col min="3231" max="3231" width="8.5703125" bestFit="1" customWidth="1"/>
    <col min="3232" max="3232" width="11.5703125" bestFit="1" customWidth="1"/>
    <col min="3233" max="3233" width="8.5703125" bestFit="1" customWidth="1"/>
    <col min="3234" max="3234" width="11.5703125" bestFit="1" customWidth="1"/>
    <col min="3235" max="3235" width="8.5703125" bestFit="1" customWidth="1"/>
    <col min="3236" max="3236" width="11.5703125" bestFit="1" customWidth="1"/>
    <col min="3237" max="3237" width="8.5703125" bestFit="1" customWidth="1"/>
    <col min="3238" max="3238" width="11.5703125" bestFit="1" customWidth="1"/>
    <col min="3239" max="3239" width="8.5703125" bestFit="1" customWidth="1"/>
    <col min="3240" max="3240" width="11.5703125" bestFit="1" customWidth="1"/>
    <col min="3241" max="3241" width="8.5703125" bestFit="1" customWidth="1"/>
    <col min="3242" max="3242" width="11.5703125" bestFit="1" customWidth="1"/>
    <col min="3243" max="3243" width="8.5703125" bestFit="1" customWidth="1"/>
    <col min="3244" max="3244" width="11.5703125" bestFit="1" customWidth="1"/>
    <col min="3245" max="3245" width="12" bestFit="1" customWidth="1"/>
    <col min="3246" max="3246" width="11.5703125" bestFit="1" customWidth="1"/>
    <col min="3247" max="3247" width="8.5703125" bestFit="1" customWidth="1"/>
    <col min="3248" max="3248" width="11.5703125" bestFit="1" customWidth="1"/>
    <col min="3249" max="3249" width="12" bestFit="1" customWidth="1"/>
    <col min="3250" max="3250" width="11.5703125" bestFit="1" customWidth="1"/>
    <col min="3251" max="3251" width="8.5703125" bestFit="1" customWidth="1"/>
    <col min="3252" max="3252" width="11.5703125" bestFit="1" customWidth="1"/>
    <col min="3253" max="3253" width="8.5703125" bestFit="1" customWidth="1"/>
    <col min="3254" max="3254" width="11.5703125" bestFit="1" customWidth="1"/>
    <col min="3255" max="3255" width="8.5703125" bestFit="1" customWidth="1"/>
    <col min="3256" max="3256" width="11.5703125" bestFit="1" customWidth="1"/>
    <col min="3257" max="3257" width="8.5703125" bestFit="1" customWidth="1"/>
    <col min="3258" max="3258" width="11.5703125" bestFit="1" customWidth="1"/>
    <col min="3259" max="3259" width="8.5703125" bestFit="1" customWidth="1"/>
    <col min="3260" max="3260" width="11.5703125" bestFit="1" customWidth="1"/>
    <col min="3261" max="3261" width="8.5703125" bestFit="1" customWidth="1"/>
    <col min="3262" max="3262" width="11.5703125" bestFit="1" customWidth="1"/>
    <col min="3263" max="3263" width="8.5703125" bestFit="1" customWidth="1"/>
    <col min="3264" max="3264" width="11.5703125" bestFit="1" customWidth="1"/>
    <col min="3265" max="3265" width="8.5703125" bestFit="1" customWidth="1"/>
    <col min="3266" max="3266" width="11.5703125" bestFit="1" customWidth="1"/>
    <col min="3267" max="3267" width="12" bestFit="1" customWidth="1"/>
    <col min="3268" max="3268" width="11.5703125" bestFit="1" customWidth="1"/>
    <col min="3269" max="3269" width="8.5703125" bestFit="1" customWidth="1"/>
    <col min="3270" max="3270" width="11.5703125" bestFit="1" customWidth="1"/>
    <col min="3271" max="3271" width="8.5703125" bestFit="1" customWidth="1"/>
    <col min="3272" max="3273" width="11.5703125" bestFit="1" customWidth="1"/>
    <col min="3274" max="3274" width="21.5703125" bestFit="1" customWidth="1"/>
    <col min="3275" max="3275" width="8.5703125" bestFit="1" customWidth="1"/>
    <col min="3276" max="3276" width="11.5703125" bestFit="1" customWidth="1"/>
    <col min="3277" max="3277" width="12.5703125" bestFit="1" customWidth="1"/>
    <col min="3278" max="3278" width="21.5703125" bestFit="1" customWidth="1"/>
    <col min="3279" max="3279" width="8.5703125" bestFit="1" customWidth="1"/>
    <col min="3280" max="3280" width="11.5703125" bestFit="1" customWidth="1"/>
    <col min="3281" max="3281" width="13.5703125" bestFit="1" customWidth="1"/>
    <col min="3282" max="3282" width="21.5703125" bestFit="1" customWidth="1"/>
    <col min="3283" max="3283" width="8.5703125" bestFit="1" customWidth="1"/>
    <col min="3284" max="3284" width="11.5703125" bestFit="1" customWidth="1"/>
    <col min="3285" max="3285" width="8.5703125" bestFit="1" customWidth="1"/>
    <col min="3286" max="3286" width="11.5703125" bestFit="1" customWidth="1"/>
    <col min="3287" max="3287" width="8.5703125" bestFit="1" customWidth="1"/>
    <col min="3288" max="3288" width="11.5703125" bestFit="1" customWidth="1"/>
    <col min="3289" max="3289" width="8.5703125" bestFit="1" customWidth="1"/>
    <col min="3290" max="3290" width="11.5703125" bestFit="1" customWidth="1"/>
    <col min="3291" max="3291" width="8.5703125" bestFit="1" customWidth="1"/>
    <col min="3292" max="3292" width="11.5703125" bestFit="1" customWidth="1"/>
    <col min="3293" max="3293" width="8.5703125" bestFit="1" customWidth="1"/>
    <col min="3294" max="3294" width="11.5703125" bestFit="1" customWidth="1"/>
    <col min="3295" max="3295" width="8.5703125" bestFit="1" customWidth="1"/>
    <col min="3296" max="3296" width="11.5703125" bestFit="1" customWidth="1"/>
    <col min="3297" max="3297" width="8.5703125" bestFit="1" customWidth="1"/>
    <col min="3298" max="3298" width="11.5703125" bestFit="1" customWidth="1"/>
    <col min="3299" max="3299" width="8.5703125" bestFit="1" customWidth="1"/>
    <col min="3300" max="3300" width="11.5703125" bestFit="1" customWidth="1"/>
    <col min="3301" max="3301" width="8.5703125" bestFit="1" customWidth="1"/>
    <col min="3302" max="3302" width="11.5703125" bestFit="1" customWidth="1"/>
    <col min="3303" max="3303" width="13.5703125" bestFit="1" customWidth="1"/>
    <col min="3304" max="3304" width="21.5703125" bestFit="1" customWidth="1"/>
    <col min="3305" max="3305" width="8.5703125" bestFit="1" customWidth="1"/>
    <col min="3306" max="3307" width="11.5703125" bestFit="1" customWidth="1"/>
    <col min="3308" max="3308" width="14.5703125" bestFit="1" customWidth="1"/>
    <col min="3309" max="3309" width="11.5703125" bestFit="1" customWidth="1"/>
    <col min="3310" max="3310" width="14.5703125" bestFit="1" customWidth="1"/>
    <col min="3311" max="3311" width="12" bestFit="1" customWidth="1"/>
    <col min="3312" max="3312" width="11.5703125" bestFit="1" customWidth="1"/>
    <col min="3313" max="3313" width="8.5703125" bestFit="1" customWidth="1"/>
    <col min="3314" max="3314" width="11.5703125" bestFit="1" customWidth="1"/>
    <col min="3315" max="3315" width="8.5703125" bestFit="1" customWidth="1"/>
    <col min="3316" max="3317" width="11.5703125" bestFit="1" customWidth="1"/>
    <col min="3318" max="3318" width="14.5703125" bestFit="1" customWidth="1"/>
    <col min="3319" max="3319" width="8.5703125" bestFit="1" customWidth="1"/>
    <col min="3320" max="3320" width="11.5703125" bestFit="1" customWidth="1"/>
    <col min="3321" max="3321" width="8.5703125" bestFit="1" customWidth="1"/>
    <col min="3322" max="3323" width="11.5703125" bestFit="1" customWidth="1"/>
    <col min="3324" max="3324" width="14.5703125" bestFit="1" customWidth="1"/>
    <col min="3325" max="3325" width="8.5703125" bestFit="1" customWidth="1"/>
    <col min="3326" max="3326" width="11.5703125" bestFit="1" customWidth="1"/>
    <col min="3327" max="3327" width="8.5703125" bestFit="1" customWidth="1"/>
    <col min="3328" max="3328" width="11.5703125" bestFit="1" customWidth="1"/>
    <col min="3329" max="3329" width="8.5703125" bestFit="1" customWidth="1"/>
    <col min="3330" max="3330" width="11.5703125" bestFit="1" customWidth="1"/>
    <col min="3331" max="3331" width="8.5703125" bestFit="1" customWidth="1"/>
    <col min="3332" max="3332" width="11.5703125" bestFit="1" customWidth="1"/>
    <col min="3333" max="3333" width="8.5703125" bestFit="1" customWidth="1"/>
    <col min="3334" max="3334" width="11.5703125" bestFit="1" customWidth="1"/>
    <col min="3335" max="3335" width="13.5703125" bestFit="1" customWidth="1"/>
    <col min="3336" max="3336" width="20.5703125" bestFit="1" customWidth="1"/>
    <col min="3337" max="3337" width="12" bestFit="1" customWidth="1"/>
    <col min="3338" max="3338" width="11.5703125" bestFit="1" customWidth="1"/>
    <col min="3339" max="3339" width="8.5703125" bestFit="1" customWidth="1"/>
    <col min="3340" max="3340" width="11.5703125" bestFit="1" customWidth="1"/>
    <col min="3341" max="3341" width="8.5703125" bestFit="1" customWidth="1"/>
    <col min="3342" max="3342" width="11.5703125" bestFit="1" customWidth="1"/>
    <col min="3343" max="3343" width="8.5703125" bestFit="1" customWidth="1"/>
    <col min="3344" max="3344" width="11.5703125" bestFit="1" customWidth="1"/>
    <col min="3345" max="3345" width="8.5703125" bestFit="1" customWidth="1"/>
    <col min="3346" max="3346" width="11.5703125" bestFit="1" customWidth="1"/>
    <col min="3347" max="3347" width="8.5703125" bestFit="1" customWidth="1"/>
    <col min="3348" max="3348" width="11.5703125" bestFit="1" customWidth="1"/>
    <col min="3349" max="3349" width="10.5703125" bestFit="1" customWidth="1"/>
    <col min="3350" max="3350" width="13.5703125" bestFit="1" customWidth="1"/>
    <col min="3351" max="3351" width="8.5703125" bestFit="1" customWidth="1"/>
    <col min="3352" max="3352" width="11.5703125" bestFit="1" customWidth="1"/>
    <col min="3353" max="3353" width="8.5703125" bestFit="1" customWidth="1"/>
    <col min="3354" max="3354" width="11.5703125" bestFit="1" customWidth="1"/>
    <col min="3355" max="3355" width="8.5703125" bestFit="1" customWidth="1"/>
    <col min="3356" max="3356" width="11.5703125" bestFit="1" customWidth="1"/>
    <col min="3357" max="3357" width="8.5703125" bestFit="1" customWidth="1"/>
    <col min="3358" max="3358" width="11.5703125" bestFit="1" customWidth="1"/>
    <col min="3359" max="3359" width="8.5703125" bestFit="1" customWidth="1"/>
    <col min="3360" max="3360" width="11.5703125" bestFit="1" customWidth="1"/>
    <col min="3361" max="3361" width="12" bestFit="1" customWidth="1"/>
    <col min="3362" max="3362" width="11.5703125" bestFit="1" customWidth="1"/>
    <col min="3363" max="3363" width="12" bestFit="1" customWidth="1"/>
    <col min="3364" max="3364" width="11.5703125" bestFit="1" customWidth="1"/>
    <col min="3365" max="3365" width="12" bestFit="1" customWidth="1"/>
    <col min="3366" max="3366" width="11.5703125" bestFit="1" customWidth="1"/>
    <col min="3367" max="3367" width="8.5703125" bestFit="1" customWidth="1"/>
    <col min="3368" max="3368" width="11.5703125" bestFit="1" customWidth="1"/>
    <col min="3369" max="3369" width="8.5703125" bestFit="1" customWidth="1"/>
    <col min="3370" max="3370" width="11.5703125" bestFit="1" customWidth="1"/>
    <col min="3371" max="3371" width="8.5703125" bestFit="1" customWidth="1"/>
    <col min="3372" max="3372" width="11.5703125" bestFit="1" customWidth="1"/>
    <col min="3373" max="3373" width="8.5703125" bestFit="1" customWidth="1"/>
    <col min="3374" max="3374" width="11.5703125" bestFit="1" customWidth="1"/>
    <col min="3375" max="3375" width="8.5703125" bestFit="1" customWidth="1"/>
    <col min="3376" max="3376" width="11.5703125" bestFit="1" customWidth="1"/>
    <col min="3377" max="3377" width="8.5703125" bestFit="1" customWidth="1"/>
    <col min="3378" max="3378" width="11.5703125" bestFit="1" customWidth="1"/>
    <col min="3379" max="3379" width="8.5703125" bestFit="1" customWidth="1"/>
    <col min="3380" max="3381" width="11.5703125" bestFit="1" customWidth="1"/>
    <col min="3382" max="3382" width="14.5703125" bestFit="1" customWidth="1"/>
    <col min="3383" max="3383" width="8.5703125" bestFit="1" customWidth="1"/>
    <col min="3384" max="3384" width="11.5703125" bestFit="1" customWidth="1"/>
    <col min="3385" max="3385" width="8.5703125" bestFit="1" customWidth="1"/>
    <col min="3386" max="3386" width="11.5703125" bestFit="1" customWidth="1"/>
    <col min="3387" max="3387" width="8.5703125" bestFit="1" customWidth="1"/>
    <col min="3388" max="3388" width="11.5703125" bestFit="1" customWidth="1"/>
    <col min="3389" max="3389" width="12" bestFit="1" customWidth="1"/>
    <col min="3390" max="3390" width="11.5703125" bestFit="1" customWidth="1"/>
    <col min="3391" max="3391" width="8.5703125" bestFit="1" customWidth="1"/>
    <col min="3392" max="3392" width="11.5703125" bestFit="1" customWidth="1"/>
    <col min="3393" max="3393" width="8.5703125" bestFit="1" customWidth="1"/>
    <col min="3394" max="3394" width="11.5703125" bestFit="1" customWidth="1"/>
    <col min="3395" max="3395" width="13.5703125" bestFit="1" customWidth="1"/>
    <col min="3396" max="3396" width="21.5703125" bestFit="1" customWidth="1"/>
    <col min="3397" max="3397" width="8.5703125" bestFit="1" customWidth="1"/>
    <col min="3398" max="3398" width="11.5703125" bestFit="1" customWidth="1"/>
    <col min="3399" max="3399" width="8.5703125" bestFit="1" customWidth="1"/>
    <col min="3400" max="3400" width="11.5703125" bestFit="1" customWidth="1"/>
    <col min="3401" max="3401" width="8.5703125" bestFit="1" customWidth="1"/>
    <col min="3402" max="3402" width="11.5703125" bestFit="1" customWidth="1"/>
    <col min="3403" max="3403" width="8.5703125" bestFit="1" customWidth="1"/>
    <col min="3404" max="3404" width="11.5703125" bestFit="1" customWidth="1"/>
    <col min="3405" max="3405" width="13.5703125" bestFit="1" customWidth="1"/>
    <col min="3406" max="3406" width="21.5703125" bestFit="1" customWidth="1"/>
    <col min="3407" max="3407" width="8.5703125" bestFit="1" customWidth="1"/>
    <col min="3408" max="3408" width="11.5703125" bestFit="1" customWidth="1"/>
    <col min="3409" max="3409" width="8.5703125" bestFit="1" customWidth="1"/>
    <col min="3410" max="3410" width="11.5703125" bestFit="1" customWidth="1"/>
    <col min="3411" max="3411" width="8.5703125" bestFit="1" customWidth="1"/>
    <col min="3412" max="3412" width="11.5703125" bestFit="1" customWidth="1"/>
    <col min="3413" max="3413" width="8.5703125" bestFit="1" customWidth="1"/>
    <col min="3414" max="3414" width="11.5703125" bestFit="1" customWidth="1"/>
    <col min="3415" max="3415" width="12" bestFit="1" customWidth="1"/>
    <col min="3416" max="3416" width="11.5703125" bestFit="1" customWidth="1"/>
    <col min="3417" max="3417" width="8.5703125" bestFit="1" customWidth="1"/>
    <col min="3418" max="3418" width="11.5703125" bestFit="1" customWidth="1"/>
    <col min="3419" max="3419" width="8.5703125" bestFit="1" customWidth="1"/>
    <col min="3420" max="3420" width="11.5703125" bestFit="1" customWidth="1"/>
    <col min="3421" max="3421" width="8.5703125" bestFit="1" customWidth="1"/>
    <col min="3422" max="3422" width="11.5703125" bestFit="1" customWidth="1"/>
    <col min="3423" max="3423" width="8.5703125" bestFit="1" customWidth="1"/>
    <col min="3424" max="3425" width="11.5703125" bestFit="1" customWidth="1"/>
    <col min="3426" max="3426" width="14.5703125" bestFit="1" customWidth="1"/>
    <col min="3427" max="3427" width="8.5703125" bestFit="1" customWidth="1"/>
    <col min="3428" max="3428" width="11.5703125" bestFit="1" customWidth="1"/>
    <col min="3429" max="3429" width="8.5703125" bestFit="1" customWidth="1"/>
    <col min="3430" max="3430" width="11.5703125" bestFit="1" customWidth="1"/>
    <col min="3431" max="3431" width="8.5703125" bestFit="1" customWidth="1"/>
    <col min="3432" max="3432" width="11.5703125" bestFit="1" customWidth="1"/>
    <col min="3433" max="3433" width="8.5703125" bestFit="1" customWidth="1"/>
    <col min="3434" max="3434" width="11.5703125" bestFit="1" customWidth="1"/>
    <col min="3435" max="3435" width="8.5703125" bestFit="1" customWidth="1"/>
    <col min="3436" max="3436" width="11.5703125" bestFit="1" customWidth="1"/>
    <col min="3437" max="3437" width="8.5703125" bestFit="1" customWidth="1"/>
    <col min="3438" max="3439" width="11.5703125" bestFit="1" customWidth="1"/>
    <col min="3440" max="3440" width="14.5703125" bestFit="1" customWidth="1"/>
    <col min="3441" max="3441" width="8.5703125" bestFit="1" customWidth="1"/>
    <col min="3442" max="3442" width="11.5703125" bestFit="1" customWidth="1"/>
    <col min="3443" max="3443" width="8.5703125" bestFit="1" customWidth="1"/>
    <col min="3444" max="3444" width="11.5703125" bestFit="1" customWidth="1"/>
    <col min="3445" max="3445" width="8.5703125" bestFit="1" customWidth="1"/>
    <col min="3446" max="3446" width="11.5703125" bestFit="1" customWidth="1"/>
    <col min="3447" max="3447" width="13.5703125" bestFit="1" customWidth="1"/>
    <col min="3448" max="3448" width="21.5703125" bestFit="1" customWidth="1"/>
    <col min="3449" max="3449" width="8.5703125" bestFit="1" customWidth="1"/>
    <col min="3450" max="3450" width="11.5703125" bestFit="1" customWidth="1"/>
    <col min="3451" max="3451" width="8.5703125" bestFit="1" customWidth="1"/>
    <col min="3452" max="3452" width="7.42578125" bestFit="1" customWidth="1"/>
    <col min="3453" max="3453" width="11.5703125" bestFit="1" customWidth="1"/>
    <col min="3454" max="3454" width="8.5703125" bestFit="1" customWidth="1"/>
    <col min="3455" max="3455" width="11.5703125" bestFit="1" customWidth="1"/>
    <col min="3456" max="3456" width="8.5703125" bestFit="1" customWidth="1"/>
    <col min="3457" max="3457" width="11.5703125" bestFit="1" customWidth="1"/>
    <col min="3458" max="3458" width="8.5703125" bestFit="1" customWidth="1"/>
    <col min="3459" max="3459" width="11.5703125" bestFit="1" customWidth="1"/>
    <col min="3460" max="3460" width="12" bestFit="1" customWidth="1"/>
    <col min="3461" max="3461" width="11.5703125" bestFit="1" customWidth="1"/>
    <col min="3462" max="3462" width="13.5703125" bestFit="1" customWidth="1"/>
    <col min="3463" max="3463" width="21.5703125" bestFit="1" customWidth="1"/>
    <col min="3464" max="3464" width="8.5703125" bestFit="1" customWidth="1"/>
    <col min="3465" max="3465" width="11.5703125" bestFit="1" customWidth="1"/>
    <col min="3466" max="3466" width="8.5703125" bestFit="1" customWidth="1"/>
    <col min="3467" max="3467" width="11.5703125" bestFit="1" customWidth="1"/>
    <col min="3468" max="3468" width="8.5703125" bestFit="1" customWidth="1"/>
    <col min="3469" max="3469" width="11.5703125" bestFit="1" customWidth="1"/>
    <col min="3470" max="3470" width="8.5703125" bestFit="1" customWidth="1"/>
    <col min="3471" max="3471" width="11.5703125" bestFit="1" customWidth="1"/>
    <col min="3472" max="3472" width="8.5703125" bestFit="1" customWidth="1"/>
    <col min="3473" max="3474" width="11.5703125" bestFit="1" customWidth="1"/>
    <col min="3475" max="3475" width="14.5703125" bestFit="1" customWidth="1"/>
    <col min="3476" max="3476" width="8.5703125" bestFit="1" customWidth="1"/>
    <col min="3477" max="3477" width="11.5703125" bestFit="1" customWidth="1"/>
    <col min="3478" max="3478" width="8.5703125" bestFit="1" customWidth="1"/>
    <col min="3479" max="3479" width="11.5703125" bestFit="1" customWidth="1"/>
    <col min="3480" max="3480" width="8.5703125" bestFit="1" customWidth="1"/>
    <col min="3481" max="3481" width="11.5703125" bestFit="1" customWidth="1"/>
    <col min="3482" max="3482" width="8.5703125" bestFit="1" customWidth="1"/>
    <col min="3483" max="3483" width="11.5703125" bestFit="1" customWidth="1"/>
    <col min="3484" max="3484" width="13.5703125" bestFit="1" customWidth="1"/>
    <col min="3485" max="3485" width="21.5703125" bestFit="1" customWidth="1"/>
    <col min="3486" max="3486" width="8.5703125" bestFit="1" customWidth="1"/>
    <col min="3487" max="3487" width="11.5703125" bestFit="1" customWidth="1"/>
    <col min="3488" max="3488" width="8.5703125" bestFit="1" customWidth="1"/>
    <col min="3489" max="3489" width="11.5703125" bestFit="1" customWidth="1"/>
    <col min="3490" max="3490" width="8.5703125" bestFit="1" customWidth="1"/>
    <col min="3491" max="3491" width="11.5703125" bestFit="1" customWidth="1"/>
    <col min="3492" max="3492" width="8.5703125" bestFit="1" customWidth="1"/>
    <col min="3493" max="3493" width="11.5703125" bestFit="1" customWidth="1"/>
    <col min="3494" max="3494" width="8.5703125" bestFit="1" customWidth="1"/>
    <col min="3495" max="3495" width="11.5703125" bestFit="1" customWidth="1"/>
    <col min="3496" max="3496" width="8.5703125" bestFit="1" customWidth="1"/>
    <col min="3497" max="3497" width="11.5703125" bestFit="1" customWidth="1"/>
    <col min="3498" max="3498" width="8.5703125" bestFit="1" customWidth="1"/>
    <col min="3499" max="3499" width="11.5703125" bestFit="1" customWidth="1"/>
    <col min="3500" max="3500" width="8.5703125" bestFit="1" customWidth="1"/>
    <col min="3501" max="3501" width="11.5703125" bestFit="1" customWidth="1"/>
    <col min="3502" max="3502" width="8.5703125" bestFit="1" customWidth="1"/>
    <col min="3503" max="3503" width="11.5703125" bestFit="1" customWidth="1"/>
    <col min="3504" max="3504" width="8.5703125" bestFit="1" customWidth="1"/>
    <col min="3505" max="3505" width="11.5703125" bestFit="1" customWidth="1"/>
    <col min="3506" max="3506" width="8.5703125" bestFit="1" customWidth="1"/>
    <col min="3507" max="3507" width="11.5703125" bestFit="1" customWidth="1"/>
    <col min="3508" max="3508" width="8.5703125" bestFit="1" customWidth="1"/>
    <col min="3509" max="3509" width="11.5703125" bestFit="1" customWidth="1"/>
    <col min="3510" max="3510" width="8.5703125" bestFit="1" customWidth="1"/>
    <col min="3511" max="3511" width="11.5703125" bestFit="1" customWidth="1"/>
    <col min="3512" max="3512" width="8.5703125" bestFit="1" customWidth="1"/>
    <col min="3513" max="3513" width="11.5703125" bestFit="1" customWidth="1"/>
    <col min="3514" max="3514" width="8.5703125" bestFit="1" customWidth="1"/>
    <col min="3515" max="3515" width="11.5703125" bestFit="1" customWidth="1"/>
    <col min="3516" max="3516" width="8.5703125" bestFit="1" customWidth="1"/>
    <col min="3517" max="3517" width="11.5703125" bestFit="1" customWidth="1"/>
    <col min="3518" max="3518" width="8.5703125" bestFit="1" customWidth="1"/>
    <col min="3519" max="3519" width="11.5703125" bestFit="1" customWidth="1"/>
    <col min="3520" max="3520" width="8.5703125" bestFit="1" customWidth="1"/>
    <col min="3521" max="3522" width="11.5703125" bestFit="1" customWidth="1"/>
    <col min="3523" max="3523" width="21.5703125" bestFit="1" customWidth="1"/>
    <col min="3524" max="3524" width="8.5703125" bestFit="1" customWidth="1"/>
    <col min="3525" max="3525" width="11.5703125" bestFit="1" customWidth="1"/>
    <col min="3526" max="3526" width="8.5703125" bestFit="1" customWidth="1"/>
    <col min="3527" max="3527" width="7.42578125" bestFit="1" customWidth="1"/>
    <col min="3528" max="3528" width="11.5703125" bestFit="1" customWidth="1"/>
    <col min="3529" max="3529" width="8.5703125" bestFit="1" customWidth="1"/>
    <col min="3530" max="3530" width="11.5703125" bestFit="1" customWidth="1"/>
    <col min="3531" max="3531" width="8.5703125" bestFit="1" customWidth="1"/>
    <col min="3532" max="3532" width="11.5703125" bestFit="1" customWidth="1"/>
    <col min="3533" max="3533" width="8.5703125" bestFit="1" customWidth="1"/>
    <col min="3534" max="3534" width="11.5703125" bestFit="1" customWidth="1"/>
    <col min="3535" max="3535" width="8.5703125" bestFit="1" customWidth="1"/>
    <col min="3536" max="3536" width="11.5703125" bestFit="1" customWidth="1"/>
    <col min="3537" max="3537" width="9" bestFit="1" customWidth="1"/>
    <col min="3538" max="3538" width="11.5703125" bestFit="1" customWidth="1"/>
    <col min="3539" max="3539" width="8.5703125" bestFit="1" customWidth="1"/>
    <col min="3540" max="3540" width="11.5703125" bestFit="1" customWidth="1"/>
    <col min="3541" max="3541" width="8.5703125" bestFit="1" customWidth="1"/>
    <col min="3542" max="3542" width="11.5703125" bestFit="1" customWidth="1"/>
    <col min="3543" max="3543" width="13.5703125" bestFit="1" customWidth="1"/>
    <col min="3544" max="3544" width="21.5703125" bestFit="1" customWidth="1"/>
    <col min="3545" max="3545" width="8.5703125" bestFit="1" customWidth="1"/>
    <col min="3546" max="3547" width="11.5703125" bestFit="1" customWidth="1"/>
    <col min="3548" max="3548" width="14.5703125" bestFit="1" customWidth="1"/>
    <col min="3549" max="3549" width="8.5703125" bestFit="1" customWidth="1"/>
    <col min="3550" max="3551" width="11.5703125" bestFit="1" customWidth="1"/>
    <col min="3552" max="3552" width="14.5703125" bestFit="1" customWidth="1"/>
    <col min="3553" max="3553" width="8.5703125" bestFit="1" customWidth="1"/>
    <col min="3554" max="3555" width="11.5703125" bestFit="1" customWidth="1"/>
    <col min="3556" max="3556" width="14.5703125" bestFit="1" customWidth="1"/>
    <col min="3557" max="3557" width="8.5703125" bestFit="1" customWidth="1"/>
    <col min="3558" max="3558" width="11.5703125" bestFit="1" customWidth="1"/>
    <col min="3559" max="3559" width="8.5703125" bestFit="1" customWidth="1"/>
    <col min="3560" max="3560" width="11.5703125" bestFit="1" customWidth="1"/>
    <col min="3561" max="3561" width="13.5703125" bestFit="1" customWidth="1"/>
    <col min="3562" max="3562" width="21.5703125" bestFit="1" customWidth="1"/>
    <col min="3563" max="3563" width="8.5703125" bestFit="1" customWidth="1"/>
    <col min="3564" max="3564" width="11.5703125" bestFit="1" customWidth="1"/>
    <col min="3565" max="3565" width="8.5703125" bestFit="1" customWidth="1"/>
    <col min="3566" max="3566" width="11.5703125" bestFit="1" customWidth="1"/>
    <col min="3567" max="3567" width="8.5703125" bestFit="1" customWidth="1"/>
    <col min="3568" max="3568" width="11.5703125" bestFit="1" customWidth="1"/>
    <col min="3569" max="3569" width="8.5703125" bestFit="1" customWidth="1"/>
    <col min="3570" max="3570" width="11.5703125" bestFit="1" customWidth="1"/>
    <col min="3571" max="3571" width="8.5703125" bestFit="1" customWidth="1"/>
    <col min="3572" max="3572" width="11.5703125" bestFit="1" customWidth="1"/>
    <col min="3573" max="3573" width="13.5703125" bestFit="1" customWidth="1"/>
    <col min="3574" max="3574" width="21.5703125" bestFit="1" customWidth="1"/>
    <col min="3575" max="3575" width="13.5703125" bestFit="1" customWidth="1"/>
    <col min="3576" max="3576" width="21.5703125" bestFit="1" customWidth="1"/>
    <col min="3577" max="3577" width="8.5703125" bestFit="1" customWidth="1"/>
    <col min="3578" max="3578" width="11.5703125" bestFit="1" customWidth="1"/>
    <col min="3579" max="3579" width="8.5703125" bestFit="1" customWidth="1"/>
    <col min="3580" max="3580" width="11.5703125" bestFit="1" customWidth="1"/>
    <col min="3581" max="3581" width="8.5703125" bestFit="1" customWidth="1"/>
    <col min="3582" max="3582" width="11.5703125" bestFit="1" customWidth="1"/>
    <col min="3583" max="3583" width="8.5703125" bestFit="1" customWidth="1"/>
    <col min="3584" max="3584" width="11.5703125" bestFit="1" customWidth="1"/>
    <col min="3585" max="3585" width="8.5703125" bestFit="1" customWidth="1"/>
    <col min="3586" max="3586" width="11.5703125" bestFit="1" customWidth="1"/>
    <col min="3587" max="3587" width="8.5703125" bestFit="1" customWidth="1"/>
    <col min="3588" max="3588" width="11.5703125" bestFit="1" customWidth="1"/>
    <col min="3589" max="3589" width="8.5703125" bestFit="1" customWidth="1"/>
    <col min="3590" max="3590" width="11.5703125" bestFit="1" customWidth="1"/>
    <col min="3591" max="3591" width="8.5703125" bestFit="1" customWidth="1"/>
    <col min="3592" max="3592" width="11.5703125" bestFit="1" customWidth="1"/>
    <col min="3593" max="3593" width="8.5703125" bestFit="1" customWidth="1"/>
    <col min="3594" max="3594" width="11.5703125" bestFit="1" customWidth="1"/>
    <col min="3595" max="3595" width="8.5703125" bestFit="1" customWidth="1"/>
    <col min="3596" max="3596" width="11.5703125" bestFit="1" customWidth="1"/>
    <col min="3597" max="3597" width="12" bestFit="1" customWidth="1"/>
    <col min="3598" max="3598" width="11.5703125" bestFit="1" customWidth="1"/>
    <col min="3599" max="3599" width="8.5703125" bestFit="1" customWidth="1"/>
    <col min="3600" max="3600" width="11.5703125" bestFit="1" customWidth="1"/>
    <col min="3601" max="3601" width="8.5703125" bestFit="1" customWidth="1"/>
    <col min="3602" max="3602" width="11.5703125" bestFit="1" customWidth="1"/>
    <col min="3603" max="3603" width="8.5703125" bestFit="1" customWidth="1"/>
    <col min="3604" max="3604" width="11.5703125" bestFit="1" customWidth="1"/>
    <col min="3605" max="3605" width="8.5703125" bestFit="1" customWidth="1"/>
    <col min="3606" max="3606" width="11.5703125" bestFit="1" customWidth="1"/>
    <col min="3607" max="3607" width="8.5703125" bestFit="1" customWidth="1"/>
    <col min="3608" max="3608" width="11.5703125" bestFit="1" customWidth="1"/>
    <col min="3609" max="3609" width="8.5703125" bestFit="1" customWidth="1"/>
    <col min="3610" max="3610" width="11.5703125" bestFit="1" customWidth="1"/>
    <col min="3611" max="3611" width="8.5703125" bestFit="1" customWidth="1"/>
    <col min="3612" max="3612" width="11.5703125" bestFit="1" customWidth="1"/>
    <col min="3613" max="3613" width="8.5703125" bestFit="1" customWidth="1"/>
    <col min="3614" max="3614" width="11.5703125" bestFit="1" customWidth="1"/>
    <col min="3615" max="3615" width="8.5703125" bestFit="1" customWidth="1"/>
    <col min="3616" max="3616" width="11.5703125" bestFit="1" customWidth="1"/>
    <col min="3617" max="3617" width="8.5703125" bestFit="1" customWidth="1"/>
    <col min="3618" max="3618" width="11.5703125" bestFit="1" customWidth="1"/>
    <col min="3619" max="3619" width="8.5703125" bestFit="1" customWidth="1"/>
    <col min="3620" max="3620" width="11.5703125" bestFit="1" customWidth="1"/>
    <col min="3621" max="3621" width="8.5703125" bestFit="1" customWidth="1"/>
    <col min="3622" max="3622" width="11.5703125" bestFit="1" customWidth="1"/>
    <col min="3623" max="3623" width="8.5703125" bestFit="1" customWidth="1"/>
    <col min="3624" max="3624" width="11.5703125" bestFit="1" customWidth="1"/>
    <col min="3625" max="3625" width="13.5703125" bestFit="1" customWidth="1"/>
    <col min="3626" max="3626" width="21.5703125" bestFit="1" customWidth="1"/>
    <col min="3627" max="3627" width="8.5703125" bestFit="1" customWidth="1"/>
    <col min="3628" max="3628" width="11.5703125" bestFit="1" customWidth="1"/>
    <col min="3629" max="3629" width="8.5703125" bestFit="1" customWidth="1"/>
    <col min="3630" max="3630" width="11.5703125" bestFit="1" customWidth="1"/>
    <col min="3631" max="3631" width="8.5703125" bestFit="1" customWidth="1"/>
    <col min="3632" max="3632" width="11.5703125" bestFit="1" customWidth="1"/>
    <col min="3633" max="3633" width="8.5703125" bestFit="1" customWidth="1"/>
    <col min="3634" max="3634" width="11.5703125" bestFit="1" customWidth="1"/>
    <col min="3635" max="3635" width="8.5703125" bestFit="1" customWidth="1"/>
    <col min="3636" max="3636" width="11.5703125" bestFit="1" customWidth="1"/>
    <col min="3637" max="3637" width="13.5703125" bestFit="1" customWidth="1"/>
    <col min="3638" max="3638" width="21.5703125" bestFit="1" customWidth="1"/>
    <col min="3639" max="3639" width="13.5703125" bestFit="1" customWidth="1"/>
    <col min="3640" max="3640" width="21.5703125" bestFit="1" customWidth="1"/>
    <col min="3641" max="3641" width="11.5703125" bestFit="1" customWidth="1"/>
    <col min="3642" max="3642" width="14.5703125" bestFit="1" customWidth="1"/>
    <col min="3643" max="3643" width="8.5703125" bestFit="1" customWidth="1"/>
    <col min="3644" max="3644" width="11.5703125" bestFit="1" customWidth="1"/>
    <col min="3645" max="3645" width="13.5703125" bestFit="1" customWidth="1"/>
    <col min="3646" max="3646" width="21.5703125" bestFit="1" customWidth="1"/>
    <col min="3647" max="3647" width="8.5703125" bestFit="1" customWidth="1"/>
    <col min="3648" max="3648" width="11.5703125" bestFit="1" customWidth="1"/>
    <col min="3649" max="3649" width="8.5703125" bestFit="1" customWidth="1"/>
    <col min="3650" max="3650" width="11.5703125" bestFit="1" customWidth="1"/>
    <col min="3651" max="3651" width="8.5703125" bestFit="1" customWidth="1"/>
    <col min="3652" max="3652" width="11.5703125" bestFit="1" customWidth="1"/>
    <col min="3653" max="3653" width="8.5703125" bestFit="1" customWidth="1"/>
    <col min="3654" max="3654" width="11.5703125" bestFit="1" customWidth="1"/>
    <col min="3655" max="3655" width="8.5703125" bestFit="1" customWidth="1"/>
    <col min="3656" max="3656" width="11.5703125" bestFit="1" customWidth="1"/>
    <col min="3657" max="3657" width="8.5703125" bestFit="1" customWidth="1"/>
    <col min="3658" max="3658" width="11.5703125" bestFit="1" customWidth="1"/>
    <col min="3659" max="3659" width="12" bestFit="1" customWidth="1"/>
    <col min="3660" max="3661" width="11.5703125" bestFit="1" customWidth="1"/>
    <col min="3662" max="3662" width="14.5703125" bestFit="1" customWidth="1"/>
    <col min="3663" max="3663" width="8.5703125" bestFit="1" customWidth="1"/>
    <col min="3664" max="3664" width="11.5703125" bestFit="1" customWidth="1"/>
    <col min="3665" max="3665" width="8.5703125" bestFit="1" customWidth="1"/>
    <col min="3666" max="3666" width="11.5703125" bestFit="1" customWidth="1"/>
    <col min="3667" max="3667" width="8.5703125" bestFit="1" customWidth="1"/>
    <col min="3668" max="3668" width="11.5703125" bestFit="1" customWidth="1"/>
    <col min="3669" max="3669" width="9" bestFit="1" customWidth="1"/>
    <col min="3670" max="3670" width="11.5703125" bestFit="1" customWidth="1"/>
    <col min="3671" max="3671" width="8.5703125" bestFit="1" customWidth="1"/>
    <col min="3672" max="3673" width="11.5703125" bestFit="1" customWidth="1"/>
    <col min="3674" max="3674" width="21.5703125" bestFit="1" customWidth="1"/>
    <col min="3675" max="3675" width="8.5703125" bestFit="1" customWidth="1"/>
    <col min="3676" max="3676" width="11.5703125" bestFit="1" customWidth="1"/>
    <col min="3677" max="3677" width="8.5703125" bestFit="1" customWidth="1"/>
    <col min="3678" max="3678" width="11.5703125" bestFit="1" customWidth="1"/>
    <col min="3679" max="3679" width="8.5703125" bestFit="1" customWidth="1"/>
    <col min="3680" max="3680" width="11.5703125" bestFit="1" customWidth="1"/>
    <col min="3681" max="3681" width="13.5703125" bestFit="1" customWidth="1"/>
    <col min="3682" max="3682" width="21.5703125" bestFit="1" customWidth="1"/>
    <col min="3683" max="3683" width="12" bestFit="1" customWidth="1"/>
    <col min="3684" max="3684" width="11.5703125" bestFit="1" customWidth="1"/>
    <col min="3685" max="3685" width="12" bestFit="1" customWidth="1"/>
    <col min="3686" max="3686" width="11.5703125" bestFit="1" customWidth="1"/>
    <col min="3687" max="3687" width="8.5703125" bestFit="1" customWidth="1"/>
    <col min="3688" max="3688" width="11.5703125" bestFit="1" customWidth="1"/>
    <col min="3689" max="3689" width="8.5703125" bestFit="1" customWidth="1"/>
    <col min="3690" max="3690" width="11.5703125" bestFit="1" customWidth="1"/>
    <col min="3691" max="3691" width="8.5703125" bestFit="1" customWidth="1"/>
    <col min="3692" max="3692" width="11.5703125" bestFit="1" customWidth="1"/>
    <col min="3693" max="3693" width="8.5703125" bestFit="1" customWidth="1"/>
    <col min="3694" max="3694" width="11.5703125" bestFit="1" customWidth="1"/>
    <col min="3695" max="3695" width="8.5703125" bestFit="1" customWidth="1"/>
    <col min="3696" max="3696" width="11.5703125" bestFit="1" customWidth="1"/>
    <col min="3697" max="3697" width="8.5703125" bestFit="1" customWidth="1"/>
    <col min="3698" max="3698" width="11.5703125" bestFit="1" customWidth="1"/>
    <col min="3699" max="3699" width="8.5703125" bestFit="1" customWidth="1"/>
    <col min="3700" max="3700" width="11.5703125" bestFit="1" customWidth="1"/>
    <col min="3701" max="3701" width="8.5703125" bestFit="1" customWidth="1"/>
    <col min="3702" max="3702" width="11.5703125" bestFit="1" customWidth="1"/>
    <col min="3703" max="3703" width="8.5703125" bestFit="1" customWidth="1"/>
    <col min="3704" max="3704" width="11.5703125" bestFit="1" customWidth="1"/>
    <col min="3705" max="3705" width="8.5703125" bestFit="1" customWidth="1"/>
    <col min="3706" max="3706" width="11.5703125" bestFit="1" customWidth="1"/>
    <col min="3707" max="3707" width="8.5703125" bestFit="1" customWidth="1"/>
    <col min="3708" max="3708" width="11.5703125" bestFit="1" customWidth="1"/>
    <col min="3709" max="3709" width="8.5703125" bestFit="1" customWidth="1"/>
    <col min="3710" max="3710" width="11.5703125" bestFit="1" customWidth="1"/>
    <col min="3711" max="3711" width="8.5703125" bestFit="1" customWidth="1"/>
    <col min="3712" max="3712" width="11.5703125" bestFit="1" customWidth="1"/>
    <col min="3713" max="3713" width="13.5703125" bestFit="1" customWidth="1"/>
    <col min="3714" max="3714" width="21.5703125" bestFit="1" customWidth="1"/>
    <col min="3715" max="3715" width="8.5703125" bestFit="1" customWidth="1"/>
    <col min="3716" max="3716" width="11.5703125" bestFit="1" customWidth="1"/>
    <col min="3717" max="3717" width="12.5703125" bestFit="1" customWidth="1"/>
    <col min="3718" max="3718" width="21.5703125" bestFit="1" customWidth="1"/>
    <col min="3719" max="3719" width="13.5703125" bestFit="1" customWidth="1"/>
    <col min="3720" max="3720" width="20.5703125" bestFit="1" customWidth="1"/>
    <col min="3721" max="3721" width="13.5703125" bestFit="1" customWidth="1"/>
    <col min="3722" max="3722" width="21.5703125" bestFit="1" customWidth="1"/>
    <col min="3723" max="3723" width="12" bestFit="1" customWidth="1"/>
    <col min="3724" max="3724" width="11.5703125" bestFit="1" customWidth="1"/>
    <col min="3725" max="3725" width="13.5703125" bestFit="1" customWidth="1"/>
    <col min="3726" max="3726" width="21.5703125" bestFit="1" customWidth="1"/>
    <col min="3727" max="3727" width="8.5703125" bestFit="1" customWidth="1"/>
    <col min="3728" max="3728" width="11.5703125" bestFit="1" customWidth="1"/>
    <col min="3729" max="3729" width="8.5703125" bestFit="1" customWidth="1"/>
    <col min="3730" max="3730" width="11.5703125" bestFit="1" customWidth="1"/>
    <col min="3731" max="3731" width="8.5703125" bestFit="1" customWidth="1"/>
    <col min="3732" max="3732" width="11.5703125" bestFit="1" customWidth="1"/>
    <col min="3733" max="3733" width="13.5703125" bestFit="1" customWidth="1"/>
    <col min="3734" max="3734" width="21.5703125" bestFit="1" customWidth="1"/>
    <col min="3735" max="3735" width="8.5703125" bestFit="1" customWidth="1"/>
    <col min="3736" max="3736" width="11.5703125" bestFit="1" customWidth="1"/>
    <col min="3737" max="3737" width="8.5703125" bestFit="1" customWidth="1"/>
    <col min="3738" max="3738" width="11.5703125" bestFit="1" customWidth="1"/>
    <col min="3739" max="3739" width="12" bestFit="1" customWidth="1"/>
    <col min="3740" max="3740" width="11.5703125" bestFit="1" customWidth="1"/>
    <col min="3741" max="3741" width="8.5703125" bestFit="1" customWidth="1"/>
    <col min="3742" max="3742" width="11.5703125" bestFit="1" customWidth="1"/>
    <col min="3743" max="3743" width="12" bestFit="1" customWidth="1"/>
    <col min="3744" max="3744" width="11.5703125" bestFit="1" customWidth="1"/>
    <col min="3745" max="3745" width="8.5703125" bestFit="1" customWidth="1"/>
    <col min="3746" max="3746" width="11.5703125" bestFit="1" customWidth="1"/>
    <col min="3747" max="3747" width="8.5703125" bestFit="1" customWidth="1"/>
    <col min="3748" max="3748" width="11.5703125" bestFit="1" customWidth="1"/>
    <col min="3749" max="3749" width="8.5703125" bestFit="1" customWidth="1"/>
    <col min="3750" max="3751" width="11.5703125" bestFit="1" customWidth="1"/>
    <col min="3752" max="3752" width="14.5703125" bestFit="1" customWidth="1"/>
    <col min="3753" max="3753" width="8.5703125" bestFit="1" customWidth="1"/>
    <col min="3754" max="3754" width="11.5703125" bestFit="1" customWidth="1"/>
    <col min="3755" max="3755" width="8.5703125" bestFit="1" customWidth="1"/>
    <col min="3756" max="3756" width="11.5703125" bestFit="1" customWidth="1"/>
    <col min="3757" max="3757" width="8.5703125" bestFit="1" customWidth="1"/>
    <col min="3758" max="3758" width="11.5703125" bestFit="1" customWidth="1"/>
    <col min="3759" max="3759" width="8.5703125" bestFit="1" customWidth="1"/>
    <col min="3760" max="3760" width="11.5703125" bestFit="1" customWidth="1"/>
    <col min="3761" max="3761" width="10.5703125" bestFit="1" customWidth="1"/>
    <col min="3762" max="3763" width="13.5703125" bestFit="1" customWidth="1"/>
    <col min="3764" max="3764" width="21.5703125" bestFit="1" customWidth="1"/>
    <col min="3765" max="3765" width="8.5703125" bestFit="1" customWidth="1"/>
    <col min="3766" max="3767" width="11.5703125" bestFit="1" customWidth="1"/>
    <col min="3768" max="3768" width="14.5703125" bestFit="1" customWidth="1"/>
    <col min="3769" max="3769" width="13.5703125" bestFit="1" customWidth="1"/>
    <col min="3770" max="3770" width="21.5703125" bestFit="1" customWidth="1"/>
    <col min="3771" max="3771" width="8.5703125" bestFit="1" customWidth="1"/>
    <col min="3772" max="3772" width="11.5703125" bestFit="1" customWidth="1"/>
    <col min="3773" max="3773" width="8.5703125" bestFit="1" customWidth="1"/>
    <col min="3774" max="3774" width="11.5703125" bestFit="1" customWidth="1"/>
    <col min="3775" max="3775" width="8.5703125" bestFit="1" customWidth="1"/>
    <col min="3776" max="3776" width="11.5703125" bestFit="1" customWidth="1"/>
    <col min="3777" max="3777" width="12" bestFit="1" customWidth="1"/>
    <col min="3778" max="3778" width="11.5703125" bestFit="1" customWidth="1"/>
    <col min="3779" max="3779" width="8.5703125" bestFit="1" customWidth="1"/>
    <col min="3780" max="3780" width="11.5703125" bestFit="1" customWidth="1"/>
    <col min="3781" max="3781" width="8.5703125" bestFit="1" customWidth="1"/>
    <col min="3782" max="3782" width="11.5703125" bestFit="1" customWidth="1"/>
    <col min="3783" max="3783" width="8.5703125" bestFit="1" customWidth="1"/>
    <col min="3784" max="3784" width="11.5703125" bestFit="1" customWidth="1"/>
    <col min="3785" max="3785" width="8.5703125" bestFit="1" customWidth="1"/>
    <col min="3786" max="3786" width="11.5703125" bestFit="1" customWidth="1"/>
    <col min="3787" max="3787" width="8.5703125" bestFit="1" customWidth="1"/>
    <col min="3788" max="3789" width="11.5703125" bestFit="1" customWidth="1"/>
    <col min="3790" max="3790" width="14.5703125" bestFit="1" customWidth="1"/>
    <col min="3791" max="3791" width="8.5703125" bestFit="1" customWidth="1"/>
    <col min="3792" max="3792" width="11.5703125" bestFit="1" customWidth="1"/>
    <col min="3793" max="3793" width="8.5703125" bestFit="1" customWidth="1"/>
    <col min="3794" max="3794" width="11.5703125" bestFit="1" customWidth="1"/>
    <col min="3795" max="3795" width="8.5703125" bestFit="1" customWidth="1"/>
    <col min="3796" max="3796" width="11.5703125" bestFit="1" customWidth="1"/>
    <col min="3797" max="3797" width="13.5703125" bestFit="1" customWidth="1"/>
    <col min="3798" max="3798" width="21.5703125" bestFit="1" customWidth="1"/>
    <col min="3799" max="3799" width="8.5703125" bestFit="1" customWidth="1"/>
    <col min="3800" max="3800" width="11.5703125" bestFit="1" customWidth="1"/>
    <col min="3801" max="3801" width="12" bestFit="1" customWidth="1"/>
    <col min="3802" max="3802" width="11.5703125" bestFit="1" customWidth="1"/>
    <col min="3803" max="3803" width="8.5703125" bestFit="1" customWidth="1"/>
    <col min="3804" max="3804" width="11.5703125" bestFit="1" customWidth="1"/>
    <col min="3805" max="3805" width="9" bestFit="1" customWidth="1"/>
    <col min="3806" max="3806" width="11.5703125" bestFit="1" customWidth="1"/>
    <col min="3807" max="3807" width="8.5703125" bestFit="1" customWidth="1"/>
    <col min="3808" max="3808" width="7.42578125" bestFit="1" customWidth="1"/>
    <col min="3809" max="3809" width="11.5703125" bestFit="1" customWidth="1"/>
    <col min="3810" max="3810" width="8.5703125" bestFit="1" customWidth="1"/>
    <col min="3811" max="3811" width="11.5703125" bestFit="1" customWidth="1"/>
    <col min="3812" max="3812" width="8.5703125" bestFit="1" customWidth="1"/>
    <col min="3813" max="3813" width="11.5703125" bestFit="1" customWidth="1"/>
    <col min="3814" max="3814" width="13.5703125" bestFit="1" customWidth="1"/>
    <col min="3815" max="3815" width="21.5703125" bestFit="1" customWidth="1"/>
    <col min="3816" max="3816" width="8.5703125" bestFit="1" customWidth="1"/>
    <col min="3817" max="3817" width="11.5703125" bestFit="1" customWidth="1"/>
    <col min="3818" max="3818" width="13.5703125" bestFit="1" customWidth="1"/>
    <col min="3819" max="3819" width="21.5703125" bestFit="1" customWidth="1"/>
    <col min="3820" max="3820" width="12" bestFit="1" customWidth="1"/>
    <col min="3821" max="3821" width="11.5703125" bestFit="1" customWidth="1"/>
    <col min="3822" max="3822" width="8.5703125" bestFit="1" customWidth="1"/>
    <col min="3823" max="3824" width="11.5703125" bestFit="1" customWidth="1"/>
    <col min="3825" max="3825" width="14.5703125" bestFit="1" customWidth="1"/>
    <col min="3826" max="3826" width="8.5703125" bestFit="1" customWidth="1"/>
    <col min="3827" max="3827" width="11.5703125" bestFit="1" customWidth="1"/>
    <col min="3828" max="3828" width="12" bestFit="1" customWidth="1"/>
    <col min="3829" max="3829" width="11.5703125" bestFit="1" customWidth="1"/>
    <col min="3830" max="3830" width="8.5703125" bestFit="1" customWidth="1"/>
    <col min="3831" max="3831" width="11.5703125" bestFit="1" customWidth="1"/>
    <col min="3832" max="3832" width="8.5703125" bestFit="1" customWidth="1"/>
    <col min="3833" max="3833" width="11.5703125" bestFit="1" customWidth="1"/>
    <col min="3834" max="3834" width="8.5703125" bestFit="1" customWidth="1"/>
    <col min="3835" max="3836" width="11.5703125" bestFit="1" customWidth="1"/>
    <col min="3837" max="3837" width="14.5703125" bestFit="1" customWidth="1"/>
    <col min="3838" max="3838" width="8.5703125" bestFit="1" customWidth="1"/>
    <col min="3839" max="3839" width="11.5703125" bestFit="1" customWidth="1"/>
    <col min="3840" max="3840" width="8.5703125" bestFit="1" customWidth="1"/>
    <col min="3841" max="3841" width="11.5703125" bestFit="1" customWidth="1"/>
    <col min="3842" max="3842" width="12" bestFit="1" customWidth="1"/>
    <col min="3843" max="3843" width="11.5703125" bestFit="1" customWidth="1"/>
    <col min="3844" max="3844" width="8.5703125" bestFit="1" customWidth="1"/>
    <col min="3845" max="3845" width="11.5703125" bestFit="1" customWidth="1"/>
    <col min="3846" max="3846" width="8.5703125" bestFit="1" customWidth="1"/>
    <col min="3847" max="3847" width="11.5703125" bestFit="1" customWidth="1"/>
    <col min="3848" max="3848" width="8.5703125" bestFit="1" customWidth="1"/>
    <col min="3849" max="3849" width="11.5703125" bestFit="1" customWidth="1"/>
    <col min="3850" max="3850" width="8.5703125" bestFit="1" customWidth="1"/>
    <col min="3851" max="3851" width="11.5703125" bestFit="1" customWidth="1"/>
    <col min="3852" max="3852" width="8.5703125" bestFit="1" customWidth="1"/>
    <col min="3853" max="3853" width="11.5703125" bestFit="1" customWidth="1"/>
    <col min="3854" max="3854" width="8.5703125" bestFit="1" customWidth="1"/>
    <col min="3855" max="3855" width="11.5703125" bestFit="1" customWidth="1"/>
    <col min="3856" max="3856" width="13.5703125" bestFit="1" customWidth="1"/>
    <col min="3857" max="3857" width="20.5703125" bestFit="1" customWidth="1"/>
    <col min="3858" max="3858" width="12.5703125" bestFit="1" customWidth="1"/>
    <col min="3859" max="3859" width="21.5703125" bestFit="1" customWidth="1"/>
    <col min="3860" max="3860" width="8.5703125" bestFit="1" customWidth="1"/>
    <col min="3861" max="3861" width="11.5703125" bestFit="1" customWidth="1"/>
    <col min="3862" max="3862" width="8.5703125" bestFit="1" customWidth="1"/>
    <col min="3863" max="3863" width="11.5703125" bestFit="1" customWidth="1"/>
    <col min="3864" max="3864" width="8.5703125" bestFit="1" customWidth="1"/>
    <col min="3865" max="3865" width="11.5703125" bestFit="1" customWidth="1"/>
    <col min="3866" max="3866" width="8.5703125" bestFit="1" customWidth="1"/>
    <col min="3867" max="3867" width="11.5703125" bestFit="1" customWidth="1"/>
    <col min="3868" max="3868" width="8.5703125" bestFit="1" customWidth="1"/>
    <col min="3869" max="3869" width="11.5703125" bestFit="1" customWidth="1"/>
    <col min="3870" max="3870" width="8.5703125" bestFit="1" customWidth="1"/>
    <col min="3871" max="3872" width="11.5703125" bestFit="1" customWidth="1"/>
    <col min="3873" max="3873" width="21.5703125" bestFit="1" customWidth="1"/>
    <col min="3874" max="3874" width="8.5703125" bestFit="1" customWidth="1"/>
    <col min="3875" max="3875" width="11.5703125" bestFit="1" customWidth="1"/>
    <col min="3876" max="3876" width="8.5703125" bestFit="1" customWidth="1"/>
    <col min="3877" max="3877" width="11.5703125" bestFit="1" customWidth="1"/>
    <col min="3878" max="3878" width="8.5703125" bestFit="1" customWidth="1"/>
    <col min="3879" max="3879" width="11.5703125" bestFit="1" customWidth="1"/>
    <col min="3880" max="3880" width="8.5703125" bestFit="1" customWidth="1"/>
    <col min="3881" max="3881" width="11.5703125" bestFit="1" customWidth="1"/>
    <col min="3882" max="3882" width="8.5703125" bestFit="1" customWidth="1"/>
    <col min="3883" max="3883" width="11.5703125" bestFit="1" customWidth="1"/>
    <col min="3884" max="3884" width="8.5703125" bestFit="1" customWidth="1"/>
    <col min="3885" max="3885" width="11.5703125" bestFit="1" customWidth="1"/>
    <col min="3886" max="3886" width="8.5703125" bestFit="1" customWidth="1"/>
    <col min="3887" max="3887" width="11.5703125" bestFit="1" customWidth="1"/>
    <col min="3888" max="3888" width="8.5703125" bestFit="1" customWidth="1"/>
    <col min="3889" max="3889" width="11.5703125" bestFit="1" customWidth="1"/>
    <col min="3890" max="3890" width="8.5703125" bestFit="1" customWidth="1"/>
    <col min="3891" max="3891" width="11.5703125" bestFit="1" customWidth="1"/>
    <col min="3892" max="3892" width="8.5703125" bestFit="1" customWidth="1"/>
    <col min="3893" max="3893" width="11.5703125" bestFit="1" customWidth="1"/>
    <col min="3894" max="3894" width="8.5703125" bestFit="1" customWidth="1"/>
    <col min="3895" max="3895" width="11.5703125" bestFit="1" customWidth="1"/>
    <col min="3896" max="3896" width="8.5703125" bestFit="1" customWidth="1"/>
    <col min="3897" max="3897" width="11.5703125" bestFit="1" customWidth="1"/>
    <col min="3898" max="3898" width="8.5703125" bestFit="1" customWidth="1"/>
    <col min="3899" max="3899" width="11.5703125" bestFit="1" customWidth="1"/>
    <col min="3900" max="3900" width="13.5703125" bestFit="1" customWidth="1"/>
    <col min="3901" max="3901" width="21.5703125" bestFit="1" customWidth="1"/>
    <col min="3902" max="3902" width="9.5703125" bestFit="1" customWidth="1"/>
    <col min="3903" max="3903" width="12.5703125" bestFit="1" customWidth="1"/>
    <col min="3904" max="3904" width="9.5703125" bestFit="1" customWidth="1"/>
    <col min="3905" max="3905" width="12.5703125" bestFit="1" customWidth="1"/>
    <col min="3906" max="3906" width="9.5703125" bestFit="1" customWidth="1"/>
    <col min="3907" max="3907" width="12.5703125" bestFit="1" customWidth="1"/>
    <col min="3908" max="3908" width="12" bestFit="1" customWidth="1"/>
    <col min="3909" max="3909" width="7.42578125" bestFit="1" customWidth="1"/>
    <col min="3910" max="3910" width="12.5703125" bestFit="1" customWidth="1"/>
    <col min="3911" max="3911" width="9.5703125" bestFit="1" customWidth="1"/>
    <col min="3912" max="3912" width="7.42578125" bestFit="1" customWidth="1"/>
    <col min="3913" max="3913" width="12.5703125" bestFit="1" customWidth="1"/>
    <col min="3914" max="3914" width="12" bestFit="1" customWidth="1"/>
    <col min="3915" max="3915" width="12.5703125" bestFit="1" customWidth="1"/>
    <col min="3916" max="3916" width="9.5703125" bestFit="1" customWidth="1"/>
    <col min="3917" max="3917" width="12.5703125" bestFit="1" customWidth="1"/>
    <col min="3918" max="3918" width="12" bestFit="1" customWidth="1"/>
    <col min="3919" max="3919" width="12.5703125" bestFit="1" customWidth="1"/>
    <col min="3920" max="3920" width="9.5703125" bestFit="1" customWidth="1"/>
    <col min="3921" max="3921" width="12.5703125" bestFit="1" customWidth="1"/>
    <col min="3922" max="3922" width="11.5703125" bestFit="1" customWidth="1"/>
    <col min="3923" max="3923" width="14.5703125" bestFit="1" customWidth="1"/>
    <col min="3924" max="3924" width="9.5703125" bestFit="1" customWidth="1"/>
    <col min="3925" max="3925" width="12.5703125" bestFit="1" customWidth="1"/>
    <col min="3926" max="3926" width="9.5703125" bestFit="1" customWidth="1"/>
    <col min="3927" max="3927" width="12.5703125" bestFit="1" customWidth="1"/>
    <col min="3928" max="3928" width="9.5703125" bestFit="1" customWidth="1"/>
    <col min="3929" max="3930" width="12.5703125" bestFit="1" customWidth="1"/>
    <col min="3931" max="3931" width="15.5703125" bestFit="1" customWidth="1"/>
    <col min="3932" max="3932" width="11.5703125" bestFit="1" customWidth="1"/>
    <col min="3933" max="3933" width="14.5703125" bestFit="1" customWidth="1"/>
    <col min="3934" max="3934" width="9.5703125" bestFit="1" customWidth="1"/>
    <col min="3935" max="3935" width="12.5703125" bestFit="1" customWidth="1"/>
    <col min="3936" max="3936" width="9.5703125" bestFit="1" customWidth="1"/>
    <col min="3937" max="3937" width="12.5703125" bestFit="1" customWidth="1"/>
    <col min="3938" max="3938" width="9.5703125" bestFit="1" customWidth="1"/>
    <col min="3939" max="3939" width="12.5703125" bestFit="1" customWidth="1"/>
    <col min="3940" max="3940" width="9.5703125" bestFit="1" customWidth="1"/>
    <col min="3941" max="3941" width="12.5703125" bestFit="1" customWidth="1"/>
    <col min="3942" max="3942" width="12" bestFit="1" customWidth="1"/>
    <col min="3943" max="3943" width="12.5703125" bestFit="1" customWidth="1"/>
    <col min="3944" max="3944" width="9.5703125" bestFit="1" customWidth="1"/>
    <col min="3945" max="3945" width="12.5703125" bestFit="1" customWidth="1"/>
    <col min="3946" max="3946" width="9.5703125" bestFit="1" customWidth="1"/>
    <col min="3947" max="3947" width="12.5703125" bestFit="1" customWidth="1"/>
    <col min="3948" max="3948" width="9.5703125" bestFit="1" customWidth="1"/>
    <col min="3949" max="3949" width="12.5703125" bestFit="1" customWidth="1"/>
    <col min="3950" max="3950" width="9.5703125" bestFit="1" customWidth="1"/>
    <col min="3951" max="3951" width="12.5703125" bestFit="1" customWidth="1"/>
    <col min="3952" max="3952" width="9.5703125" bestFit="1" customWidth="1"/>
    <col min="3953" max="3953" width="12.5703125" bestFit="1" customWidth="1"/>
    <col min="3954" max="3954" width="13.5703125" bestFit="1" customWidth="1"/>
    <col min="3955" max="3955" width="21.5703125" bestFit="1" customWidth="1"/>
    <col min="3956" max="3956" width="13.5703125" bestFit="1" customWidth="1"/>
    <col min="3957" max="3957" width="21.5703125" bestFit="1" customWidth="1"/>
    <col min="3958" max="3958" width="9.5703125" bestFit="1" customWidth="1"/>
    <col min="3959" max="3959" width="12.5703125" bestFit="1" customWidth="1"/>
    <col min="3960" max="3960" width="9.5703125" bestFit="1" customWidth="1"/>
    <col min="3961" max="3961" width="7.42578125" bestFit="1" customWidth="1"/>
    <col min="3962" max="3962" width="12.5703125" bestFit="1" customWidth="1"/>
    <col min="3963" max="3963" width="9.5703125" bestFit="1" customWidth="1"/>
    <col min="3964" max="3964" width="12.5703125" bestFit="1" customWidth="1"/>
    <col min="3965" max="3965" width="9.5703125" bestFit="1" customWidth="1"/>
    <col min="3966" max="3966" width="12.5703125" bestFit="1" customWidth="1"/>
    <col min="3967" max="3967" width="9.5703125" bestFit="1" customWidth="1"/>
    <col min="3968" max="3968" width="12.5703125" bestFit="1" customWidth="1"/>
    <col min="3969" max="3969" width="9.5703125" bestFit="1" customWidth="1"/>
    <col min="3970" max="3970" width="12.5703125" bestFit="1" customWidth="1"/>
    <col min="3971" max="3971" width="9.5703125" bestFit="1" customWidth="1"/>
    <col min="3972" max="3972" width="12.5703125" bestFit="1" customWidth="1"/>
    <col min="3973" max="3973" width="9.5703125" bestFit="1" customWidth="1"/>
    <col min="3974" max="3974" width="12.5703125" bestFit="1" customWidth="1"/>
    <col min="3975" max="3975" width="13.5703125" bestFit="1" customWidth="1"/>
    <col min="3976" max="3976" width="21.5703125" bestFit="1" customWidth="1"/>
    <col min="3977" max="3977" width="9.5703125" bestFit="1" customWidth="1"/>
    <col min="3978" max="3978" width="12.5703125" bestFit="1" customWidth="1"/>
    <col min="3979" max="3979" width="12" bestFit="1" customWidth="1"/>
    <col min="3980" max="3980" width="12.5703125" bestFit="1" customWidth="1"/>
    <col min="3981" max="3981" width="9.5703125" bestFit="1" customWidth="1"/>
    <col min="3982" max="3982" width="12.5703125" bestFit="1" customWidth="1"/>
    <col min="3983" max="3983" width="9.5703125" bestFit="1" customWidth="1"/>
    <col min="3984" max="3984" width="7.42578125" bestFit="1" customWidth="1"/>
    <col min="3985" max="3985" width="12.5703125" bestFit="1" customWidth="1"/>
    <col min="3986" max="3986" width="9.5703125" bestFit="1" customWidth="1"/>
    <col min="3987" max="3987" width="12.5703125" bestFit="1" customWidth="1"/>
    <col min="3988" max="3988" width="9.5703125" bestFit="1" customWidth="1"/>
    <col min="3989" max="3989" width="12.5703125" bestFit="1" customWidth="1"/>
    <col min="3990" max="3990" width="9.5703125" bestFit="1" customWidth="1"/>
    <col min="3991" max="3991" width="12.5703125" bestFit="1" customWidth="1"/>
    <col min="3992" max="3992" width="12" bestFit="1" customWidth="1"/>
    <col min="3993" max="3993" width="7.42578125" bestFit="1" customWidth="1"/>
    <col min="3994" max="3994" width="12.5703125" bestFit="1" customWidth="1"/>
    <col min="3995" max="3995" width="9.5703125" bestFit="1" customWidth="1"/>
    <col min="3996" max="3996" width="12.5703125" bestFit="1" customWidth="1"/>
    <col min="3997" max="3997" width="9.5703125" bestFit="1" customWidth="1"/>
    <col min="3998" max="3998" width="7.42578125" bestFit="1" customWidth="1"/>
    <col min="3999" max="3999" width="12.5703125" bestFit="1" customWidth="1"/>
    <col min="4000" max="4000" width="9.5703125" bestFit="1" customWidth="1"/>
    <col min="4001" max="4001" width="12.5703125" bestFit="1" customWidth="1"/>
    <col min="4002" max="4002" width="9.5703125" bestFit="1" customWidth="1"/>
    <col min="4003" max="4003" width="12.5703125" bestFit="1" customWidth="1"/>
    <col min="4004" max="4004" width="9.5703125" bestFit="1" customWidth="1"/>
    <col min="4005" max="4005" width="12.5703125" bestFit="1" customWidth="1"/>
    <col min="4006" max="4006" width="9.5703125" bestFit="1" customWidth="1"/>
    <col min="4007" max="4007" width="12.5703125" bestFit="1" customWidth="1"/>
    <col min="4008" max="4008" width="9.5703125" bestFit="1" customWidth="1"/>
    <col min="4009" max="4010" width="12.5703125" bestFit="1" customWidth="1"/>
    <col min="4011" max="4011" width="21.5703125" bestFit="1" customWidth="1"/>
    <col min="4012" max="4012" width="9.5703125" bestFit="1" customWidth="1"/>
    <col min="4013" max="4013" width="7.42578125" bestFit="1" customWidth="1"/>
    <col min="4014" max="4014" width="12.5703125" bestFit="1" customWidth="1"/>
    <col min="4015" max="4015" width="12" bestFit="1" customWidth="1"/>
    <col min="4016" max="4016" width="12.5703125" bestFit="1" customWidth="1"/>
    <col min="4017" max="4017" width="9.5703125" bestFit="1" customWidth="1"/>
    <col min="4018" max="4018" width="12.5703125" bestFit="1" customWidth="1"/>
    <col min="4019" max="4019" width="13.5703125" bestFit="1" customWidth="1"/>
    <col min="4020" max="4020" width="21.5703125" bestFit="1" customWidth="1"/>
    <col min="4021" max="4021" width="9.5703125" bestFit="1" customWidth="1"/>
    <col min="4022" max="4022" width="12.5703125" bestFit="1" customWidth="1"/>
    <col min="4023" max="4023" width="9.5703125" bestFit="1" customWidth="1"/>
    <col min="4024" max="4024" width="12.5703125" bestFit="1" customWidth="1"/>
    <col min="4025" max="4025" width="9.5703125" bestFit="1" customWidth="1"/>
    <col min="4026" max="4026" width="12.5703125" bestFit="1" customWidth="1"/>
    <col min="4027" max="4027" width="13.5703125" bestFit="1" customWidth="1"/>
    <col min="4028" max="4028" width="21.5703125" bestFit="1" customWidth="1"/>
    <col min="4029" max="4029" width="9.5703125" bestFit="1" customWidth="1"/>
    <col min="4030" max="4030" width="12.5703125" bestFit="1" customWidth="1"/>
    <col min="4031" max="4031" width="9.5703125" bestFit="1" customWidth="1"/>
    <col min="4032" max="4032" width="12.5703125" bestFit="1" customWidth="1"/>
    <col min="4033" max="4033" width="9.5703125" bestFit="1" customWidth="1"/>
    <col min="4034" max="4034" width="12.5703125" bestFit="1" customWidth="1"/>
    <col min="4035" max="4035" width="9.5703125" bestFit="1" customWidth="1"/>
    <col min="4036" max="4036" width="12.5703125" bestFit="1" customWidth="1"/>
    <col min="4037" max="4037" width="9.5703125" bestFit="1" customWidth="1"/>
    <col min="4038" max="4038" width="12.5703125" bestFit="1" customWidth="1"/>
    <col min="4039" max="4039" width="9.5703125" bestFit="1" customWidth="1"/>
    <col min="4040" max="4040" width="12.5703125" bestFit="1" customWidth="1"/>
    <col min="4041" max="4041" width="9.5703125" bestFit="1" customWidth="1"/>
    <col min="4042" max="4042" width="12.5703125" bestFit="1" customWidth="1"/>
    <col min="4043" max="4043" width="9.5703125" bestFit="1" customWidth="1"/>
    <col min="4044" max="4044" width="7.42578125" bestFit="1" customWidth="1"/>
    <col min="4045" max="4045" width="12.5703125" bestFit="1" customWidth="1"/>
    <col min="4046" max="4046" width="9.5703125" bestFit="1" customWidth="1"/>
    <col min="4047" max="4047" width="12.5703125" bestFit="1" customWidth="1"/>
    <col min="4048" max="4048" width="9.5703125" bestFit="1" customWidth="1"/>
    <col min="4049" max="4049" width="12.5703125" bestFit="1" customWidth="1"/>
    <col min="4050" max="4050" width="12" bestFit="1" customWidth="1"/>
    <col min="4051" max="4051" width="12.5703125" bestFit="1" customWidth="1"/>
    <col min="4052" max="4052" width="9.5703125" bestFit="1" customWidth="1"/>
    <col min="4053" max="4053" width="12.5703125" bestFit="1" customWidth="1"/>
    <col min="4054" max="4054" width="9.5703125" bestFit="1" customWidth="1"/>
    <col min="4055" max="4055" width="12.5703125" bestFit="1" customWidth="1"/>
    <col min="4056" max="4056" width="9.5703125" bestFit="1" customWidth="1"/>
    <col min="4057" max="4057" width="12.5703125" bestFit="1" customWidth="1"/>
    <col min="4058" max="4058" width="9.5703125" bestFit="1" customWidth="1"/>
    <col min="4059" max="4059" width="12.5703125" bestFit="1" customWidth="1"/>
    <col min="4060" max="4060" width="9.5703125" bestFit="1" customWidth="1"/>
    <col min="4061" max="4061" width="7.42578125" bestFit="1" customWidth="1"/>
    <col min="4062" max="4062" width="12.5703125" bestFit="1" customWidth="1"/>
    <col min="4063" max="4063" width="9.5703125" bestFit="1" customWidth="1"/>
    <col min="4064" max="4064" width="12.5703125" bestFit="1" customWidth="1"/>
    <col min="4065" max="4065" width="9.5703125" bestFit="1" customWidth="1"/>
    <col min="4066" max="4066" width="7.42578125" bestFit="1" customWidth="1"/>
    <col min="4067" max="4067" width="12.5703125" bestFit="1" customWidth="1"/>
    <col min="4068" max="4068" width="9.5703125" bestFit="1" customWidth="1"/>
    <col min="4069" max="4069" width="12.5703125" bestFit="1" customWidth="1"/>
    <col min="4070" max="4070" width="9.5703125" bestFit="1" customWidth="1"/>
    <col min="4071" max="4071" width="7.42578125" bestFit="1" customWidth="1"/>
    <col min="4072" max="4072" width="12.5703125" bestFit="1" customWidth="1"/>
    <col min="4073" max="4073" width="9.5703125" bestFit="1" customWidth="1"/>
    <col min="4074" max="4074" width="12.5703125" bestFit="1" customWidth="1"/>
    <col min="4075" max="4075" width="12" bestFit="1" customWidth="1"/>
    <col min="4076" max="4076" width="7.42578125" bestFit="1" customWidth="1"/>
    <col min="4077" max="4077" width="12.5703125" bestFit="1" customWidth="1"/>
    <col min="4078" max="4078" width="9.5703125" bestFit="1" customWidth="1"/>
    <col min="4079" max="4079" width="7.42578125" bestFit="1" customWidth="1"/>
    <col min="4080" max="4080" width="12.5703125" bestFit="1" customWidth="1"/>
    <col min="4081" max="4081" width="9.5703125" bestFit="1" customWidth="1"/>
    <col min="4082" max="4082" width="7.42578125" bestFit="1" customWidth="1"/>
    <col min="4083" max="4083" width="12.5703125" bestFit="1" customWidth="1"/>
    <col min="4084" max="4084" width="9.5703125" bestFit="1" customWidth="1"/>
    <col min="4085" max="4085" width="12.5703125" bestFit="1" customWidth="1"/>
    <col min="4086" max="4086" width="9.5703125" bestFit="1" customWidth="1"/>
    <col min="4087" max="4087" width="7.42578125" bestFit="1" customWidth="1"/>
    <col min="4088" max="4088" width="12.5703125" bestFit="1" customWidth="1"/>
    <col min="4089" max="4089" width="9.5703125" bestFit="1" customWidth="1"/>
    <col min="4090" max="4090" width="12.5703125" bestFit="1" customWidth="1"/>
    <col min="4091" max="4091" width="9.5703125" bestFit="1" customWidth="1"/>
    <col min="4092" max="4092" width="12.5703125" bestFit="1" customWidth="1"/>
    <col min="4093" max="4093" width="9.5703125" bestFit="1" customWidth="1"/>
    <col min="4094" max="4094" width="7.42578125" bestFit="1" customWidth="1"/>
    <col min="4095" max="4095" width="12.5703125" bestFit="1" customWidth="1"/>
    <col min="4096" max="4096" width="9.5703125" bestFit="1" customWidth="1"/>
    <col min="4097" max="4097" width="12.5703125" bestFit="1" customWidth="1"/>
    <col min="4098" max="4098" width="9.5703125" bestFit="1" customWidth="1"/>
    <col min="4099" max="4099" width="7.42578125" bestFit="1" customWidth="1"/>
    <col min="4100" max="4100" width="12.5703125" bestFit="1" customWidth="1"/>
    <col min="4101" max="4101" width="9.5703125" bestFit="1" customWidth="1"/>
    <col min="4102" max="4102" width="12.5703125" bestFit="1" customWidth="1"/>
    <col min="4103" max="4103" width="9.5703125" bestFit="1" customWidth="1"/>
    <col min="4104" max="4104" width="12.5703125" bestFit="1" customWidth="1"/>
    <col min="4105" max="4105" width="9.5703125" bestFit="1" customWidth="1"/>
    <col min="4106" max="4106" width="7.42578125" bestFit="1" customWidth="1"/>
    <col min="4107" max="4107" width="12.5703125" bestFit="1" customWidth="1"/>
    <col min="4108" max="4108" width="12" bestFit="1" customWidth="1"/>
    <col min="4109" max="4109" width="7.42578125" bestFit="1" customWidth="1"/>
    <col min="4110" max="4110" width="12.5703125" bestFit="1" customWidth="1"/>
    <col min="4111" max="4111" width="13.5703125" bestFit="1" customWidth="1"/>
    <col min="4112" max="4112" width="21.5703125" bestFit="1" customWidth="1"/>
    <col min="4113" max="4113" width="9.5703125" bestFit="1" customWidth="1"/>
    <col min="4114" max="4114" width="12.5703125" bestFit="1" customWidth="1"/>
    <col min="4115" max="4115" width="13.5703125" bestFit="1" customWidth="1"/>
    <col min="4116" max="4116" width="21.5703125" bestFit="1" customWidth="1"/>
    <col min="4117" max="4117" width="13.5703125" bestFit="1" customWidth="1"/>
    <col min="4118" max="4118" width="21.5703125" bestFit="1" customWidth="1"/>
    <col min="4119" max="4119" width="12.5703125" bestFit="1" customWidth="1"/>
    <col min="4120" max="4120" width="7.42578125" bestFit="1" customWidth="1"/>
    <col min="4121" max="4121" width="15.5703125" bestFit="1" customWidth="1"/>
    <col min="4122" max="4122" width="13.5703125" bestFit="1" customWidth="1"/>
    <col min="4123" max="4123" width="21.5703125" bestFit="1" customWidth="1"/>
    <col min="4124" max="4124" width="9.5703125" bestFit="1" customWidth="1"/>
    <col min="4125" max="4125" width="12.5703125" bestFit="1" customWidth="1"/>
    <col min="4126" max="4126" width="9.5703125" bestFit="1" customWidth="1"/>
    <col min="4127" max="4127" width="12.5703125" bestFit="1" customWidth="1"/>
    <col min="4128" max="4128" width="9.5703125" bestFit="1" customWidth="1"/>
    <col min="4129" max="4130" width="12.5703125" bestFit="1" customWidth="1"/>
    <col min="4131" max="4131" width="15.5703125" bestFit="1" customWidth="1"/>
    <col min="4132" max="4132" width="13.5703125" bestFit="1" customWidth="1"/>
    <col min="4133" max="4133" width="21.5703125" bestFit="1" customWidth="1"/>
    <col min="4134" max="4134" width="9.5703125" bestFit="1" customWidth="1"/>
    <col min="4135" max="4135" width="12.5703125" bestFit="1" customWidth="1"/>
    <col min="4136" max="4136" width="9.5703125" bestFit="1" customWidth="1"/>
    <col min="4137" max="4137" width="12.5703125" bestFit="1" customWidth="1"/>
    <col min="4138" max="4138" width="9.5703125" bestFit="1" customWidth="1"/>
    <col min="4139" max="4139" width="12.5703125" bestFit="1" customWidth="1"/>
    <col min="4140" max="4140" width="9.5703125" bestFit="1" customWidth="1"/>
    <col min="4141" max="4141" width="12.5703125" bestFit="1" customWidth="1"/>
    <col min="4142" max="4142" width="9.5703125" bestFit="1" customWidth="1"/>
    <col min="4143" max="4143" width="12.5703125" bestFit="1" customWidth="1"/>
    <col min="4144" max="4144" width="9.5703125" bestFit="1" customWidth="1"/>
    <col min="4145" max="4145" width="12.5703125" bestFit="1" customWidth="1"/>
    <col min="4146" max="4146" width="9.5703125" bestFit="1" customWidth="1"/>
    <col min="4147" max="4147" width="12.5703125" bestFit="1" customWidth="1"/>
    <col min="4148" max="4148" width="9.5703125" bestFit="1" customWidth="1"/>
    <col min="4149" max="4149" width="7.42578125" bestFit="1" customWidth="1"/>
    <col min="4150" max="4150" width="12.5703125" bestFit="1" customWidth="1"/>
    <col min="4151" max="4151" width="9.5703125" bestFit="1" customWidth="1"/>
    <col min="4152" max="4152" width="7.42578125" bestFit="1" customWidth="1"/>
    <col min="4153" max="4153" width="12.5703125" bestFit="1" customWidth="1"/>
    <col min="4154" max="4154" width="9.5703125" bestFit="1" customWidth="1"/>
    <col min="4155" max="4155" width="12.5703125" bestFit="1" customWidth="1"/>
    <col min="4156" max="4156" width="9.5703125" bestFit="1" customWidth="1"/>
    <col min="4157" max="4158" width="12.5703125" bestFit="1" customWidth="1"/>
    <col min="4159" max="4159" width="7.42578125" bestFit="1" customWidth="1"/>
    <col min="4160" max="4160" width="15.5703125" bestFit="1" customWidth="1"/>
    <col min="4161" max="4161" width="9.5703125" bestFit="1" customWidth="1"/>
    <col min="4162" max="4162" width="12.5703125" bestFit="1" customWidth="1"/>
    <col min="4163" max="4163" width="9.5703125" bestFit="1" customWidth="1"/>
    <col min="4164" max="4164" width="7.42578125" bestFit="1" customWidth="1"/>
    <col min="4165" max="4165" width="12.5703125" bestFit="1" customWidth="1"/>
    <col min="4166" max="4166" width="9.5703125" bestFit="1" customWidth="1"/>
    <col min="4167" max="4167" width="7.42578125" bestFit="1" customWidth="1"/>
    <col min="4168" max="4168" width="12.5703125" bestFit="1" customWidth="1"/>
    <col min="4169" max="4169" width="9.5703125" bestFit="1" customWidth="1"/>
    <col min="4170" max="4170" width="12.5703125" bestFit="1" customWidth="1"/>
    <col min="4171" max="4171" width="9.5703125" bestFit="1" customWidth="1"/>
    <col min="4172" max="4172" width="12.5703125" bestFit="1" customWidth="1"/>
    <col min="4173" max="4173" width="13.5703125" bestFit="1" customWidth="1"/>
    <col min="4174" max="4174" width="21.5703125" bestFit="1" customWidth="1"/>
    <col min="4175" max="4175" width="13.5703125" bestFit="1" customWidth="1"/>
    <col min="4176" max="4176" width="21.5703125" bestFit="1" customWidth="1"/>
    <col min="4177" max="4177" width="9.5703125" bestFit="1" customWidth="1"/>
    <col min="4178" max="4178" width="12.5703125" bestFit="1" customWidth="1"/>
    <col min="4179" max="4179" width="9.5703125" bestFit="1" customWidth="1"/>
    <col min="4180" max="4180" width="7.42578125" bestFit="1" customWidth="1"/>
    <col min="4181" max="4182" width="12.5703125" bestFit="1" customWidth="1"/>
    <col min="4183" max="4183" width="15.5703125" bestFit="1" customWidth="1"/>
    <col min="4184" max="4184" width="9.5703125" bestFit="1" customWidth="1"/>
    <col min="4185" max="4185" width="12.5703125" bestFit="1" customWidth="1"/>
    <col min="4186" max="4186" width="9.5703125" bestFit="1" customWidth="1"/>
    <col min="4187" max="4187" width="7.42578125" bestFit="1" customWidth="1"/>
    <col min="4188" max="4188" width="12.5703125" bestFit="1" customWidth="1"/>
    <col min="4189" max="4189" width="9.5703125" bestFit="1" customWidth="1"/>
    <col min="4190" max="4190" width="12.5703125" bestFit="1" customWidth="1"/>
    <col min="4191" max="4191" width="9.5703125" bestFit="1" customWidth="1"/>
    <col min="4192" max="4192" width="12.5703125" bestFit="1" customWidth="1"/>
    <col min="4193" max="4193" width="12" bestFit="1" customWidth="1"/>
    <col min="4194" max="4194" width="7.42578125" bestFit="1" customWidth="1"/>
    <col min="4195" max="4195" width="12.5703125" bestFit="1" customWidth="1"/>
    <col min="4196" max="4196" width="9.5703125" bestFit="1" customWidth="1"/>
    <col min="4197" max="4197" width="12.5703125" bestFit="1" customWidth="1"/>
    <col min="4198" max="4198" width="9.5703125" bestFit="1" customWidth="1"/>
    <col min="4199" max="4199" width="12.5703125" bestFit="1" customWidth="1"/>
    <col min="4200" max="4200" width="9.5703125" bestFit="1" customWidth="1"/>
    <col min="4201" max="4201" width="12.5703125" bestFit="1" customWidth="1"/>
    <col min="4202" max="4202" width="9.5703125" bestFit="1" customWidth="1"/>
    <col min="4203" max="4204" width="12.5703125" bestFit="1" customWidth="1"/>
    <col min="4205" max="4205" width="15.5703125" bestFit="1" customWidth="1"/>
    <col min="4206" max="4206" width="9.5703125" bestFit="1" customWidth="1"/>
    <col min="4207" max="4207" width="12.5703125" bestFit="1" customWidth="1"/>
    <col min="4208" max="4208" width="9.5703125" bestFit="1" customWidth="1"/>
    <col min="4209" max="4209" width="12.5703125" bestFit="1" customWidth="1"/>
    <col min="4210" max="4210" width="9.5703125" bestFit="1" customWidth="1"/>
    <col min="4211" max="4211" width="12.5703125" bestFit="1" customWidth="1"/>
    <col min="4212" max="4212" width="9.5703125" bestFit="1" customWidth="1"/>
    <col min="4213" max="4213" width="7.42578125" bestFit="1" customWidth="1"/>
    <col min="4214" max="4215" width="12.5703125" bestFit="1" customWidth="1"/>
    <col min="4216" max="4216" width="7.42578125" bestFit="1" customWidth="1"/>
    <col min="4217" max="4217" width="15.5703125" bestFit="1" customWidth="1"/>
    <col min="4218" max="4218" width="9.5703125" bestFit="1" customWidth="1"/>
    <col min="4219" max="4219" width="7.42578125" bestFit="1" customWidth="1"/>
    <col min="4220" max="4220" width="12.5703125" bestFit="1" customWidth="1"/>
    <col min="4221" max="4221" width="9.5703125" bestFit="1" customWidth="1"/>
    <col min="4222" max="4223" width="12.5703125" bestFit="1" customWidth="1"/>
    <col min="4224" max="4224" width="15.5703125" bestFit="1" customWidth="1"/>
    <col min="4225" max="4225" width="9.5703125" bestFit="1" customWidth="1"/>
    <col min="4226" max="4226" width="12.5703125" bestFit="1" customWidth="1"/>
    <col min="4227" max="4227" width="9.5703125" bestFit="1" customWidth="1"/>
    <col min="4228" max="4228" width="7.42578125" bestFit="1" customWidth="1"/>
    <col min="4229" max="4229" width="12.5703125" bestFit="1" customWidth="1"/>
    <col min="4230" max="4230" width="9.5703125" bestFit="1" customWidth="1"/>
    <col min="4231" max="4231" width="12.5703125" bestFit="1" customWidth="1"/>
    <col min="4232" max="4232" width="9.5703125" bestFit="1" customWidth="1"/>
    <col min="4233" max="4233" width="12.5703125" bestFit="1" customWidth="1"/>
    <col min="4234" max="4234" width="12" bestFit="1" customWidth="1"/>
    <col min="4235" max="4235" width="7.42578125" bestFit="1" customWidth="1"/>
    <col min="4236" max="4236" width="12.5703125" bestFit="1" customWidth="1"/>
    <col min="4237" max="4237" width="9.5703125" bestFit="1" customWidth="1"/>
    <col min="4238" max="4238" width="12.5703125" bestFit="1" customWidth="1"/>
    <col min="4239" max="4239" width="9.5703125" bestFit="1" customWidth="1"/>
    <col min="4240" max="4240" width="12.5703125" bestFit="1" customWidth="1"/>
    <col min="4241" max="4241" width="9.5703125" bestFit="1" customWidth="1"/>
    <col min="4242" max="4242" width="12.5703125" bestFit="1" customWidth="1"/>
    <col min="4243" max="4243" width="13.5703125" bestFit="1" customWidth="1"/>
    <col min="4244" max="4244" width="21.5703125" bestFit="1" customWidth="1"/>
    <col min="4245" max="4245" width="13.5703125" bestFit="1" customWidth="1"/>
    <col min="4246" max="4246" width="21.5703125" bestFit="1" customWidth="1"/>
    <col min="4247" max="4247" width="13.5703125" bestFit="1" customWidth="1"/>
    <col min="4248" max="4248" width="21.5703125" bestFit="1" customWidth="1"/>
    <col min="4249" max="4249" width="13.5703125" bestFit="1" customWidth="1"/>
    <col min="4250" max="4250" width="21.5703125" bestFit="1" customWidth="1"/>
    <col min="4251" max="4251" width="9.5703125" bestFit="1" customWidth="1"/>
    <col min="4252" max="4252" width="12.5703125" bestFit="1" customWidth="1"/>
    <col min="4253" max="4253" width="9.5703125" bestFit="1" customWidth="1"/>
    <col min="4254" max="4254" width="12.5703125" bestFit="1" customWidth="1"/>
    <col min="4255" max="4255" width="9.5703125" bestFit="1" customWidth="1"/>
    <col min="4256" max="4256" width="12.5703125" bestFit="1" customWidth="1"/>
    <col min="4257" max="4257" width="9.5703125" bestFit="1" customWidth="1"/>
    <col min="4258" max="4258" width="12.5703125" bestFit="1" customWidth="1"/>
    <col min="4259" max="4259" width="9.5703125" bestFit="1" customWidth="1"/>
    <col min="4260" max="4260" width="12.5703125" bestFit="1" customWidth="1"/>
    <col min="4261" max="4261" width="9.5703125" bestFit="1" customWidth="1"/>
    <col min="4262" max="4262" width="12.5703125" bestFit="1" customWidth="1"/>
    <col min="4263" max="4263" width="9.5703125" bestFit="1" customWidth="1"/>
    <col min="4264" max="4264" width="12.5703125" bestFit="1" customWidth="1"/>
    <col min="4265" max="4265" width="9.5703125" bestFit="1" customWidth="1"/>
    <col min="4266" max="4266" width="12.5703125" bestFit="1" customWidth="1"/>
    <col min="4267" max="4267" width="9.5703125" bestFit="1" customWidth="1"/>
    <col min="4268" max="4268" width="12.5703125" bestFit="1" customWidth="1"/>
    <col min="4269" max="4269" width="9.5703125" bestFit="1" customWidth="1"/>
    <col min="4270" max="4270" width="12.5703125" bestFit="1" customWidth="1"/>
    <col min="4271" max="4271" width="9.5703125" bestFit="1" customWidth="1"/>
    <col min="4272" max="4272" width="12.5703125" bestFit="1" customWidth="1"/>
    <col min="4273" max="4273" width="9.5703125" bestFit="1" customWidth="1"/>
    <col min="4274" max="4274" width="12.5703125" bestFit="1" customWidth="1"/>
    <col min="4275" max="4275" width="9.5703125" bestFit="1" customWidth="1"/>
    <col min="4276" max="4276" width="12.5703125" bestFit="1" customWidth="1"/>
    <col min="4277" max="4277" width="9.5703125" bestFit="1" customWidth="1"/>
    <col min="4278" max="4278" width="12.5703125" bestFit="1" customWidth="1"/>
    <col min="4279" max="4279" width="9.5703125" bestFit="1" customWidth="1"/>
    <col min="4280" max="4280" width="12.5703125" bestFit="1" customWidth="1"/>
    <col min="4281" max="4281" width="9.5703125" bestFit="1" customWidth="1"/>
    <col min="4282" max="4282" width="12.5703125" bestFit="1" customWidth="1"/>
    <col min="4283" max="4283" width="9.5703125" bestFit="1" customWidth="1"/>
    <col min="4284" max="4284" width="12.5703125" bestFit="1" customWidth="1"/>
    <col min="4285" max="4285" width="13.5703125" bestFit="1" customWidth="1"/>
    <col min="4286" max="4286" width="21.5703125" bestFit="1" customWidth="1"/>
    <col min="4287" max="4287" width="13.5703125" bestFit="1" customWidth="1"/>
    <col min="4288" max="4288" width="21.5703125" bestFit="1" customWidth="1"/>
    <col min="4289" max="4289" width="13.5703125" bestFit="1" customWidth="1"/>
    <col min="4290" max="4290" width="21.5703125" bestFit="1" customWidth="1"/>
    <col min="4291" max="4291" width="13.5703125" bestFit="1" customWidth="1"/>
    <col min="4292" max="4292" width="21.5703125" bestFit="1" customWidth="1"/>
    <col min="4293" max="4293" width="12.5703125" bestFit="1" customWidth="1"/>
    <col min="4294" max="4294" width="15.5703125" bestFit="1" customWidth="1"/>
    <col min="4295" max="4295" width="13.5703125" bestFit="1" customWidth="1"/>
    <col min="4296" max="4296" width="21.5703125" bestFit="1" customWidth="1"/>
    <col min="4297" max="4297" width="13.5703125" bestFit="1" customWidth="1"/>
    <col min="4298" max="4298" width="21.5703125" bestFit="1" customWidth="1"/>
    <col min="4299" max="4299" width="9.5703125" bestFit="1" customWidth="1"/>
    <col min="4300" max="4300" width="12.5703125" bestFit="1" customWidth="1"/>
    <col min="4301" max="4301" width="9.5703125" bestFit="1" customWidth="1"/>
    <col min="4302" max="4302" width="12.5703125" bestFit="1" customWidth="1"/>
    <col min="4303" max="4303" width="9.5703125" bestFit="1" customWidth="1"/>
    <col min="4304" max="4304" width="12.5703125" bestFit="1" customWidth="1"/>
    <col min="4305" max="4305" width="9.5703125" bestFit="1" customWidth="1"/>
    <col min="4306" max="4306" width="12.5703125" bestFit="1" customWidth="1"/>
    <col min="4307" max="4307" width="9.5703125" bestFit="1" customWidth="1"/>
    <col min="4308" max="4308" width="12.5703125" bestFit="1" customWidth="1"/>
    <col min="4309" max="4309" width="9.5703125" bestFit="1" customWidth="1"/>
    <col min="4310" max="4310" width="12.5703125" bestFit="1" customWidth="1"/>
    <col min="4311" max="4311" width="9.5703125" bestFit="1" customWidth="1"/>
    <col min="4312" max="4313" width="12.5703125" bestFit="1" customWidth="1"/>
    <col min="4314" max="4314" width="15.5703125" bestFit="1" customWidth="1"/>
    <col min="4315" max="4315" width="9.5703125" bestFit="1" customWidth="1"/>
    <col min="4316" max="4316" width="12.5703125" bestFit="1" customWidth="1"/>
    <col min="4317" max="4317" width="9.5703125" bestFit="1" customWidth="1"/>
    <col min="4318" max="4318" width="7.42578125" bestFit="1" customWidth="1"/>
    <col min="4319" max="4319" width="12.5703125" bestFit="1" customWidth="1"/>
    <col min="4320" max="4320" width="9.5703125" bestFit="1" customWidth="1"/>
    <col min="4321" max="4321" width="12.5703125" bestFit="1" customWidth="1"/>
    <col min="4322" max="4322" width="9.5703125" bestFit="1" customWidth="1"/>
    <col min="4323" max="4323" width="12.5703125" bestFit="1" customWidth="1"/>
    <col min="4324" max="4324" width="9.5703125" bestFit="1" customWidth="1"/>
    <col min="4325" max="4325" width="12.5703125" bestFit="1" customWidth="1"/>
    <col min="4326" max="4326" width="13.5703125" bestFit="1" customWidth="1"/>
    <col min="4327" max="4327" width="21.5703125" bestFit="1" customWidth="1"/>
    <col min="4328" max="4328" width="13.5703125" bestFit="1" customWidth="1"/>
    <col min="4329" max="4329" width="21.5703125" bestFit="1" customWidth="1"/>
    <col min="4330" max="4330" width="9.5703125" bestFit="1" customWidth="1"/>
    <col min="4331" max="4331" width="12.5703125" bestFit="1" customWidth="1"/>
    <col min="4332" max="4332" width="9.5703125" bestFit="1" customWidth="1"/>
    <col min="4333" max="4333" width="12.5703125" bestFit="1" customWidth="1"/>
    <col min="4334" max="4334" width="9.5703125" bestFit="1" customWidth="1"/>
    <col min="4335" max="4335" width="12.5703125" bestFit="1" customWidth="1"/>
    <col min="4336" max="4336" width="9.5703125" bestFit="1" customWidth="1"/>
    <col min="4337" max="4337" width="12.5703125" bestFit="1" customWidth="1"/>
    <col min="4338" max="4338" width="9.5703125" bestFit="1" customWidth="1"/>
    <col min="4339" max="4339" width="12.5703125" bestFit="1" customWidth="1"/>
    <col min="4340" max="4340" width="9.5703125" bestFit="1" customWidth="1"/>
    <col min="4341" max="4341" width="12.5703125" bestFit="1" customWidth="1"/>
    <col min="4342" max="4342" width="13.5703125" bestFit="1" customWidth="1"/>
    <col min="4343" max="4343" width="20.5703125" bestFit="1" customWidth="1"/>
    <col min="4344" max="4344" width="9.5703125" bestFit="1" customWidth="1"/>
    <col min="4345" max="4345" width="12.5703125" bestFit="1" customWidth="1"/>
    <col min="4346" max="4346" width="13.5703125" bestFit="1" customWidth="1"/>
    <col min="4347" max="4347" width="20.5703125" bestFit="1" customWidth="1"/>
    <col min="4348" max="4348" width="9.5703125" bestFit="1" customWidth="1"/>
    <col min="4349" max="4349" width="12.5703125" bestFit="1" customWidth="1"/>
    <col min="4350" max="4350" width="9.5703125" bestFit="1" customWidth="1"/>
    <col min="4351" max="4351" width="12.5703125" bestFit="1" customWidth="1"/>
    <col min="4352" max="4352" width="9.5703125" bestFit="1" customWidth="1"/>
    <col min="4353" max="4353" width="12.5703125" bestFit="1" customWidth="1"/>
    <col min="4354" max="4354" width="13.5703125" bestFit="1" customWidth="1"/>
    <col min="4355" max="4355" width="21.5703125" bestFit="1" customWidth="1"/>
    <col min="4356" max="4356" width="9.5703125" bestFit="1" customWidth="1"/>
    <col min="4357" max="4357" width="12.5703125" bestFit="1" customWidth="1"/>
    <col min="4358" max="4358" width="9.5703125" bestFit="1" customWidth="1"/>
    <col min="4359" max="4359" width="12.5703125" bestFit="1" customWidth="1"/>
    <col min="4360" max="4360" width="9.5703125" bestFit="1" customWidth="1"/>
    <col min="4361" max="4361" width="12.5703125" bestFit="1" customWidth="1"/>
    <col min="4362" max="4362" width="9.5703125" bestFit="1" customWidth="1"/>
    <col min="4363" max="4363" width="12.5703125" bestFit="1" customWidth="1"/>
    <col min="4364" max="4364" width="9.5703125" bestFit="1" customWidth="1"/>
    <col min="4365" max="4365" width="12.5703125" bestFit="1" customWidth="1"/>
    <col min="4366" max="4366" width="9.5703125" bestFit="1" customWidth="1"/>
    <col min="4367" max="4367" width="12.5703125" bestFit="1" customWidth="1"/>
    <col min="4368" max="4368" width="13.5703125" bestFit="1" customWidth="1"/>
    <col min="4369" max="4369" width="21.5703125" bestFit="1" customWidth="1"/>
    <col min="4370" max="4370" width="12.5703125" bestFit="1" customWidth="1"/>
    <col min="4371" max="4371" width="15.5703125" bestFit="1" customWidth="1"/>
    <col min="4372" max="4372" width="9.5703125" bestFit="1" customWidth="1"/>
    <col min="4373" max="4373" width="12.5703125" bestFit="1" customWidth="1"/>
    <col min="4374" max="4374" width="9.5703125" bestFit="1" customWidth="1"/>
    <col min="4375" max="4375" width="12.5703125" bestFit="1" customWidth="1"/>
    <col min="4376" max="4376" width="13.5703125" bestFit="1" customWidth="1"/>
    <col min="4377" max="4377" width="21.5703125" bestFit="1" customWidth="1"/>
    <col min="4378" max="4378" width="9.5703125" bestFit="1" customWidth="1"/>
    <col min="4379" max="4379" width="12.5703125" bestFit="1" customWidth="1"/>
    <col min="4380" max="4380" width="13.5703125" bestFit="1" customWidth="1"/>
    <col min="4381" max="4381" width="21.5703125" bestFit="1" customWidth="1"/>
    <col min="4382" max="4382" width="9.5703125" bestFit="1" customWidth="1"/>
    <col min="4383" max="4383" width="12.5703125" bestFit="1" customWidth="1"/>
    <col min="4384" max="4384" width="9.5703125" bestFit="1" customWidth="1"/>
    <col min="4385" max="4385" width="12.5703125" bestFit="1" customWidth="1"/>
    <col min="4386" max="4386" width="9.5703125" bestFit="1" customWidth="1"/>
    <col min="4387" max="4387" width="12.5703125" bestFit="1" customWidth="1"/>
    <col min="4388" max="4388" width="9.5703125" bestFit="1" customWidth="1"/>
    <col min="4389" max="4389" width="12.5703125" bestFit="1" customWidth="1"/>
    <col min="4390" max="4390" width="9.5703125" bestFit="1" customWidth="1"/>
    <col min="4391" max="4391" width="12.5703125" bestFit="1" customWidth="1"/>
    <col min="4392" max="4392" width="9.5703125" bestFit="1" customWidth="1"/>
    <col min="4393" max="4393" width="12.5703125" bestFit="1" customWidth="1"/>
    <col min="4394" max="4394" width="9.5703125" bestFit="1" customWidth="1"/>
    <col min="4395" max="4395" width="12.5703125" bestFit="1" customWidth="1"/>
    <col min="4396" max="4396" width="9.5703125" bestFit="1" customWidth="1"/>
    <col min="4397" max="4397" width="12.5703125" bestFit="1" customWidth="1"/>
    <col min="4398" max="4398" width="13.5703125" bestFit="1" customWidth="1"/>
    <col min="4399" max="4399" width="21.5703125" bestFit="1" customWidth="1"/>
    <col min="4400" max="4400" width="12.5703125" bestFit="1" customWidth="1"/>
    <col min="4401" max="4401" width="15.5703125" bestFit="1" customWidth="1"/>
    <col min="4402" max="4402" width="9.5703125" bestFit="1" customWidth="1"/>
    <col min="4403" max="4403" width="12.5703125" bestFit="1" customWidth="1"/>
    <col min="4404" max="4404" width="9.5703125" bestFit="1" customWidth="1"/>
    <col min="4405" max="4405" width="12.5703125" bestFit="1" customWidth="1"/>
    <col min="4406" max="4406" width="13.5703125" bestFit="1" customWidth="1"/>
    <col min="4407" max="4407" width="21.5703125" bestFit="1" customWidth="1"/>
    <col min="4408" max="4408" width="9.5703125" bestFit="1" customWidth="1"/>
    <col min="4409" max="4410" width="12.5703125" bestFit="1" customWidth="1"/>
    <col min="4411" max="4411" width="15.5703125" bestFit="1" customWidth="1"/>
    <col min="4412" max="4412" width="9.5703125" bestFit="1" customWidth="1"/>
    <col min="4413" max="4413" width="12.5703125" bestFit="1" customWidth="1"/>
    <col min="4414" max="4414" width="9.5703125" bestFit="1" customWidth="1"/>
    <col min="4415" max="4415" width="12.5703125" bestFit="1" customWidth="1"/>
    <col min="4416" max="4416" width="9.5703125" bestFit="1" customWidth="1"/>
    <col min="4417" max="4417" width="12.5703125" bestFit="1" customWidth="1"/>
    <col min="4418" max="4418" width="9.5703125" bestFit="1" customWidth="1"/>
    <col min="4419" max="4419" width="12.5703125" bestFit="1" customWidth="1"/>
    <col min="4420" max="4420" width="9.5703125" bestFit="1" customWidth="1"/>
    <col min="4421" max="4421" width="12.5703125" bestFit="1" customWidth="1"/>
    <col min="4422" max="4422" width="13.5703125" bestFit="1" customWidth="1"/>
    <col min="4423" max="4423" width="21.5703125" bestFit="1" customWidth="1"/>
    <col min="4424" max="4424" width="13.5703125" bestFit="1" customWidth="1"/>
    <col min="4425" max="4425" width="21.5703125" bestFit="1" customWidth="1"/>
    <col min="4426" max="4426" width="9.5703125" bestFit="1" customWidth="1"/>
    <col min="4427" max="4427" width="12.5703125" bestFit="1" customWidth="1"/>
    <col min="4428" max="4428" width="13.5703125" bestFit="1" customWidth="1"/>
    <col min="4429" max="4429" width="20.5703125" bestFit="1" customWidth="1"/>
    <col min="4430" max="4430" width="13.5703125" bestFit="1" customWidth="1"/>
    <col min="4431" max="4431" width="20.5703125" bestFit="1" customWidth="1"/>
    <col min="4432" max="4432" width="13.5703125" bestFit="1" customWidth="1"/>
    <col min="4433" max="4433" width="21.5703125" bestFit="1" customWidth="1"/>
    <col min="4434" max="4434" width="9.5703125" bestFit="1" customWidth="1"/>
    <col min="4435" max="4435" width="12.5703125" bestFit="1" customWidth="1"/>
    <col min="4436" max="4436" width="9.5703125" bestFit="1" customWidth="1"/>
    <col min="4437" max="4437" width="12.5703125" bestFit="1" customWidth="1"/>
    <col min="4438" max="4438" width="13.5703125" bestFit="1" customWidth="1"/>
    <col min="4439" max="4439" width="21.5703125" bestFit="1" customWidth="1"/>
    <col min="4440" max="4440" width="13.5703125" bestFit="1" customWidth="1"/>
    <col min="4441" max="4441" width="21.5703125" bestFit="1" customWidth="1"/>
    <col min="4442" max="4442" width="13.5703125" bestFit="1" customWidth="1"/>
    <col min="4443" max="4443" width="21.5703125" bestFit="1" customWidth="1"/>
    <col min="4444" max="4444" width="13.5703125" bestFit="1" customWidth="1"/>
    <col min="4445" max="4445" width="21.5703125" bestFit="1" customWidth="1"/>
    <col min="4446" max="4446" width="13.5703125" bestFit="1" customWidth="1"/>
    <col min="4447" max="4447" width="21.5703125" bestFit="1" customWidth="1"/>
    <col min="4448" max="4448" width="13.5703125" bestFit="1" customWidth="1"/>
    <col min="4449" max="4449" width="20.5703125" bestFit="1" customWidth="1"/>
    <col min="4450" max="4450" width="13.5703125" bestFit="1" customWidth="1"/>
    <col min="4451" max="4451" width="21.5703125" bestFit="1" customWidth="1"/>
    <col min="4452" max="4452" width="9.5703125" bestFit="1" customWidth="1"/>
    <col min="4453" max="4453" width="12.5703125" bestFit="1" customWidth="1"/>
    <col min="4454" max="4454" width="13.5703125" bestFit="1" customWidth="1"/>
    <col min="4455" max="4455" width="20.5703125" bestFit="1" customWidth="1"/>
    <col min="4456" max="4456" width="9.5703125" bestFit="1" customWidth="1"/>
    <col min="4457" max="4457" width="12.5703125" bestFit="1" customWidth="1"/>
    <col min="4458" max="4458" width="9.5703125" bestFit="1" customWidth="1"/>
    <col min="4459" max="4459" width="12.5703125" bestFit="1" customWidth="1"/>
    <col min="4460" max="4460" width="9.5703125" bestFit="1" customWidth="1"/>
    <col min="4461" max="4461" width="12.5703125" bestFit="1" customWidth="1"/>
    <col min="4462" max="4462" width="9.5703125" bestFit="1" customWidth="1"/>
    <col min="4463" max="4463" width="12.5703125" bestFit="1" customWidth="1"/>
    <col min="4464" max="4464" width="9.5703125" bestFit="1" customWidth="1"/>
    <col min="4465" max="4465" width="12.5703125" bestFit="1" customWidth="1"/>
    <col min="4466" max="4466" width="9.5703125" bestFit="1" customWidth="1"/>
    <col min="4467" max="4467" width="12.5703125" bestFit="1" customWidth="1"/>
    <col min="4468" max="4468" width="9.5703125" bestFit="1" customWidth="1"/>
    <col min="4469" max="4469" width="12.5703125" bestFit="1" customWidth="1"/>
    <col min="4470" max="4470" width="13.5703125" bestFit="1" customWidth="1"/>
    <col min="4471" max="4471" width="21.5703125" bestFit="1" customWidth="1"/>
    <col min="4472" max="4472" width="9.5703125" bestFit="1" customWidth="1"/>
    <col min="4473" max="4473" width="12.5703125" bestFit="1" customWidth="1"/>
    <col min="4474" max="4474" width="9.5703125" bestFit="1" customWidth="1"/>
    <col min="4475" max="4475" width="12.5703125" bestFit="1" customWidth="1"/>
    <col min="4476" max="4476" width="13.5703125" bestFit="1" customWidth="1"/>
    <col min="4477" max="4477" width="21.5703125" bestFit="1" customWidth="1"/>
    <col min="4478" max="4478" width="9.5703125" bestFit="1" customWidth="1"/>
    <col min="4479" max="4479" width="12.5703125" bestFit="1" customWidth="1"/>
    <col min="4480" max="4480" width="9.5703125" bestFit="1" customWidth="1"/>
    <col min="4481" max="4481" width="7.42578125" bestFit="1" customWidth="1"/>
    <col min="4482" max="4482" width="12.5703125" bestFit="1" customWidth="1"/>
    <col min="4483" max="4483" width="9.5703125" bestFit="1" customWidth="1"/>
    <col min="4484" max="4484" width="12.5703125" bestFit="1" customWidth="1"/>
    <col min="4485" max="4485" width="9.5703125" bestFit="1" customWidth="1"/>
    <col min="4486" max="4486" width="12.5703125" bestFit="1" customWidth="1"/>
    <col min="4487" max="4487" width="9.5703125" bestFit="1" customWidth="1"/>
    <col min="4488" max="4489" width="12.5703125" bestFit="1" customWidth="1"/>
    <col min="4490" max="4490" width="15.5703125" bestFit="1" customWidth="1"/>
    <col min="4491" max="4491" width="9.5703125" bestFit="1" customWidth="1"/>
    <col min="4492" max="4492" width="12.5703125" bestFit="1" customWidth="1"/>
    <col min="4493" max="4493" width="9.5703125" bestFit="1" customWidth="1"/>
    <col min="4494" max="4494" width="12.5703125" bestFit="1" customWidth="1"/>
    <col min="4495" max="4495" width="13.5703125" bestFit="1" customWidth="1"/>
    <col min="4496" max="4496" width="21.5703125" bestFit="1" customWidth="1"/>
    <col min="4497" max="4497" width="13.5703125" bestFit="1" customWidth="1"/>
    <col min="4498" max="4498" width="21.5703125" bestFit="1" customWidth="1"/>
    <col min="4499" max="4499" width="9.5703125" bestFit="1" customWidth="1"/>
    <col min="4500" max="4500" width="12.5703125" bestFit="1" customWidth="1"/>
    <col min="4501" max="4501" width="9.5703125" bestFit="1" customWidth="1"/>
    <col min="4502" max="4502" width="12.5703125" bestFit="1" customWidth="1"/>
    <col min="4503" max="4503" width="9.5703125" bestFit="1" customWidth="1"/>
    <col min="4504" max="4504" width="12.5703125" bestFit="1" customWidth="1"/>
    <col min="4505" max="4505" width="9.5703125" bestFit="1" customWidth="1"/>
    <col min="4506" max="4507" width="12.5703125" bestFit="1" customWidth="1"/>
    <col min="4508" max="4508" width="15.5703125" bestFit="1" customWidth="1"/>
    <col min="4509" max="4509" width="12.5703125" bestFit="1" customWidth="1"/>
    <col min="4510" max="4510" width="15.5703125" bestFit="1" customWidth="1"/>
    <col min="4511" max="4511" width="12.5703125" bestFit="1" customWidth="1"/>
    <col min="4512" max="4512" width="21.5703125" bestFit="1" customWidth="1"/>
    <col min="4513" max="4513" width="9.5703125" bestFit="1" customWidth="1"/>
    <col min="4514" max="4514" width="12.5703125" bestFit="1" customWidth="1"/>
    <col min="4515" max="4515" width="9.5703125" bestFit="1" customWidth="1"/>
    <col min="4516" max="4517" width="12.5703125" bestFit="1" customWidth="1"/>
    <col min="4518" max="4518" width="21.5703125" bestFit="1" customWidth="1"/>
    <col min="4519" max="4519" width="13.5703125" bestFit="1" customWidth="1"/>
    <col min="4520" max="4520" width="21.5703125" bestFit="1" customWidth="1"/>
    <col min="4521" max="4521" width="13.5703125" bestFit="1" customWidth="1"/>
    <col min="4522" max="4522" width="21.5703125" bestFit="1" customWidth="1"/>
    <col min="4523" max="4523" width="9.5703125" bestFit="1" customWidth="1"/>
    <col min="4524" max="4524" width="7.42578125" bestFit="1" customWidth="1"/>
    <col min="4525" max="4525" width="12.5703125" bestFit="1" customWidth="1"/>
    <col min="4526" max="4526" width="9.5703125" bestFit="1" customWidth="1"/>
    <col min="4527" max="4527" width="12.5703125" bestFit="1" customWidth="1"/>
    <col min="4528" max="4528" width="12" bestFit="1" customWidth="1"/>
    <col min="4529" max="4529" width="7.42578125" bestFit="1" customWidth="1"/>
    <col min="4530" max="4530" width="12.5703125" bestFit="1" customWidth="1"/>
    <col min="4531" max="4531" width="9.5703125" bestFit="1" customWidth="1"/>
    <col min="4532" max="4533" width="12.5703125" bestFit="1" customWidth="1"/>
    <col min="4534" max="4534" width="7.42578125" bestFit="1" customWidth="1"/>
    <col min="4535" max="4535" width="15.5703125" bestFit="1" customWidth="1"/>
    <col min="4536" max="4536" width="9.5703125" bestFit="1" customWidth="1"/>
    <col min="4537" max="4537" width="12.5703125" bestFit="1" customWidth="1"/>
    <col min="4538" max="4538" width="9.5703125" bestFit="1" customWidth="1"/>
    <col min="4539" max="4540" width="12.5703125" bestFit="1" customWidth="1"/>
    <col min="4541" max="4541" width="15.5703125" bestFit="1" customWidth="1"/>
    <col min="4542" max="4542" width="9.5703125" bestFit="1" customWidth="1"/>
    <col min="4543" max="4543" width="12.5703125" bestFit="1" customWidth="1"/>
    <col min="4544" max="4544" width="9.5703125" bestFit="1" customWidth="1"/>
    <col min="4545" max="4545" width="12.5703125" bestFit="1" customWidth="1"/>
    <col min="4546" max="4546" width="9.5703125" bestFit="1" customWidth="1"/>
    <col min="4547" max="4547" width="12.5703125" bestFit="1" customWidth="1"/>
    <col min="4548" max="4548" width="9.5703125" bestFit="1" customWidth="1"/>
    <col min="4549" max="4549" width="12.5703125" bestFit="1" customWidth="1"/>
    <col min="4550" max="4550" width="9.5703125" bestFit="1" customWidth="1"/>
    <col min="4551" max="4551" width="12.5703125" bestFit="1" customWidth="1"/>
    <col min="4552" max="4552" width="10" bestFit="1" customWidth="1"/>
    <col min="4553" max="4553" width="7.42578125" bestFit="1" customWidth="1"/>
    <col min="4554" max="4554" width="12.5703125" bestFit="1" customWidth="1"/>
    <col min="4555" max="4555" width="9.5703125" bestFit="1" customWidth="1"/>
    <col min="4556" max="4556" width="12.5703125" bestFit="1" customWidth="1"/>
    <col min="4557" max="4557" width="9.5703125" bestFit="1" customWidth="1"/>
    <col min="4558" max="4558" width="12.5703125" bestFit="1" customWidth="1"/>
    <col min="4559" max="4559" width="9.5703125" bestFit="1" customWidth="1"/>
    <col min="4560" max="4560" width="12.5703125" bestFit="1" customWidth="1"/>
    <col min="4561" max="4561" width="9.5703125" bestFit="1" customWidth="1"/>
    <col min="4562" max="4562" width="12.5703125" bestFit="1" customWidth="1"/>
    <col min="4563" max="4563" width="13.5703125" bestFit="1" customWidth="1"/>
    <col min="4564" max="4564" width="21.5703125" bestFit="1" customWidth="1"/>
    <col min="4565" max="4565" width="13.5703125" bestFit="1" customWidth="1"/>
    <col min="4566" max="4566" width="21.5703125" bestFit="1" customWidth="1"/>
    <col min="4567" max="4567" width="12.5703125" bestFit="1" customWidth="1"/>
    <col min="4568" max="4568" width="15.5703125" bestFit="1" customWidth="1"/>
    <col min="4569" max="4569" width="9.5703125" bestFit="1" customWidth="1"/>
    <col min="4570" max="4570" width="12.5703125" bestFit="1" customWidth="1"/>
    <col min="4571" max="4571" width="10.5703125" bestFit="1" customWidth="1"/>
    <col min="4572" max="4572" width="14" bestFit="1" customWidth="1"/>
    <col min="4573" max="4573" width="10.5703125" bestFit="1" customWidth="1"/>
    <col min="4574" max="4574" width="14" bestFit="1" customWidth="1"/>
    <col min="4575" max="4575" width="10.5703125" bestFit="1" customWidth="1"/>
    <col min="4576" max="4576" width="14" bestFit="1" customWidth="1"/>
    <col min="4577" max="4577" width="10.5703125" bestFit="1" customWidth="1"/>
    <col min="4578" max="4578" width="14" bestFit="1" customWidth="1"/>
    <col min="4579" max="4579" width="10.5703125" bestFit="1" customWidth="1"/>
    <col min="4580" max="4580" width="14" bestFit="1" customWidth="1"/>
    <col min="4581" max="4581" width="10.5703125" bestFit="1" customWidth="1"/>
    <col min="4582" max="4582" width="14" bestFit="1" customWidth="1"/>
    <col min="4583" max="4583" width="10.5703125" bestFit="1" customWidth="1"/>
    <col min="4584" max="4584" width="14" bestFit="1" customWidth="1"/>
    <col min="4585" max="4585" width="10.5703125" bestFit="1" customWidth="1"/>
    <col min="4586" max="4586" width="14" bestFit="1" customWidth="1"/>
    <col min="4587" max="4587" width="10.5703125" bestFit="1" customWidth="1"/>
    <col min="4588" max="4588" width="14" bestFit="1" customWidth="1"/>
    <col min="4589" max="4589" width="10.5703125" bestFit="1" customWidth="1"/>
    <col min="4590" max="4590" width="14" bestFit="1" customWidth="1"/>
    <col min="4591" max="4591" width="10.5703125" bestFit="1" customWidth="1"/>
    <col min="4592" max="4592" width="14" bestFit="1" customWidth="1"/>
    <col min="4593" max="4593" width="10.5703125" bestFit="1" customWidth="1"/>
    <col min="4594" max="4594" width="14" bestFit="1" customWidth="1"/>
    <col min="4595" max="4595" width="10.5703125" bestFit="1" customWidth="1"/>
    <col min="4596" max="4596" width="14" bestFit="1" customWidth="1"/>
    <col min="4597" max="4597" width="10.5703125" bestFit="1" customWidth="1"/>
    <col min="4598" max="4598" width="14" bestFit="1" customWidth="1"/>
    <col min="4599" max="4599" width="13.5703125" bestFit="1" customWidth="1"/>
    <col min="4600" max="4600" width="21.5703125" bestFit="1" customWidth="1"/>
    <col min="4601" max="4601" width="13.5703125" bestFit="1" customWidth="1"/>
    <col min="4602" max="4602" width="21.5703125" bestFit="1" customWidth="1"/>
    <col min="4603" max="4603" width="10.5703125" bestFit="1" customWidth="1"/>
    <col min="4604" max="4604" width="14" bestFit="1" customWidth="1"/>
    <col min="4605" max="4605" width="10.5703125" bestFit="1" customWidth="1"/>
    <col min="4606" max="4606" width="14" bestFit="1" customWidth="1"/>
    <col min="4607" max="4607" width="10.5703125" bestFit="1" customWidth="1"/>
    <col min="4608" max="4608" width="7.42578125" bestFit="1" customWidth="1"/>
    <col min="4609" max="4609" width="14" bestFit="1" customWidth="1"/>
    <col min="4610" max="4610" width="10.5703125" bestFit="1" customWidth="1"/>
    <col min="4611" max="4611" width="14" bestFit="1" customWidth="1"/>
    <col min="4612" max="4612" width="10.5703125" bestFit="1" customWidth="1"/>
    <col min="4613" max="4613" width="14" bestFit="1" customWidth="1"/>
    <col min="4614" max="4614" width="10.5703125" bestFit="1" customWidth="1"/>
    <col min="4615" max="4615" width="14" bestFit="1" customWidth="1"/>
    <col min="4616" max="4616" width="13.5703125" bestFit="1" customWidth="1"/>
    <col min="4617" max="4617" width="16.5703125" bestFit="1" customWidth="1"/>
    <col min="4618" max="4618" width="13.5703125" bestFit="1" customWidth="1"/>
    <col min="4619" max="4619" width="16.5703125" bestFit="1" customWidth="1"/>
    <col min="4620" max="4620" width="10.5703125" bestFit="1" customWidth="1"/>
    <col min="4621" max="4621" width="14" bestFit="1" customWidth="1"/>
    <col min="4622" max="4622" width="10.5703125" bestFit="1" customWidth="1"/>
    <col min="4623" max="4623" width="14" bestFit="1" customWidth="1"/>
    <col min="4624" max="4624" width="13.5703125" bestFit="1" customWidth="1"/>
    <col min="4625" max="4625" width="21.5703125" bestFit="1" customWidth="1"/>
    <col min="4626" max="4626" width="10.5703125" bestFit="1" customWidth="1"/>
    <col min="4627" max="4627" width="14" bestFit="1" customWidth="1"/>
    <col min="4628" max="4628" width="13.5703125" bestFit="1" customWidth="1"/>
    <col min="4629" max="4629" width="21.5703125" bestFit="1" customWidth="1"/>
    <col min="4630" max="4630" width="10.5703125" bestFit="1" customWidth="1"/>
    <col min="4631" max="4631" width="14" bestFit="1" customWidth="1"/>
    <col min="4632" max="4632" width="10.5703125" bestFit="1" customWidth="1"/>
    <col min="4633" max="4633" width="14" bestFit="1" customWidth="1"/>
    <col min="4634" max="4634" width="10.5703125" bestFit="1" customWidth="1"/>
    <col min="4635" max="4635" width="14" bestFit="1" customWidth="1"/>
    <col min="4636" max="4636" width="10.5703125" bestFit="1" customWidth="1"/>
    <col min="4637" max="4637" width="14" bestFit="1" customWidth="1"/>
    <col min="4638" max="4638" width="10.5703125" bestFit="1" customWidth="1"/>
    <col min="4639" max="4639" width="14" bestFit="1" customWidth="1"/>
    <col min="4640" max="4640" width="10.5703125" bestFit="1" customWidth="1"/>
    <col min="4641" max="4641" width="14" bestFit="1" customWidth="1"/>
    <col min="4642" max="4642" width="10.5703125" bestFit="1" customWidth="1"/>
    <col min="4643" max="4643" width="14" bestFit="1" customWidth="1"/>
    <col min="4644" max="4644" width="7.42578125" bestFit="1" customWidth="1"/>
    <col min="4645" max="4645" width="6.5703125" bestFit="1" customWidth="1"/>
    <col min="4647" max="4650" width="12" bestFit="1" customWidth="1"/>
    <col min="4651" max="4651" width="7.5703125" bestFit="1" customWidth="1"/>
    <col min="4652" max="4652" width="7.42578125" bestFit="1" customWidth="1"/>
    <col min="4653" max="4653" width="12.42578125" bestFit="1" customWidth="1"/>
    <col min="4654" max="4654" width="11.42578125" bestFit="1" customWidth="1"/>
  </cols>
  <sheetData>
    <row r="1" spans="1:5" ht="30">
      <c r="A1" s="13" t="s">
        <v>330</v>
      </c>
      <c r="B1" s="13" t="s">
        <v>331</v>
      </c>
      <c r="C1" s="20" t="s">
        <v>6</v>
      </c>
      <c r="D1" s="14" t="s">
        <v>332</v>
      </c>
      <c r="E1" s="317"/>
    </row>
    <row r="2" spans="1:5">
      <c r="A2" s="15" t="s">
        <v>286</v>
      </c>
      <c r="B2" s="19" t="s">
        <v>143</v>
      </c>
      <c r="C2" s="21">
        <v>145.11305769230771</v>
      </c>
      <c r="D2" s="9">
        <v>7874682.71</v>
      </c>
      <c r="E2" s="23"/>
    </row>
    <row r="3" spans="1:5">
      <c r="A3" s="15" t="s">
        <v>287</v>
      </c>
      <c r="B3" s="19" t="s">
        <v>144</v>
      </c>
      <c r="C3" s="21">
        <v>95.626276923076929</v>
      </c>
      <c r="D3" s="9">
        <v>7228285.9800000004</v>
      </c>
      <c r="E3" s="23"/>
    </row>
    <row r="4" spans="1:5">
      <c r="A4" s="15" t="s">
        <v>288</v>
      </c>
      <c r="B4" s="19" t="s">
        <v>145</v>
      </c>
      <c r="C4" s="21">
        <v>86.703750000000014</v>
      </c>
      <c r="D4" s="9">
        <v>4061501.7</v>
      </c>
      <c r="E4" s="23"/>
    </row>
    <row r="5" spans="1:5">
      <c r="A5" s="15" t="s">
        <v>289</v>
      </c>
      <c r="B5" s="19" t="s">
        <v>146</v>
      </c>
      <c r="C5" s="21">
        <v>18.591999999999999</v>
      </c>
      <c r="D5" s="9">
        <v>1099093.18</v>
      </c>
      <c r="E5" s="23"/>
    </row>
    <row r="6" spans="1:5">
      <c r="A6" s="15" t="s">
        <v>290</v>
      </c>
      <c r="B6" s="19" t="s">
        <v>147</v>
      </c>
      <c r="C6" s="21">
        <v>2.4336538461538457</v>
      </c>
      <c r="D6" s="9">
        <v>475401.65</v>
      </c>
      <c r="E6" s="23"/>
    </row>
    <row r="7" spans="1:5">
      <c r="A7" s="15" t="s">
        <v>333</v>
      </c>
      <c r="B7" s="19" t="s">
        <v>148</v>
      </c>
      <c r="C7" s="21">
        <v>0</v>
      </c>
      <c r="D7" s="9">
        <v>0</v>
      </c>
      <c r="E7" s="23"/>
    </row>
    <row r="8" spans="1:5">
      <c r="A8" s="15" t="s">
        <v>291</v>
      </c>
      <c r="B8" s="19" t="s">
        <v>149</v>
      </c>
      <c r="C8" s="21">
        <v>5.1965384615384638</v>
      </c>
      <c r="D8" s="9">
        <v>470203</v>
      </c>
      <c r="E8" s="23"/>
    </row>
    <row r="9" spans="1:5">
      <c r="A9" s="15" t="s">
        <v>292</v>
      </c>
      <c r="B9" s="19" t="s">
        <v>150</v>
      </c>
      <c r="C9" s="21">
        <v>54.936211538461542</v>
      </c>
      <c r="D9" s="9">
        <v>3446073.71</v>
      </c>
      <c r="E9" s="23"/>
    </row>
    <row r="10" spans="1:5">
      <c r="A10" s="15" t="s">
        <v>293</v>
      </c>
      <c r="B10" s="19" t="s">
        <v>151</v>
      </c>
      <c r="C10" s="21">
        <v>25.715961538461539</v>
      </c>
      <c r="D10" s="9">
        <v>1243545.04</v>
      </c>
      <c r="E10" s="23"/>
    </row>
    <row r="11" spans="1:5">
      <c r="A11" s="15" t="s">
        <v>334</v>
      </c>
      <c r="B11" s="19" t="s">
        <v>152</v>
      </c>
      <c r="C11" s="21">
        <v>0</v>
      </c>
      <c r="D11" s="9">
        <v>0</v>
      </c>
      <c r="E11" s="23"/>
    </row>
    <row r="12" spans="1:5">
      <c r="A12" s="15" t="s">
        <v>294</v>
      </c>
      <c r="B12" s="19" t="s">
        <v>153</v>
      </c>
      <c r="C12" s="21">
        <v>1.2500000000000002</v>
      </c>
      <c r="D12" s="9">
        <v>81676.990000000005</v>
      </c>
      <c r="E12" s="23"/>
    </row>
    <row r="13" spans="1:5">
      <c r="A13" s="15" t="s">
        <v>335</v>
      </c>
      <c r="B13" s="19" t="s">
        <v>154</v>
      </c>
      <c r="C13" s="21">
        <v>0.03</v>
      </c>
      <c r="D13" s="9">
        <v>1521</v>
      </c>
      <c r="E13" s="23"/>
    </row>
    <row r="14" spans="1:5">
      <c r="A14" s="15" t="s">
        <v>336</v>
      </c>
      <c r="B14" s="19" t="s">
        <v>155</v>
      </c>
      <c r="C14" s="21">
        <v>0</v>
      </c>
      <c r="D14" s="9">
        <v>0</v>
      </c>
      <c r="E14" s="23"/>
    </row>
    <row r="15" spans="1:5">
      <c r="A15" s="15" t="s">
        <v>295</v>
      </c>
      <c r="B15" s="19" t="s">
        <v>156</v>
      </c>
      <c r="C15" s="21">
        <v>2.16</v>
      </c>
      <c r="D15" s="9">
        <v>111680.8</v>
      </c>
      <c r="E15" s="23"/>
    </row>
    <row r="16" spans="1:5">
      <c r="A16" s="15" t="s">
        <v>337</v>
      </c>
      <c r="B16" s="19" t="s">
        <v>157</v>
      </c>
      <c r="C16" s="21">
        <v>0</v>
      </c>
      <c r="D16" s="9">
        <v>0</v>
      </c>
      <c r="E16" s="23"/>
    </row>
    <row r="17" spans="1:5">
      <c r="A17" s="15" t="s">
        <v>338</v>
      </c>
      <c r="B17" s="19" t="s">
        <v>158</v>
      </c>
      <c r="C17" s="21">
        <v>0</v>
      </c>
      <c r="D17" s="9">
        <v>0</v>
      </c>
      <c r="E17" s="23"/>
    </row>
    <row r="18" spans="1:5">
      <c r="A18" s="15" t="s">
        <v>339</v>
      </c>
      <c r="B18" s="19" t="s">
        <v>159</v>
      </c>
      <c r="C18" s="21">
        <v>0</v>
      </c>
      <c r="D18" s="9">
        <v>0</v>
      </c>
      <c r="E18" s="23"/>
    </row>
    <row r="19" spans="1:5">
      <c r="A19" s="15" t="s">
        <v>340</v>
      </c>
      <c r="B19" s="19" t="s">
        <v>160</v>
      </c>
      <c r="C19" s="21">
        <v>0</v>
      </c>
      <c r="D19" s="9">
        <v>0</v>
      </c>
      <c r="E19" s="23"/>
    </row>
    <row r="20" spans="1:5">
      <c r="A20" s="15" t="s">
        <v>341</v>
      </c>
      <c r="B20" s="19" t="s">
        <v>161</v>
      </c>
      <c r="C20" s="21">
        <v>0</v>
      </c>
      <c r="D20" s="9">
        <v>0</v>
      </c>
      <c r="E20" s="23"/>
    </row>
    <row r="21" spans="1:5">
      <c r="A21" s="15" t="s">
        <v>342</v>
      </c>
      <c r="B21" s="19" t="s">
        <v>162</v>
      </c>
      <c r="C21" s="21">
        <v>0</v>
      </c>
      <c r="D21" s="9">
        <v>0</v>
      </c>
      <c r="E21" s="23"/>
    </row>
    <row r="22" spans="1:5">
      <c r="A22" s="15" t="s">
        <v>296</v>
      </c>
      <c r="B22" s="19" t="s">
        <v>163</v>
      </c>
      <c r="C22" s="21">
        <v>3.1348183659620315</v>
      </c>
      <c r="D22" s="9">
        <v>211904.88999999998</v>
      </c>
      <c r="E22" s="23"/>
    </row>
    <row r="23" spans="1:5">
      <c r="A23" s="15" t="s">
        <v>297</v>
      </c>
      <c r="B23" s="19" t="s">
        <v>298</v>
      </c>
      <c r="C23" s="21">
        <v>16.88</v>
      </c>
      <c r="D23" s="9">
        <v>747362</v>
      </c>
      <c r="E23" s="23"/>
    </row>
    <row r="24" spans="1:5">
      <c r="A24" s="15" t="s">
        <v>299</v>
      </c>
      <c r="B24" s="19" t="s">
        <v>164</v>
      </c>
      <c r="C24" s="21">
        <v>45.009300000000003</v>
      </c>
      <c r="D24" s="9">
        <v>2420241.69</v>
      </c>
      <c r="E24" s="23"/>
    </row>
    <row r="25" spans="1:5">
      <c r="A25" s="15" t="s">
        <v>300</v>
      </c>
      <c r="B25" s="19" t="s">
        <v>165</v>
      </c>
      <c r="C25" s="21">
        <v>17.16</v>
      </c>
      <c r="D25" s="9">
        <v>864204.21</v>
      </c>
      <c r="E25" s="23"/>
    </row>
    <row r="26" spans="1:5">
      <c r="A26" s="15" t="s">
        <v>301</v>
      </c>
      <c r="B26" s="19" t="s">
        <v>166</v>
      </c>
      <c r="C26" s="21">
        <v>24.829999999999995</v>
      </c>
      <c r="D26" s="9">
        <v>1396784.16</v>
      </c>
      <c r="E26" s="23"/>
    </row>
    <row r="27" spans="1:5">
      <c r="A27" s="15" t="s">
        <v>343</v>
      </c>
      <c r="B27" s="19" t="s">
        <v>167</v>
      </c>
      <c r="C27" s="21">
        <v>7.6099999999999994</v>
      </c>
      <c r="D27" s="9">
        <v>312679</v>
      </c>
      <c r="E27" s="23"/>
    </row>
    <row r="28" spans="1:5">
      <c r="A28" s="15" t="s">
        <v>302</v>
      </c>
      <c r="B28" s="19" t="s">
        <v>168</v>
      </c>
      <c r="C28" s="21">
        <v>3.9860000000000002</v>
      </c>
      <c r="D28" s="9">
        <v>123166.45</v>
      </c>
      <c r="E28" s="23"/>
    </row>
    <row r="29" spans="1:5">
      <c r="A29" s="15" t="s">
        <v>303</v>
      </c>
      <c r="B29" s="19" t="s">
        <v>169</v>
      </c>
      <c r="C29" s="21">
        <v>26.547999999999998</v>
      </c>
      <c r="D29" s="9">
        <v>1140655</v>
      </c>
      <c r="E29" s="23"/>
    </row>
    <row r="30" spans="1:5">
      <c r="A30" s="15" t="s">
        <v>304</v>
      </c>
      <c r="B30" s="19" t="s">
        <v>170</v>
      </c>
      <c r="C30" s="21">
        <v>53.546826923076921</v>
      </c>
      <c r="D30" s="9">
        <v>2771771.81</v>
      </c>
      <c r="E30" s="23"/>
    </row>
    <row r="31" spans="1:5">
      <c r="A31" s="15" t="s">
        <v>305</v>
      </c>
      <c r="B31" s="19" t="s">
        <v>171</v>
      </c>
      <c r="C31" s="21">
        <v>305.91463461538461</v>
      </c>
      <c r="D31" s="9">
        <v>11735150.940000001</v>
      </c>
      <c r="E31" s="23"/>
    </row>
    <row r="32" spans="1:5">
      <c r="A32" s="15" t="s">
        <v>306</v>
      </c>
      <c r="B32" s="19" t="s">
        <v>172</v>
      </c>
      <c r="C32" s="21">
        <v>249.352</v>
      </c>
      <c r="D32" s="9">
        <v>10002629.890000001</v>
      </c>
      <c r="E32" s="23"/>
    </row>
    <row r="33" spans="1:5">
      <c r="A33" s="15" t="s">
        <v>307</v>
      </c>
      <c r="B33" s="19" t="s">
        <v>173</v>
      </c>
      <c r="C33" s="21">
        <v>141.70673076923075</v>
      </c>
      <c r="D33" s="9">
        <v>6141174.870000002</v>
      </c>
      <c r="E33" s="23"/>
    </row>
    <row r="34" spans="1:5">
      <c r="A34" s="15" t="s">
        <v>308</v>
      </c>
      <c r="B34" s="19" t="s">
        <v>174</v>
      </c>
      <c r="C34" s="21">
        <v>1307.7046923076923</v>
      </c>
      <c r="D34" s="9">
        <v>38482041.18</v>
      </c>
      <c r="E34" s="23"/>
    </row>
    <row r="35" spans="1:5">
      <c r="A35" s="15" t="s">
        <v>309</v>
      </c>
      <c r="B35" s="19" t="s">
        <v>175</v>
      </c>
      <c r="C35" s="21">
        <v>825.71736538461539</v>
      </c>
      <c r="D35" s="9">
        <v>21484808.869999997</v>
      </c>
      <c r="E35" s="23"/>
    </row>
    <row r="36" spans="1:5">
      <c r="A36" s="15" t="s">
        <v>310</v>
      </c>
      <c r="B36" s="19" t="s">
        <v>176</v>
      </c>
      <c r="C36" s="21">
        <v>86.361153846153854</v>
      </c>
      <c r="D36" s="9">
        <v>3177838.9699999997</v>
      </c>
      <c r="E36" s="23"/>
    </row>
    <row r="37" spans="1:5">
      <c r="A37" s="15" t="s">
        <v>311</v>
      </c>
      <c r="B37" s="19" t="s">
        <v>177</v>
      </c>
      <c r="C37" s="21">
        <v>15.769600000000001</v>
      </c>
      <c r="D37" s="9">
        <v>608537.35</v>
      </c>
      <c r="E37" s="23"/>
    </row>
    <row r="38" spans="1:5">
      <c r="A38" s="15" t="s">
        <v>312</v>
      </c>
      <c r="B38" s="19" t="s">
        <v>178</v>
      </c>
      <c r="C38" s="21">
        <v>1.0076923076923077</v>
      </c>
      <c r="D38" s="9">
        <v>23952</v>
      </c>
      <c r="E38" s="23"/>
    </row>
    <row r="39" spans="1:5">
      <c r="A39" s="15" t="s">
        <v>344</v>
      </c>
      <c r="B39" s="19" t="s">
        <v>179</v>
      </c>
      <c r="C39" s="21">
        <v>0</v>
      </c>
      <c r="D39" s="9">
        <v>7096954</v>
      </c>
      <c r="E39" s="23"/>
    </row>
    <row r="40" spans="1:5">
      <c r="A40" s="15" t="s">
        <v>313</v>
      </c>
      <c r="B40" s="19" t="s">
        <v>180</v>
      </c>
      <c r="C40" s="21">
        <v>3569.9962645198084</v>
      </c>
      <c r="D40" s="9">
        <v>134835523.03999999</v>
      </c>
      <c r="E40" s="23"/>
    </row>
    <row r="41" spans="1:5">
      <c r="A41" s="15" t="s">
        <v>229</v>
      </c>
      <c r="B41" s="19" t="s">
        <v>345</v>
      </c>
      <c r="C41" s="21">
        <v>78.212019230769229</v>
      </c>
      <c r="D41" s="9">
        <v>134835523.03999999</v>
      </c>
      <c r="E41" s="23"/>
    </row>
    <row r="42" spans="1:5">
      <c r="A42" s="15" t="s">
        <v>230</v>
      </c>
      <c r="B42" s="19" t="s">
        <v>182</v>
      </c>
      <c r="C42" s="21">
        <v>0</v>
      </c>
      <c r="D42" s="9">
        <v>0</v>
      </c>
      <c r="E42" s="23"/>
    </row>
    <row r="43" spans="1:5">
      <c r="A43" s="15" t="s">
        <v>231</v>
      </c>
      <c r="B43" s="19" t="s">
        <v>183</v>
      </c>
      <c r="C43" s="21">
        <v>0</v>
      </c>
      <c r="D43" s="9">
        <v>0</v>
      </c>
      <c r="E43" s="23"/>
    </row>
    <row r="44" spans="1:5">
      <c r="A44" s="15" t="s">
        <v>232</v>
      </c>
      <c r="B44" s="19" t="s">
        <v>184</v>
      </c>
      <c r="C44" s="21">
        <v>0</v>
      </c>
      <c r="D44" s="9">
        <v>128973</v>
      </c>
      <c r="E44" s="23"/>
    </row>
    <row r="45" spans="1:5">
      <c r="A45" s="15" t="s">
        <v>233</v>
      </c>
      <c r="B45" s="19" t="s">
        <v>185</v>
      </c>
      <c r="C45" s="21">
        <v>0</v>
      </c>
      <c r="D45" s="9">
        <v>97427</v>
      </c>
      <c r="E45" s="23"/>
    </row>
    <row r="46" spans="1:5">
      <c r="A46" s="15" t="s">
        <v>234</v>
      </c>
      <c r="B46" s="19" t="s">
        <v>186</v>
      </c>
      <c r="C46" s="21">
        <v>0</v>
      </c>
      <c r="D46" s="9">
        <v>226400</v>
      </c>
      <c r="E46" s="23"/>
    </row>
    <row r="47" spans="1:5">
      <c r="A47" s="15" t="s">
        <v>235</v>
      </c>
      <c r="B47" s="19" t="s">
        <v>187</v>
      </c>
      <c r="C47" s="21">
        <v>0</v>
      </c>
      <c r="D47" s="9">
        <v>0</v>
      </c>
      <c r="E47" s="23"/>
    </row>
    <row r="48" spans="1:5">
      <c r="A48" s="15" t="s">
        <v>236</v>
      </c>
      <c r="B48" s="19" t="s">
        <v>188</v>
      </c>
      <c r="C48" s="21">
        <v>0</v>
      </c>
      <c r="D48" s="9">
        <v>135061923.03999999</v>
      </c>
      <c r="E48" s="23"/>
    </row>
    <row r="49" spans="1:5">
      <c r="A49" s="15" t="s">
        <v>237</v>
      </c>
      <c r="B49" s="19" t="s">
        <v>189</v>
      </c>
      <c r="C49" s="21">
        <v>0</v>
      </c>
      <c r="D49" s="9">
        <v>12325123.98</v>
      </c>
      <c r="E49" s="23"/>
    </row>
    <row r="50" spans="1:5">
      <c r="A50" s="15" t="s">
        <v>238</v>
      </c>
      <c r="B50" s="19" t="s">
        <v>190</v>
      </c>
      <c r="C50" s="21">
        <v>0</v>
      </c>
      <c r="D50" s="9">
        <v>16656333.02</v>
      </c>
      <c r="E50" s="23"/>
    </row>
    <row r="51" spans="1:5">
      <c r="A51" s="15" t="s">
        <v>239</v>
      </c>
      <c r="B51" s="19" t="s">
        <v>191</v>
      </c>
      <c r="C51" s="21">
        <v>0</v>
      </c>
      <c r="D51" s="9">
        <v>622092.74</v>
      </c>
      <c r="E51" s="23"/>
    </row>
    <row r="52" spans="1:5">
      <c r="A52" s="15" t="s">
        <v>240</v>
      </c>
      <c r="B52" s="19" t="s">
        <v>192</v>
      </c>
      <c r="C52" s="21">
        <v>0</v>
      </c>
      <c r="D52" s="9">
        <v>164665472.78</v>
      </c>
      <c r="E52" s="23"/>
    </row>
    <row r="53" spans="1:5">
      <c r="A53" s="15" t="s">
        <v>241</v>
      </c>
      <c r="B53" s="19" t="s">
        <v>193</v>
      </c>
      <c r="C53" s="21">
        <v>0</v>
      </c>
      <c r="D53" s="9">
        <v>17115292.059999999</v>
      </c>
      <c r="E53" s="23"/>
    </row>
    <row r="54" spans="1:5">
      <c r="A54" s="15" t="s">
        <v>242</v>
      </c>
      <c r="B54" s="19" t="s">
        <v>194</v>
      </c>
      <c r="C54" s="21">
        <v>0</v>
      </c>
      <c r="D54" s="9">
        <v>2144853.0699999998</v>
      </c>
      <c r="E54" s="23"/>
    </row>
    <row r="55" spans="1:5">
      <c r="A55" s="15" t="s">
        <v>243</v>
      </c>
      <c r="B55" s="19" t="s">
        <v>195</v>
      </c>
      <c r="C55" s="21">
        <v>0</v>
      </c>
      <c r="D55" s="9">
        <v>9518183.7299999986</v>
      </c>
      <c r="E55" s="23"/>
    </row>
    <row r="56" spans="1:5">
      <c r="A56" s="15" t="s">
        <v>244</v>
      </c>
      <c r="B56" s="19" t="s">
        <v>196</v>
      </c>
      <c r="C56" s="21">
        <v>0</v>
      </c>
      <c r="D56" s="9">
        <v>957298.36</v>
      </c>
      <c r="E56" s="23"/>
    </row>
    <row r="57" spans="1:5">
      <c r="A57" s="15" t="s">
        <v>141</v>
      </c>
      <c r="B57" s="19" t="s">
        <v>197</v>
      </c>
      <c r="C57" s="21">
        <v>0</v>
      </c>
      <c r="D57" s="9">
        <v>29735627.219999999</v>
      </c>
      <c r="E57" s="23"/>
    </row>
    <row r="58" spans="1:5">
      <c r="A58" s="15" t="s">
        <v>245</v>
      </c>
      <c r="B58" s="19" t="s">
        <v>198</v>
      </c>
      <c r="C58" s="21">
        <v>0</v>
      </c>
      <c r="D58" s="9">
        <v>1299841</v>
      </c>
      <c r="E58" s="23"/>
    </row>
    <row r="59" spans="1:5">
      <c r="A59" s="15" t="s">
        <v>246</v>
      </c>
      <c r="B59" s="19" t="s">
        <v>199</v>
      </c>
      <c r="C59" s="21">
        <v>0</v>
      </c>
      <c r="D59" s="9">
        <v>598558</v>
      </c>
      <c r="E59" s="23"/>
    </row>
    <row r="60" spans="1:5">
      <c r="A60" s="15" t="s">
        <v>247</v>
      </c>
      <c r="B60" s="19" t="s">
        <v>200</v>
      </c>
      <c r="C60" s="21">
        <v>0</v>
      </c>
      <c r="D60" s="9">
        <v>182587</v>
      </c>
      <c r="E60" s="23"/>
    </row>
    <row r="61" spans="1:5">
      <c r="A61" s="15" t="s">
        <v>248</v>
      </c>
      <c r="B61" s="19" t="s">
        <v>201</v>
      </c>
      <c r="C61" s="21">
        <v>0</v>
      </c>
      <c r="D61" s="9">
        <v>20452099</v>
      </c>
      <c r="E61" s="23"/>
    </row>
    <row r="62" spans="1:5">
      <c r="A62" s="15" t="s">
        <v>249</v>
      </c>
      <c r="B62" s="19" t="s">
        <v>202</v>
      </c>
      <c r="C62" s="21">
        <v>0</v>
      </c>
      <c r="D62" s="9">
        <v>920933.25</v>
      </c>
      <c r="E62" s="23"/>
    </row>
    <row r="63" spans="1:5">
      <c r="A63" s="15" t="s">
        <v>250</v>
      </c>
      <c r="B63" s="19" t="s">
        <v>203</v>
      </c>
      <c r="C63" s="21">
        <v>0</v>
      </c>
      <c r="D63" s="9">
        <v>2868701</v>
      </c>
      <c r="E63" s="23"/>
    </row>
    <row r="64" spans="1:5">
      <c r="A64" s="15" t="s">
        <v>251</v>
      </c>
      <c r="B64" s="19" t="s">
        <v>204</v>
      </c>
      <c r="C64" s="21">
        <v>0</v>
      </c>
      <c r="D64" s="9">
        <v>3947410.3800000004</v>
      </c>
      <c r="E64" s="23"/>
    </row>
    <row r="65" spans="1:5">
      <c r="A65" s="15" t="s">
        <v>252</v>
      </c>
      <c r="B65" s="19" t="s">
        <v>205</v>
      </c>
      <c r="C65" s="21">
        <v>0</v>
      </c>
      <c r="D65" s="9">
        <v>63402</v>
      </c>
      <c r="E65" s="23"/>
    </row>
    <row r="66" spans="1:5">
      <c r="A66" s="15" t="s">
        <v>253</v>
      </c>
      <c r="B66" s="19" t="s">
        <v>206</v>
      </c>
      <c r="C66" s="21">
        <v>0</v>
      </c>
      <c r="D66" s="9">
        <v>2762643.88</v>
      </c>
      <c r="E66" s="23"/>
    </row>
    <row r="67" spans="1:5">
      <c r="A67" s="15" t="s">
        <v>254</v>
      </c>
      <c r="B67" s="19" t="s">
        <v>207</v>
      </c>
      <c r="C67" s="21">
        <v>0</v>
      </c>
      <c r="D67" s="9">
        <v>113162</v>
      </c>
      <c r="E67" s="23"/>
    </row>
    <row r="68" spans="1:5">
      <c r="A68" s="15" t="s">
        <v>255</v>
      </c>
      <c r="B68" s="19" t="s">
        <v>208</v>
      </c>
      <c r="C68" s="21">
        <v>0</v>
      </c>
      <c r="D68" s="9">
        <v>125080</v>
      </c>
      <c r="E68" s="23"/>
    </row>
    <row r="69" spans="1:5">
      <c r="A69" s="15" t="s">
        <v>256</v>
      </c>
      <c r="B69" s="19" t="s">
        <v>209</v>
      </c>
      <c r="C69" s="21">
        <v>0</v>
      </c>
      <c r="D69" s="9">
        <v>349900.93999999994</v>
      </c>
      <c r="E69" s="23"/>
    </row>
    <row r="70" spans="1:5">
      <c r="A70" s="15" t="s">
        <v>257</v>
      </c>
      <c r="B70" s="19" t="s">
        <v>210</v>
      </c>
      <c r="C70" s="21">
        <v>0</v>
      </c>
      <c r="D70" s="9">
        <v>730118.33000000007</v>
      </c>
      <c r="E70" s="23"/>
    </row>
    <row r="71" spans="1:5">
      <c r="A71" s="15" t="s">
        <v>258</v>
      </c>
      <c r="B71" s="19" t="s">
        <v>211</v>
      </c>
      <c r="C71" s="21">
        <v>0</v>
      </c>
      <c r="D71" s="9">
        <v>137582</v>
      </c>
      <c r="E71" s="23"/>
    </row>
    <row r="72" spans="1:5">
      <c r="A72" s="15" t="s">
        <v>259</v>
      </c>
      <c r="B72" s="19" t="s">
        <v>212</v>
      </c>
      <c r="C72" s="21">
        <v>0</v>
      </c>
      <c r="D72" s="9">
        <v>0</v>
      </c>
      <c r="E72" s="23"/>
    </row>
    <row r="73" spans="1:5">
      <c r="A73" s="15" t="s">
        <v>260</v>
      </c>
      <c r="B73" s="19" t="s">
        <v>213</v>
      </c>
      <c r="C73" s="21">
        <v>0</v>
      </c>
      <c r="D73" s="9">
        <v>2130841.29</v>
      </c>
      <c r="E73" s="23"/>
    </row>
    <row r="74" spans="1:5">
      <c r="A74" s="15" t="s">
        <v>261</v>
      </c>
      <c r="B74" s="19" t="s">
        <v>214</v>
      </c>
      <c r="C74" s="21">
        <v>0</v>
      </c>
      <c r="D74" s="9">
        <v>0</v>
      </c>
      <c r="E74" s="23"/>
    </row>
    <row r="75" spans="1:5">
      <c r="A75" s="15" t="s">
        <v>262</v>
      </c>
      <c r="B75" s="19" t="s">
        <v>127</v>
      </c>
      <c r="C75" s="21">
        <v>0</v>
      </c>
      <c r="D75" s="9">
        <v>297900</v>
      </c>
      <c r="E75" s="23"/>
    </row>
    <row r="76" spans="1:5">
      <c r="A76" s="15" t="s">
        <v>263</v>
      </c>
      <c r="B76" s="19" t="s">
        <v>215</v>
      </c>
      <c r="C76" s="21">
        <v>0</v>
      </c>
      <c r="D76" s="9">
        <v>36980760.07</v>
      </c>
      <c r="E76" s="23"/>
    </row>
    <row r="77" spans="1:5">
      <c r="A77" s="15" t="s">
        <v>264</v>
      </c>
      <c r="B77" s="19" t="s">
        <v>216</v>
      </c>
      <c r="C77" s="21">
        <v>0</v>
      </c>
      <c r="D77" s="9">
        <v>1331576.02</v>
      </c>
      <c r="E77" s="23"/>
    </row>
    <row r="78" spans="1:5">
      <c r="A78" s="15" t="s">
        <v>265</v>
      </c>
      <c r="B78" s="19" t="s">
        <v>217</v>
      </c>
      <c r="C78" s="21">
        <v>0</v>
      </c>
      <c r="D78" s="9">
        <v>281439</v>
      </c>
      <c r="E78" s="23"/>
    </row>
    <row r="79" spans="1:5">
      <c r="A79" s="15" t="s">
        <v>266</v>
      </c>
      <c r="B79" s="19" t="s">
        <v>218</v>
      </c>
      <c r="C79" s="21">
        <v>0</v>
      </c>
      <c r="D79" s="9">
        <v>199424</v>
      </c>
      <c r="E79" s="23"/>
    </row>
    <row r="80" spans="1:5">
      <c r="A80" s="15" t="s">
        <v>267</v>
      </c>
      <c r="B80" s="19" t="s">
        <v>219</v>
      </c>
      <c r="C80" s="21">
        <v>0</v>
      </c>
      <c r="D80" s="9">
        <v>2716411.0599999996</v>
      </c>
      <c r="E80" s="23"/>
    </row>
    <row r="81" spans="1:5">
      <c r="A81" s="15" t="s">
        <v>268</v>
      </c>
      <c r="B81" s="19" t="s">
        <v>220</v>
      </c>
      <c r="C81" s="21">
        <v>0</v>
      </c>
      <c r="D81" s="9">
        <v>243915</v>
      </c>
      <c r="E81" s="23"/>
    </row>
    <row r="82" spans="1:5">
      <c r="A82" s="15" t="s">
        <v>269</v>
      </c>
      <c r="B82" s="19" t="s">
        <v>221</v>
      </c>
      <c r="C82" s="21">
        <v>0</v>
      </c>
      <c r="D82" s="9">
        <v>0</v>
      </c>
      <c r="E82" s="23"/>
    </row>
    <row r="83" spans="1:5">
      <c r="A83" s="15" t="s">
        <v>142</v>
      </c>
      <c r="B83" s="19" t="s">
        <v>222</v>
      </c>
      <c r="C83" s="21">
        <v>0</v>
      </c>
      <c r="D83" s="9">
        <v>4772765.08</v>
      </c>
      <c r="E83" s="23"/>
    </row>
    <row r="84" spans="1:5">
      <c r="A84" s="15" t="s">
        <v>270</v>
      </c>
      <c r="B84" s="19" t="s">
        <v>223</v>
      </c>
      <c r="C84" s="21">
        <v>0</v>
      </c>
      <c r="D84" s="9">
        <v>25615456.876350332</v>
      </c>
      <c r="E84" s="23"/>
    </row>
    <row r="85" spans="1:5">
      <c r="A85" s="15" t="s">
        <v>271</v>
      </c>
      <c r="B85" s="19" t="s">
        <v>224</v>
      </c>
      <c r="C85" s="21">
        <v>0</v>
      </c>
      <c r="D85" s="9">
        <v>261770082.02635032</v>
      </c>
      <c r="E85" s="23"/>
    </row>
    <row r="86" spans="1:5">
      <c r="A86" s="15" t="s">
        <v>272</v>
      </c>
      <c r="B86" s="19" t="s">
        <v>225</v>
      </c>
      <c r="C86" s="21">
        <v>0</v>
      </c>
      <c r="D86" s="9">
        <v>709900.80000000005</v>
      </c>
      <c r="E86" s="23"/>
    </row>
    <row r="87" spans="1:5">
      <c r="A87" s="15" t="s">
        <v>273</v>
      </c>
      <c r="B87" s="19" t="s">
        <v>226</v>
      </c>
      <c r="C87" s="21">
        <v>0</v>
      </c>
      <c r="D87" s="9">
        <v>581567</v>
      </c>
      <c r="E87" s="23"/>
    </row>
    <row r="88" spans="1:5">
      <c r="A88" s="15" t="s">
        <v>274</v>
      </c>
      <c r="B88" s="19" t="s">
        <v>227</v>
      </c>
      <c r="C88" s="21">
        <v>0</v>
      </c>
      <c r="D88" s="9">
        <v>263061549.82635033</v>
      </c>
      <c r="E88" s="23"/>
    </row>
    <row r="89" spans="1:5">
      <c r="A89" s="15" t="s">
        <v>275</v>
      </c>
      <c r="B89" s="19" t="s">
        <v>346</v>
      </c>
      <c r="C89" s="21">
        <v>0</v>
      </c>
      <c r="D89" s="9">
        <v>267794191.85999998</v>
      </c>
      <c r="E89" s="23"/>
    </row>
    <row r="90" spans="1:5">
      <c r="A90" s="15" t="s">
        <v>276</v>
      </c>
      <c r="B90" s="19" t="s">
        <v>228</v>
      </c>
      <c r="C90" s="21">
        <v>0</v>
      </c>
      <c r="D90" s="9">
        <v>4732642.0336496662</v>
      </c>
      <c r="E90" s="23"/>
    </row>
    <row r="91" spans="1:5">
      <c r="A91" s="23"/>
      <c r="B91" s="314"/>
      <c r="C91" s="315"/>
      <c r="D91" s="316"/>
      <c r="E91" s="23"/>
    </row>
    <row r="92" spans="1:5" s="309" customFormat="1">
      <c r="A92" s="312"/>
      <c r="C92" s="310"/>
      <c r="D92" s="311"/>
      <c r="E92" s="312"/>
    </row>
    <row r="93" spans="1:5" s="309" customFormat="1">
      <c r="A93" s="312"/>
      <c r="C93" s="310"/>
      <c r="D93" s="313"/>
      <c r="E93" s="312"/>
    </row>
    <row r="94" spans="1:5" s="309" customFormat="1">
      <c r="A94" s="312"/>
      <c r="C94" s="310"/>
      <c r="D94" s="311"/>
      <c r="E94" s="312"/>
    </row>
    <row r="95" spans="1:5" s="309" customFormat="1">
      <c r="A95" s="312"/>
      <c r="C95" s="310"/>
      <c r="D95" s="311"/>
      <c r="E95" s="312"/>
    </row>
    <row r="96" spans="1:5" s="309" customFormat="1">
      <c r="A96" s="312"/>
      <c r="C96" s="310"/>
      <c r="D96" s="311"/>
      <c r="E96" s="312"/>
    </row>
    <row r="97" spans="1:5" s="309" customFormat="1">
      <c r="A97" s="312"/>
      <c r="C97" s="310"/>
      <c r="D97" s="311"/>
      <c r="E97" s="312"/>
    </row>
    <row r="98" spans="1:5" s="309" customFormat="1">
      <c r="A98" s="312"/>
      <c r="C98" s="310"/>
      <c r="D98" s="311"/>
      <c r="E98" s="312"/>
    </row>
    <row r="99" spans="1:5" s="309" customFormat="1">
      <c r="A99" s="312"/>
      <c r="C99" s="310"/>
      <c r="D99" s="311"/>
      <c r="E99" s="312"/>
    </row>
    <row r="100" spans="1:5" s="309" customFormat="1">
      <c r="A100" s="312"/>
      <c r="C100" s="310"/>
      <c r="D100" s="311"/>
      <c r="E100" s="312"/>
    </row>
    <row r="101" spans="1:5" s="309" customFormat="1">
      <c r="A101" s="312"/>
      <c r="C101" s="310"/>
      <c r="D101" s="311"/>
      <c r="E101" s="312"/>
    </row>
    <row r="102" spans="1:5" s="309" customFormat="1">
      <c r="A102" s="312"/>
      <c r="C102" s="310"/>
      <c r="D102" s="311"/>
      <c r="E102" s="312"/>
    </row>
    <row r="103" spans="1:5" s="309" customFormat="1">
      <c r="A103" s="312"/>
      <c r="C103" s="310"/>
      <c r="D103" s="311"/>
      <c r="E103" s="312"/>
    </row>
    <row r="104" spans="1:5" s="309" customFormat="1">
      <c r="A104" s="312"/>
      <c r="C104" s="310"/>
      <c r="D104" s="311"/>
      <c r="E104" s="312"/>
    </row>
    <row r="105" spans="1:5" s="309" customFormat="1">
      <c r="A105" s="312"/>
      <c r="C105" s="310"/>
      <c r="D105" s="311"/>
      <c r="E105" s="312"/>
    </row>
    <row r="106" spans="1:5" s="309" customFormat="1">
      <c r="A106" s="312"/>
      <c r="C106" s="310"/>
      <c r="D106" s="311"/>
      <c r="E106" s="312"/>
    </row>
    <row r="107" spans="1:5" s="309" customFormat="1">
      <c r="A107" s="312"/>
      <c r="C107" s="310"/>
      <c r="D107" s="311"/>
      <c r="E107" s="312"/>
    </row>
    <row r="108" spans="1:5" s="309" customFormat="1">
      <c r="A108" s="312"/>
      <c r="C108" s="310"/>
      <c r="D108" s="311"/>
      <c r="E108" s="312"/>
    </row>
    <row r="109" spans="1:5" s="309" customFormat="1">
      <c r="A109" s="312"/>
      <c r="C109" s="310"/>
      <c r="D109" s="311"/>
      <c r="E109" s="312"/>
    </row>
    <row r="110" spans="1:5" s="309" customFormat="1">
      <c r="A110" s="312"/>
      <c r="C110" s="310"/>
      <c r="D110" s="311"/>
      <c r="E110" s="312"/>
    </row>
    <row r="111" spans="1:5" s="309" customFormat="1">
      <c r="A111" s="312"/>
      <c r="C111" s="310"/>
      <c r="D111" s="311"/>
      <c r="E111" s="312"/>
    </row>
    <row r="112" spans="1:5" s="309" customFormat="1">
      <c r="A112" s="312"/>
      <c r="C112" s="310"/>
      <c r="D112" s="311"/>
      <c r="E112" s="312"/>
    </row>
    <row r="113" spans="1:5" s="309" customFormat="1">
      <c r="A113" s="312"/>
      <c r="C113" s="310"/>
      <c r="D113" s="311"/>
      <c r="E113" s="312"/>
    </row>
    <row r="114" spans="1:5" s="309" customFormat="1">
      <c r="A114" s="312"/>
      <c r="C114" s="310"/>
      <c r="D114" s="311"/>
      <c r="E114" s="312"/>
    </row>
    <row r="115" spans="1:5" s="309" customFormat="1">
      <c r="A115" s="312"/>
      <c r="C115" s="310"/>
      <c r="D115" s="311"/>
      <c r="E115" s="312"/>
    </row>
    <row r="116" spans="1:5" s="309" customFormat="1">
      <c r="A116" s="312"/>
      <c r="C116" s="310"/>
      <c r="D116" s="311"/>
      <c r="E116" s="312"/>
    </row>
    <row r="117" spans="1:5" s="309" customFormat="1">
      <c r="A117" s="312"/>
      <c r="C117" s="310"/>
      <c r="D117" s="311"/>
      <c r="E117" s="312"/>
    </row>
    <row r="118" spans="1:5" s="309" customFormat="1">
      <c r="A118" s="312"/>
      <c r="C118" s="310"/>
      <c r="D118" s="311"/>
      <c r="E118" s="312"/>
    </row>
    <row r="119" spans="1:5" s="309" customFormat="1">
      <c r="A119" s="312"/>
      <c r="C119" s="310"/>
      <c r="D119" s="311"/>
      <c r="E119" s="312"/>
    </row>
    <row r="120" spans="1:5" s="309" customFormat="1">
      <c r="A120" s="312"/>
      <c r="C120" s="310"/>
      <c r="D120" s="311"/>
      <c r="E120" s="312"/>
    </row>
    <row r="121" spans="1:5" s="309" customFormat="1">
      <c r="A121" s="312"/>
      <c r="C121" s="310"/>
      <c r="D121" s="311"/>
      <c r="E121" s="312"/>
    </row>
    <row r="122" spans="1:5" s="309" customFormat="1">
      <c r="A122" s="312"/>
      <c r="C122" s="310"/>
      <c r="D122" s="311"/>
      <c r="E122" s="312"/>
    </row>
    <row r="123" spans="1:5" s="309" customFormat="1">
      <c r="A123" s="312"/>
      <c r="C123" s="310"/>
      <c r="D123" s="311"/>
      <c r="E123" s="312"/>
    </row>
    <row r="124" spans="1:5" s="309" customFormat="1">
      <c r="A124" s="312"/>
      <c r="C124" s="310"/>
      <c r="D124" s="311"/>
      <c r="E124" s="312"/>
    </row>
    <row r="125" spans="1:5" s="309" customFormat="1">
      <c r="A125" s="312"/>
      <c r="C125" s="310"/>
      <c r="D125" s="311"/>
      <c r="E125" s="312"/>
    </row>
    <row r="126" spans="1:5" s="309" customFormat="1">
      <c r="A126" s="312"/>
      <c r="C126" s="310"/>
      <c r="D126" s="311"/>
      <c r="E126" s="312"/>
    </row>
    <row r="127" spans="1:5" s="309" customFormat="1">
      <c r="A127" s="312"/>
      <c r="C127" s="310"/>
      <c r="D127" s="311"/>
      <c r="E127" s="312"/>
    </row>
    <row r="128" spans="1:5" s="309" customFormat="1">
      <c r="A128" s="312"/>
      <c r="C128" s="310"/>
      <c r="D128" s="311"/>
      <c r="E128" s="312"/>
    </row>
    <row r="129" spans="1:5" s="309" customFormat="1">
      <c r="A129" s="312"/>
      <c r="C129" s="310"/>
      <c r="D129" s="311"/>
      <c r="E129" s="312"/>
    </row>
    <row r="130" spans="1:5" s="309" customFormat="1">
      <c r="A130" s="312"/>
      <c r="C130" s="310"/>
      <c r="D130" s="311"/>
      <c r="E130" s="312"/>
    </row>
    <row r="131" spans="1:5" s="309" customFormat="1">
      <c r="A131" s="312"/>
      <c r="C131" s="310"/>
      <c r="D131" s="311"/>
      <c r="E131" s="312"/>
    </row>
    <row r="132" spans="1:5" s="309" customFormat="1">
      <c r="A132" s="312"/>
      <c r="C132" s="310"/>
      <c r="D132" s="311"/>
      <c r="E132" s="312"/>
    </row>
    <row r="133" spans="1:5" s="309" customFormat="1">
      <c r="A133" s="312"/>
      <c r="C133" s="310"/>
      <c r="D133" s="311"/>
      <c r="E133" s="312"/>
    </row>
    <row r="134" spans="1:5" s="309" customFormat="1">
      <c r="A134" s="312"/>
      <c r="C134" s="310"/>
      <c r="D134" s="311"/>
      <c r="E134" s="312"/>
    </row>
    <row r="135" spans="1:5" s="309" customFormat="1">
      <c r="A135" s="312"/>
      <c r="C135" s="310"/>
      <c r="D135" s="311"/>
      <c r="E135" s="312"/>
    </row>
    <row r="136" spans="1:5" s="309" customFormat="1">
      <c r="A136" s="312"/>
      <c r="C136" s="310"/>
      <c r="D136" s="311"/>
      <c r="E136" s="312"/>
    </row>
    <row r="137" spans="1:5" s="309" customFormat="1">
      <c r="A137" s="312"/>
      <c r="C137" s="310"/>
      <c r="D137" s="311"/>
      <c r="E137" s="312"/>
    </row>
    <row r="138" spans="1:5" s="309" customFormat="1">
      <c r="A138" s="312"/>
      <c r="C138" s="310"/>
      <c r="D138" s="311"/>
      <c r="E138" s="312"/>
    </row>
    <row r="139" spans="1:5" s="309" customFormat="1">
      <c r="A139" s="312"/>
      <c r="C139" s="310"/>
      <c r="D139" s="311"/>
      <c r="E139" s="312"/>
    </row>
    <row r="140" spans="1:5" s="309" customFormat="1">
      <c r="A140" s="312"/>
      <c r="C140" s="310"/>
      <c r="D140" s="311"/>
      <c r="E140" s="312"/>
    </row>
    <row r="141" spans="1:5" s="309" customFormat="1">
      <c r="A141" s="312"/>
      <c r="C141" s="310"/>
      <c r="D141" s="311"/>
      <c r="E141" s="312"/>
    </row>
    <row r="142" spans="1:5" s="309" customFormat="1">
      <c r="A142" s="312"/>
      <c r="C142" s="310"/>
      <c r="D142" s="311"/>
      <c r="E142" s="312"/>
    </row>
    <row r="143" spans="1:5" s="309" customFormat="1">
      <c r="A143" s="312"/>
      <c r="C143" s="310"/>
      <c r="D143" s="311"/>
      <c r="E143" s="312"/>
    </row>
    <row r="144" spans="1:5" s="309" customFormat="1">
      <c r="A144" s="312"/>
      <c r="C144" s="310"/>
      <c r="D144" s="311"/>
      <c r="E144" s="312"/>
    </row>
    <row r="145" spans="1:5" s="309" customFormat="1">
      <c r="A145" s="312"/>
      <c r="C145" s="310"/>
      <c r="D145" s="311"/>
      <c r="E145" s="312"/>
    </row>
    <row r="146" spans="1:5" s="309" customFormat="1">
      <c r="A146" s="312"/>
      <c r="C146" s="310"/>
      <c r="D146" s="311"/>
      <c r="E146" s="312"/>
    </row>
    <row r="147" spans="1:5" s="309" customFormat="1">
      <c r="A147" s="312"/>
      <c r="C147" s="310"/>
      <c r="D147" s="311"/>
      <c r="E147" s="312"/>
    </row>
    <row r="148" spans="1:5" s="309" customFormat="1">
      <c r="A148" s="312"/>
      <c r="C148" s="310"/>
      <c r="D148" s="311"/>
      <c r="E148" s="312"/>
    </row>
    <row r="149" spans="1:5" s="309" customFormat="1">
      <c r="A149" s="312"/>
      <c r="C149" s="310"/>
      <c r="D149" s="311"/>
      <c r="E149" s="312"/>
    </row>
    <row r="150" spans="1:5" s="309" customFormat="1">
      <c r="A150" s="312"/>
      <c r="C150" s="310"/>
      <c r="D150" s="311"/>
      <c r="E150" s="312"/>
    </row>
    <row r="151" spans="1:5" s="309" customFormat="1">
      <c r="A151" s="312"/>
      <c r="C151" s="310"/>
      <c r="D151" s="311"/>
      <c r="E151" s="312"/>
    </row>
    <row r="152" spans="1:5" s="309" customFormat="1">
      <c r="A152" s="312"/>
      <c r="C152" s="310"/>
      <c r="D152" s="311"/>
      <c r="E152" s="312"/>
    </row>
    <row r="153" spans="1:5" s="309" customFormat="1">
      <c r="A153" s="312"/>
      <c r="C153" s="310"/>
      <c r="D153" s="311"/>
      <c r="E153" s="312"/>
    </row>
    <row r="154" spans="1:5" s="309" customFormat="1">
      <c r="A154" s="312"/>
      <c r="C154" s="310"/>
      <c r="D154" s="311"/>
      <c r="E154" s="312"/>
    </row>
    <row r="155" spans="1:5" s="309" customFormat="1">
      <c r="A155" s="312"/>
      <c r="C155" s="310"/>
      <c r="D155" s="311"/>
      <c r="E155" s="312"/>
    </row>
    <row r="156" spans="1:5" s="309" customFormat="1">
      <c r="A156" s="312"/>
      <c r="C156" s="310"/>
      <c r="D156" s="311"/>
      <c r="E156" s="312"/>
    </row>
    <row r="157" spans="1:5" s="309" customFormat="1">
      <c r="A157" s="312"/>
      <c r="C157" s="310"/>
      <c r="D157" s="311"/>
      <c r="E157" s="312"/>
    </row>
    <row r="158" spans="1:5" s="309" customFormat="1">
      <c r="A158" s="312"/>
      <c r="C158" s="310"/>
      <c r="D158" s="311"/>
      <c r="E158" s="312"/>
    </row>
    <row r="159" spans="1:5" s="309" customFormat="1">
      <c r="A159" s="312"/>
      <c r="C159" s="310"/>
      <c r="D159" s="311"/>
      <c r="E159" s="312"/>
    </row>
    <row r="160" spans="1:5" s="309" customFormat="1">
      <c r="A160" s="312"/>
      <c r="C160" s="310"/>
      <c r="D160" s="311"/>
      <c r="E160" s="312"/>
    </row>
    <row r="161" spans="1:5" s="309" customFormat="1">
      <c r="A161" s="312"/>
      <c r="C161" s="310"/>
      <c r="D161" s="311"/>
      <c r="E161" s="312"/>
    </row>
    <row r="162" spans="1:5" s="309" customFormat="1">
      <c r="A162" s="312"/>
      <c r="C162" s="310"/>
      <c r="D162" s="311"/>
      <c r="E162" s="312"/>
    </row>
    <row r="163" spans="1:5" s="309" customFormat="1">
      <c r="A163" s="312"/>
      <c r="C163" s="310"/>
      <c r="D163" s="311"/>
      <c r="E163" s="312"/>
    </row>
    <row r="164" spans="1:5" s="309" customFormat="1">
      <c r="A164" s="312"/>
      <c r="C164" s="310"/>
      <c r="D164" s="311"/>
      <c r="E164" s="312"/>
    </row>
    <row r="165" spans="1:5" s="309" customFormat="1">
      <c r="A165" s="312"/>
      <c r="C165" s="310"/>
      <c r="D165" s="311"/>
      <c r="E165" s="312"/>
    </row>
    <row r="166" spans="1:5" s="309" customFormat="1">
      <c r="A166" s="312"/>
      <c r="C166" s="310"/>
      <c r="D166" s="311"/>
      <c r="E166" s="312"/>
    </row>
    <row r="167" spans="1:5" s="309" customFormat="1">
      <c r="A167" s="312"/>
      <c r="C167" s="310"/>
      <c r="D167" s="311"/>
      <c r="E167" s="312"/>
    </row>
    <row r="168" spans="1:5" s="309" customFormat="1">
      <c r="A168" s="312"/>
      <c r="C168" s="310"/>
      <c r="D168" s="311"/>
      <c r="E168" s="312"/>
    </row>
    <row r="169" spans="1:5" s="309" customFormat="1">
      <c r="A169" s="312"/>
      <c r="C169" s="310"/>
      <c r="D169" s="311"/>
      <c r="E169" s="312"/>
    </row>
    <row r="170" spans="1:5" s="309" customFormat="1">
      <c r="A170" s="312"/>
      <c r="C170" s="310"/>
      <c r="D170" s="311"/>
      <c r="E170" s="312"/>
    </row>
    <row r="171" spans="1:5" s="309" customFormat="1">
      <c r="A171" s="312"/>
      <c r="C171" s="310"/>
      <c r="D171" s="311"/>
      <c r="E171" s="312"/>
    </row>
    <row r="172" spans="1:5" s="309" customFormat="1">
      <c r="A172" s="312"/>
      <c r="C172" s="310"/>
      <c r="D172" s="311"/>
      <c r="E172" s="312"/>
    </row>
    <row r="173" spans="1:5" s="309" customFormat="1">
      <c r="A173" s="312"/>
      <c r="C173" s="310"/>
      <c r="D173" s="311"/>
      <c r="E173" s="312"/>
    </row>
    <row r="174" spans="1:5" s="309" customFormat="1">
      <c r="A174" s="312"/>
      <c r="C174" s="310"/>
      <c r="D174" s="311"/>
      <c r="E174" s="312"/>
    </row>
    <row r="175" spans="1:5" s="309" customFormat="1">
      <c r="A175" s="312"/>
      <c r="C175" s="310"/>
      <c r="D175" s="311"/>
      <c r="E175" s="312"/>
    </row>
    <row r="176" spans="1:5" s="309" customFormat="1">
      <c r="A176" s="312"/>
      <c r="C176" s="310"/>
      <c r="D176" s="311"/>
      <c r="E176" s="312"/>
    </row>
    <row r="177" spans="1:5" s="309" customFormat="1">
      <c r="A177" s="312"/>
      <c r="C177" s="310"/>
      <c r="D177" s="311"/>
      <c r="E177" s="312"/>
    </row>
    <row r="178" spans="1:5" s="309" customFormat="1">
      <c r="A178" s="312"/>
      <c r="C178" s="310"/>
      <c r="D178" s="311"/>
      <c r="E178" s="312"/>
    </row>
    <row r="179" spans="1:5" s="309" customFormat="1">
      <c r="A179" s="312"/>
      <c r="C179" s="310"/>
      <c r="D179" s="311"/>
      <c r="E179" s="312"/>
    </row>
    <row r="180" spans="1:5" s="309" customFormat="1">
      <c r="A180" s="312"/>
      <c r="C180" s="310"/>
      <c r="D180" s="311"/>
      <c r="E180" s="312"/>
    </row>
    <row r="181" spans="1:5" s="309" customFormat="1">
      <c r="A181" s="312"/>
      <c r="C181" s="310"/>
      <c r="D181" s="311"/>
      <c r="E181" s="312"/>
    </row>
    <row r="182" spans="1:5" s="309" customFormat="1">
      <c r="A182" s="312"/>
      <c r="C182" s="310"/>
      <c r="D182" s="311"/>
      <c r="E182" s="312"/>
    </row>
    <row r="183" spans="1:5" s="309" customFormat="1">
      <c r="A183" s="312"/>
      <c r="C183" s="310"/>
      <c r="D183" s="311"/>
      <c r="E183" s="312"/>
    </row>
    <row r="184" spans="1:5" s="309" customFormat="1">
      <c r="A184" s="312"/>
      <c r="C184" s="310"/>
      <c r="D184" s="311"/>
      <c r="E184" s="312"/>
    </row>
    <row r="185" spans="1:5" s="309" customFormat="1">
      <c r="A185" s="312"/>
      <c r="C185" s="310"/>
      <c r="D185" s="311"/>
      <c r="E185" s="312"/>
    </row>
    <row r="186" spans="1:5" s="309" customFormat="1">
      <c r="A186" s="312"/>
      <c r="C186" s="310"/>
      <c r="D186" s="311"/>
      <c r="E186" s="312"/>
    </row>
    <row r="187" spans="1:5" s="309" customFormat="1">
      <c r="A187" s="312"/>
      <c r="C187" s="310"/>
      <c r="D187" s="311"/>
      <c r="E187" s="312"/>
    </row>
    <row r="188" spans="1:5" s="309" customFormat="1">
      <c r="A188" s="312"/>
      <c r="C188" s="310"/>
      <c r="D188" s="311"/>
      <c r="E188" s="312"/>
    </row>
    <row r="189" spans="1:5" s="309" customFormat="1">
      <c r="A189" s="312"/>
      <c r="C189" s="310"/>
      <c r="D189" s="311"/>
      <c r="E189" s="312"/>
    </row>
    <row r="190" spans="1:5" s="309" customFormat="1">
      <c r="A190" s="312"/>
      <c r="C190" s="310"/>
      <c r="D190" s="311"/>
      <c r="E190" s="312"/>
    </row>
    <row r="191" spans="1:5" s="309" customFormat="1">
      <c r="A191" s="312"/>
      <c r="C191" s="310"/>
      <c r="D191" s="311"/>
      <c r="E191" s="312"/>
    </row>
    <row r="192" spans="1:5" s="309" customFormat="1">
      <c r="A192" s="312"/>
      <c r="C192" s="310"/>
      <c r="D192" s="311"/>
      <c r="E192" s="312"/>
    </row>
    <row r="193" spans="1:5" s="309" customFormat="1">
      <c r="A193" s="312"/>
      <c r="C193" s="310"/>
      <c r="D193" s="311"/>
      <c r="E193" s="312"/>
    </row>
    <row r="194" spans="1:5" s="309" customFormat="1">
      <c r="A194" s="312"/>
      <c r="C194" s="310"/>
      <c r="D194" s="311"/>
      <c r="E194" s="312"/>
    </row>
    <row r="195" spans="1:5" s="309" customFormat="1">
      <c r="A195" s="312"/>
      <c r="C195" s="310"/>
      <c r="D195" s="311"/>
      <c r="E195" s="312"/>
    </row>
    <row r="196" spans="1:5" s="309" customFormat="1">
      <c r="A196" s="312"/>
      <c r="C196" s="310"/>
      <c r="D196" s="311"/>
      <c r="E196" s="312"/>
    </row>
    <row r="197" spans="1:5" s="309" customFormat="1">
      <c r="A197" s="312"/>
      <c r="C197" s="310"/>
      <c r="D197" s="311"/>
      <c r="E197" s="312"/>
    </row>
    <row r="198" spans="1:5" s="309" customFormat="1">
      <c r="A198" s="312"/>
      <c r="C198" s="310"/>
      <c r="D198" s="311"/>
      <c r="E198" s="312"/>
    </row>
    <row r="199" spans="1:5" s="309" customFormat="1">
      <c r="A199" s="312"/>
      <c r="C199" s="310"/>
      <c r="D199" s="311"/>
      <c r="E199" s="312"/>
    </row>
    <row r="200" spans="1:5" s="309" customFormat="1">
      <c r="A200" s="312"/>
      <c r="C200" s="310"/>
      <c r="D200" s="311"/>
      <c r="E200" s="312"/>
    </row>
    <row r="201" spans="1:5" s="309" customFormat="1">
      <c r="A201" s="312"/>
      <c r="C201" s="310"/>
      <c r="D201" s="311"/>
      <c r="E201" s="312"/>
    </row>
    <row r="202" spans="1:5" s="309" customFormat="1">
      <c r="A202" s="312"/>
      <c r="C202" s="310"/>
      <c r="D202" s="311"/>
      <c r="E202" s="312"/>
    </row>
    <row r="203" spans="1:5" s="309" customFormat="1">
      <c r="A203" s="312"/>
      <c r="C203" s="310"/>
      <c r="D203" s="311"/>
      <c r="E203" s="312"/>
    </row>
    <row r="204" spans="1:5" s="309" customFormat="1">
      <c r="A204" s="312"/>
      <c r="C204" s="310"/>
      <c r="D204" s="311"/>
      <c r="E204" s="312"/>
    </row>
    <row r="205" spans="1:5" s="309" customFormat="1">
      <c r="A205" s="312"/>
      <c r="C205" s="310"/>
      <c r="D205" s="311"/>
      <c r="E205" s="312"/>
    </row>
    <row r="206" spans="1:5" s="309" customFormat="1">
      <c r="A206" s="312"/>
      <c r="C206" s="310"/>
      <c r="D206" s="311"/>
      <c r="E206" s="312"/>
    </row>
    <row r="207" spans="1:5" s="309" customFormat="1">
      <c r="A207" s="312"/>
      <c r="C207" s="310"/>
      <c r="D207" s="311"/>
      <c r="E207" s="312"/>
    </row>
    <row r="208" spans="1:5" s="309" customFormat="1">
      <c r="A208" s="312"/>
      <c r="C208" s="310"/>
      <c r="D208" s="311"/>
      <c r="E208" s="312"/>
    </row>
    <row r="209" spans="1:5" s="309" customFormat="1">
      <c r="A209" s="312"/>
      <c r="C209" s="310"/>
      <c r="D209" s="311"/>
      <c r="E209" s="312"/>
    </row>
    <row r="210" spans="1:5" s="309" customFormat="1">
      <c r="A210" s="312"/>
      <c r="C210" s="310"/>
      <c r="D210" s="311"/>
      <c r="E210" s="312"/>
    </row>
    <row r="211" spans="1:5" s="309" customFormat="1">
      <c r="A211" s="312"/>
      <c r="C211" s="310"/>
      <c r="D211" s="311"/>
      <c r="E211" s="312"/>
    </row>
    <row r="212" spans="1:5" s="309" customFormat="1">
      <c r="A212" s="312"/>
      <c r="C212" s="310"/>
      <c r="D212" s="311"/>
      <c r="E212" s="312"/>
    </row>
    <row r="213" spans="1:5" s="309" customFormat="1">
      <c r="A213" s="312"/>
      <c r="C213" s="310"/>
      <c r="D213" s="311"/>
      <c r="E213" s="312"/>
    </row>
    <row r="214" spans="1:5" s="309" customFormat="1">
      <c r="A214" s="312"/>
      <c r="C214" s="310"/>
      <c r="D214" s="311"/>
      <c r="E214" s="312"/>
    </row>
    <row r="215" spans="1:5" s="309" customFormat="1">
      <c r="A215" s="312"/>
      <c r="C215" s="310"/>
      <c r="D215" s="311"/>
      <c r="E215" s="312"/>
    </row>
    <row r="216" spans="1:5" s="309" customFormat="1">
      <c r="A216" s="312"/>
      <c r="C216" s="310"/>
      <c r="D216" s="311"/>
      <c r="E216" s="312"/>
    </row>
    <row r="217" spans="1:5" s="309" customFormat="1">
      <c r="A217" s="312"/>
      <c r="C217" s="310"/>
      <c r="D217" s="311"/>
      <c r="E217" s="312"/>
    </row>
    <row r="218" spans="1:5" s="309" customFormat="1">
      <c r="A218" s="312"/>
      <c r="C218" s="310"/>
      <c r="D218" s="311"/>
      <c r="E218" s="312"/>
    </row>
    <row r="219" spans="1:5" s="309" customFormat="1">
      <c r="A219" s="312"/>
      <c r="C219" s="310"/>
      <c r="D219" s="311"/>
      <c r="E219" s="312"/>
    </row>
    <row r="220" spans="1:5" s="309" customFormat="1">
      <c r="A220" s="312"/>
      <c r="C220" s="310"/>
      <c r="D220" s="311"/>
      <c r="E220" s="312"/>
    </row>
    <row r="221" spans="1:5" s="309" customFormat="1">
      <c r="A221" s="312"/>
      <c r="C221" s="310"/>
      <c r="D221" s="311"/>
      <c r="E221" s="312"/>
    </row>
    <row r="222" spans="1:5" s="309" customFormat="1">
      <c r="A222" s="312"/>
      <c r="C222" s="310"/>
      <c r="D222" s="311"/>
      <c r="E222" s="312"/>
    </row>
    <row r="223" spans="1:5" s="309" customFormat="1">
      <c r="A223" s="312"/>
      <c r="C223" s="310"/>
      <c r="D223" s="311"/>
      <c r="E223" s="312"/>
    </row>
    <row r="224" spans="1:5" s="309" customFormat="1">
      <c r="A224" s="312"/>
      <c r="C224" s="310"/>
      <c r="D224" s="311"/>
      <c r="E224" s="312"/>
    </row>
    <row r="225" spans="1:5" s="309" customFormat="1">
      <c r="A225" s="312"/>
      <c r="C225" s="310"/>
      <c r="D225" s="311"/>
      <c r="E225" s="312"/>
    </row>
    <row r="226" spans="1:5" s="309" customFormat="1">
      <c r="A226" s="312"/>
      <c r="C226" s="310"/>
      <c r="D226" s="311"/>
      <c r="E226" s="312"/>
    </row>
    <row r="227" spans="1:5" s="309" customFormat="1">
      <c r="A227" s="312"/>
      <c r="C227" s="310"/>
      <c r="D227" s="311"/>
      <c r="E227" s="312"/>
    </row>
    <row r="228" spans="1:5" s="309" customFormat="1">
      <c r="A228" s="312"/>
      <c r="C228" s="310"/>
      <c r="D228" s="311"/>
      <c r="E228" s="312"/>
    </row>
    <row r="229" spans="1:5" s="309" customFormat="1">
      <c r="A229" s="312"/>
      <c r="C229" s="310"/>
      <c r="D229" s="311"/>
      <c r="E229" s="312"/>
    </row>
    <row r="230" spans="1:5" s="309" customFormat="1">
      <c r="A230" s="312"/>
      <c r="C230" s="310"/>
      <c r="D230" s="311"/>
      <c r="E230" s="312"/>
    </row>
    <row r="231" spans="1:5" s="309" customFormat="1">
      <c r="A231" s="312"/>
      <c r="C231" s="310"/>
      <c r="D231" s="311"/>
      <c r="E231" s="312"/>
    </row>
    <row r="232" spans="1:5" s="309" customFormat="1">
      <c r="A232" s="312"/>
      <c r="C232" s="310"/>
      <c r="D232" s="311"/>
      <c r="E232" s="312"/>
    </row>
    <row r="233" spans="1:5" s="309" customFormat="1">
      <c r="A233" s="312"/>
      <c r="C233" s="310"/>
      <c r="D233" s="311"/>
      <c r="E233" s="312"/>
    </row>
    <row r="234" spans="1:5" s="309" customFormat="1">
      <c r="A234" s="312"/>
      <c r="C234" s="310"/>
      <c r="D234" s="311"/>
      <c r="E234" s="312"/>
    </row>
    <row r="235" spans="1:5" s="309" customFormat="1">
      <c r="A235" s="312"/>
      <c r="C235" s="310"/>
      <c r="D235" s="311"/>
      <c r="E235" s="312"/>
    </row>
    <row r="236" spans="1:5" s="309" customFormat="1">
      <c r="A236" s="312"/>
      <c r="C236" s="310"/>
      <c r="D236" s="311"/>
      <c r="E236" s="312"/>
    </row>
    <row r="237" spans="1:5" s="309" customFormat="1">
      <c r="A237" s="312"/>
      <c r="C237" s="310"/>
      <c r="D237" s="311"/>
      <c r="E237" s="312"/>
    </row>
    <row r="238" spans="1:5" s="309" customFormat="1">
      <c r="A238" s="312"/>
      <c r="C238" s="310"/>
      <c r="D238" s="311"/>
      <c r="E238" s="312"/>
    </row>
    <row r="239" spans="1:5" s="309" customFormat="1">
      <c r="A239" s="312"/>
      <c r="C239" s="310"/>
      <c r="D239" s="311"/>
      <c r="E239" s="312"/>
    </row>
    <row r="240" spans="1:5" s="309" customFormat="1">
      <c r="A240" s="312"/>
      <c r="C240" s="310"/>
      <c r="D240" s="311"/>
      <c r="E240" s="312"/>
    </row>
    <row r="241" spans="1:5" s="309" customFormat="1">
      <c r="A241" s="312"/>
      <c r="C241" s="310"/>
      <c r="D241" s="311"/>
      <c r="E241" s="312"/>
    </row>
    <row r="242" spans="1:5" s="309" customFormat="1">
      <c r="A242" s="312"/>
      <c r="C242" s="310"/>
      <c r="D242" s="311"/>
      <c r="E242" s="312"/>
    </row>
    <row r="243" spans="1:5" s="309" customFormat="1">
      <c r="A243" s="312"/>
      <c r="C243" s="310"/>
      <c r="D243" s="311"/>
      <c r="E243" s="312"/>
    </row>
    <row r="244" spans="1:5" s="309" customFormat="1">
      <c r="A244" s="312"/>
      <c r="C244" s="310"/>
      <c r="D244" s="311"/>
      <c r="E244" s="312"/>
    </row>
    <row r="245" spans="1:5" s="309" customFormat="1">
      <c r="A245" s="312"/>
      <c r="C245" s="310"/>
      <c r="D245" s="311"/>
      <c r="E245" s="312"/>
    </row>
    <row r="246" spans="1:5" s="309" customFormat="1">
      <c r="A246" s="312"/>
      <c r="C246" s="310"/>
      <c r="D246" s="311"/>
      <c r="E246" s="312"/>
    </row>
    <row r="247" spans="1:5" s="309" customFormat="1">
      <c r="A247" s="312"/>
      <c r="C247" s="310"/>
      <c r="D247" s="311"/>
      <c r="E247" s="312"/>
    </row>
    <row r="248" spans="1:5" s="309" customFormat="1">
      <c r="A248" s="312"/>
      <c r="C248" s="310"/>
      <c r="D248" s="311"/>
      <c r="E248" s="312"/>
    </row>
    <row r="249" spans="1:5" s="309" customFormat="1">
      <c r="A249" s="312"/>
      <c r="C249" s="310"/>
      <c r="D249" s="311"/>
      <c r="E249" s="312"/>
    </row>
    <row r="250" spans="1:5" s="309" customFormat="1">
      <c r="A250" s="312"/>
      <c r="C250" s="310"/>
      <c r="D250" s="311"/>
      <c r="E250" s="312"/>
    </row>
    <row r="251" spans="1:5" s="309" customFormat="1">
      <c r="A251" s="312"/>
      <c r="C251" s="310"/>
      <c r="D251" s="311"/>
      <c r="E251" s="312"/>
    </row>
    <row r="252" spans="1:5" s="309" customFormat="1">
      <c r="A252" s="312"/>
      <c r="C252" s="310"/>
      <c r="D252" s="311"/>
      <c r="E252" s="312"/>
    </row>
    <row r="253" spans="1:5" s="309" customFormat="1">
      <c r="A253" s="312"/>
      <c r="C253" s="310"/>
      <c r="D253" s="311"/>
      <c r="E253" s="312"/>
    </row>
    <row r="254" spans="1:5" s="309" customFormat="1">
      <c r="A254" s="312"/>
      <c r="C254" s="310"/>
      <c r="D254" s="311"/>
      <c r="E254" s="312"/>
    </row>
    <row r="255" spans="1:5" s="309" customFormat="1">
      <c r="A255" s="312"/>
      <c r="C255" s="310"/>
      <c r="D255" s="311"/>
      <c r="E255" s="312"/>
    </row>
    <row r="256" spans="1:5" s="309" customFormat="1">
      <c r="A256" s="312"/>
      <c r="C256" s="310"/>
      <c r="D256" s="311"/>
      <c r="E256" s="312"/>
    </row>
    <row r="257" spans="1:5" s="309" customFormat="1">
      <c r="A257" s="312"/>
      <c r="C257" s="310"/>
      <c r="D257" s="311"/>
      <c r="E257" s="312"/>
    </row>
    <row r="258" spans="1:5" s="309" customFormat="1">
      <c r="A258" s="312"/>
      <c r="C258" s="310"/>
      <c r="D258" s="311"/>
      <c r="E258" s="312"/>
    </row>
    <row r="259" spans="1:5" s="309" customFormat="1">
      <c r="A259" s="312"/>
      <c r="C259" s="310"/>
      <c r="D259" s="311"/>
      <c r="E259" s="312"/>
    </row>
    <row r="260" spans="1:5" s="309" customFormat="1">
      <c r="A260" s="312"/>
      <c r="C260" s="310"/>
      <c r="D260" s="311"/>
      <c r="E260" s="312"/>
    </row>
    <row r="261" spans="1:5" s="309" customFormat="1">
      <c r="A261" s="312"/>
      <c r="C261" s="310"/>
      <c r="D261" s="311"/>
      <c r="E261" s="312"/>
    </row>
    <row r="262" spans="1:5" s="309" customFormat="1">
      <c r="A262" s="312"/>
      <c r="C262" s="310"/>
      <c r="D262" s="311"/>
      <c r="E262" s="312"/>
    </row>
    <row r="263" spans="1:5" s="309" customFormat="1">
      <c r="A263" s="312"/>
      <c r="C263" s="310"/>
      <c r="D263" s="311"/>
      <c r="E263" s="312"/>
    </row>
    <row r="264" spans="1:5" s="309" customFormat="1">
      <c r="A264" s="312"/>
      <c r="C264" s="310"/>
      <c r="D264" s="311"/>
      <c r="E264" s="312"/>
    </row>
    <row r="265" spans="1:5" s="309" customFormat="1">
      <c r="A265" s="312"/>
      <c r="C265" s="310"/>
      <c r="D265" s="311"/>
      <c r="E265" s="312"/>
    </row>
    <row r="266" spans="1:5" s="309" customFormat="1">
      <c r="A266" s="312"/>
      <c r="C266" s="310"/>
      <c r="D266" s="311"/>
      <c r="E266" s="312"/>
    </row>
    <row r="267" spans="1:5" s="309" customFormat="1">
      <c r="A267" s="312"/>
      <c r="C267" s="310"/>
      <c r="D267" s="311"/>
      <c r="E267" s="312"/>
    </row>
    <row r="268" spans="1:5" s="309" customFormat="1">
      <c r="A268" s="312"/>
      <c r="C268" s="310"/>
      <c r="D268" s="311"/>
      <c r="E268" s="312"/>
    </row>
    <row r="269" spans="1:5" s="309" customFormat="1">
      <c r="A269" s="312"/>
      <c r="C269" s="310"/>
      <c r="D269" s="311"/>
      <c r="E269" s="312"/>
    </row>
    <row r="270" spans="1:5" s="309" customFormat="1">
      <c r="A270" s="312"/>
      <c r="C270" s="310"/>
      <c r="D270" s="311"/>
      <c r="E270" s="312"/>
    </row>
    <row r="271" spans="1:5" s="309" customFormat="1">
      <c r="A271" s="312"/>
      <c r="C271" s="310"/>
      <c r="D271" s="311"/>
      <c r="E271" s="312"/>
    </row>
    <row r="272" spans="1:5" s="309" customFormat="1">
      <c r="A272" s="312"/>
      <c r="C272" s="310"/>
      <c r="D272" s="311"/>
      <c r="E272" s="312"/>
    </row>
    <row r="273" spans="1:5" s="309" customFormat="1">
      <c r="A273" s="312"/>
      <c r="C273" s="310"/>
      <c r="D273" s="311"/>
      <c r="E273" s="312"/>
    </row>
    <row r="274" spans="1:5" s="309" customFormat="1">
      <c r="A274" s="312"/>
      <c r="C274" s="310"/>
      <c r="D274" s="311"/>
      <c r="E274" s="312"/>
    </row>
    <row r="275" spans="1:5" s="309" customFormat="1">
      <c r="A275" s="312"/>
      <c r="C275" s="310"/>
      <c r="D275" s="311"/>
      <c r="E275" s="312"/>
    </row>
    <row r="276" spans="1:5" s="309" customFormat="1">
      <c r="A276" s="312"/>
      <c r="C276" s="310"/>
      <c r="D276" s="311"/>
      <c r="E276" s="312"/>
    </row>
    <row r="277" spans="1:5" s="309" customFormat="1">
      <c r="A277" s="312"/>
      <c r="C277" s="310"/>
      <c r="D277" s="311"/>
      <c r="E277" s="312"/>
    </row>
    <row r="278" spans="1:5" s="309" customFormat="1">
      <c r="A278" s="312"/>
      <c r="C278" s="310"/>
      <c r="D278" s="311"/>
      <c r="E278" s="312"/>
    </row>
    <row r="279" spans="1:5" s="309" customFormat="1">
      <c r="A279" s="312"/>
      <c r="C279" s="310"/>
      <c r="D279" s="311"/>
      <c r="E279" s="312"/>
    </row>
    <row r="280" spans="1:5" s="309" customFormat="1">
      <c r="A280" s="312"/>
      <c r="C280" s="310"/>
      <c r="D280" s="311"/>
      <c r="E280" s="312"/>
    </row>
    <row r="281" spans="1:5" s="309" customFormat="1">
      <c r="A281" s="312"/>
      <c r="C281" s="310"/>
      <c r="D281" s="311"/>
      <c r="E281" s="312"/>
    </row>
    <row r="282" spans="1:5" s="309" customFormat="1">
      <c r="A282" s="312"/>
      <c r="C282" s="310"/>
      <c r="D282" s="311"/>
      <c r="E282" s="312"/>
    </row>
    <row r="283" spans="1:5" s="309" customFormat="1">
      <c r="A283" s="312"/>
      <c r="C283" s="310"/>
      <c r="D283" s="311"/>
      <c r="E283" s="312"/>
    </row>
    <row r="284" spans="1:5" s="309" customFormat="1">
      <c r="A284" s="312"/>
      <c r="C284" s="310"/>
      <c r="D284" s="311"/>
      <c r="E284" s="312"/>
    </row>
    <row r="285" spans="1:5" s="309" customFormat="1">
      <c r="A285" s="312"/>
      <c r="C285" s="310"/>
      <c r="D285" s="311"/>
      <c r="E285" s="312"/>
    </row>
    <row r="286" spans="1:5" s="309" customFormat="1">
      <c r="A286" s="312"/>
      <c r="C286" s="310"/>
      <c r="D286" s="311"/>
      <c r="E286" s="312"/>
    </row>
    <row r="287" spans="1:5" s="309" customFormat="1">
      <c r="A287" s="312"/>
      <c r="C287" s="310"/>
      <c r="D287" s="311"/>
      <c r="E287" s="312"/>
    </row>
  </sheetData>
  <pageMargins left="0.7" right="0.7" top="0.75" bottom="0.75" header="0.3" footer="0.3"/>
  <pageSetup scale="80" orientation="portrait" r:id="rId1"/>
  <headerFooter>
    <oddFooter>&amp;R&amp;P of &amp;N</oddFooter>
  </headerFooter>
  <rowBreaks count="1" manualBreakCount="1">
    <brk id="52" max="4"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MZ429"/>
  <sheetViews>
    <sheetView topLeftCell="A37" workbookViewId="0">
      <selection activeCell="G84" sqref="G84"/>
    </sheetView>
  </sheetViews>
  <sheetFormatPr defaultColWidth="9.42578125" defaultRowHeight="12.75"/>
  <cols>
    <col min="1" max="1" width="9.42578125" style="188"/>
    <col min="2" max="2" width="24.42578125" style="188" customWidth="1"/>
    <col min="3" max="4" width="9.42578125" style="188" customWidth="1"/>
    <col min="5" max="15" width="8.42578125" style="188" customWidth="1"/>
    <col min="16" max="16" width="8.42578125" style="248" customWidth="1"/>
    <col min="17" max="19" width="6.5703125" style="248" customWidth="1"/>
    <col min="20" max="364" width="9.42578125" style="248"/>
    <col min="365" max="16384" width="9.42578125" style="188"/>
  </cols>
  <sheetData>
    <row r="1" spans="1:17">
      <c r="A1" s="244"/>
      <c r="B1" s="244"/>
      <c r="C1" s="244"/>
      <c r="D1" s="244"/>
      <c r="E1" s="244"/>
      <c r="F1" s="244"/>
      <c r="G1" s="244"/>
      <c r="H1" s="244"/>
      <c r="I1" s="244"/>
      <c r="J1" s="244"/>
      <c r="K1" s="244"/>
      <c r="L1" s="244"/>
      <c r="M1" s="244"/>
      <c r="N1" s="244"/>
      <c r="O1" s="244"/>
      <c r="P1" s="244"/>
      <c r="Q1" s="244"/>
    </row>
    <row r="2" spans="1:17">
      <c r="A2" s="245" t="s">
        <v>35</v>
      </c>
      <c r="B2" s="244"/>
      <c r="C2" s="244"/>
      <c r="D2" s="244"/>
      <c r="E2" s="244"/>
      <c r="F2" s="244"/>
      <c r="G2" s="244"/>
      <c r="H2" s="244"/>
      <c r="I2" s="244"/>
      <c r="J2" s="244"/>
      <c r="K2" s="244"/>
      <c r="L2" s="244"/>
      <c r="M2" s="244"/>
      <c r="N2" s="244"/>
      <c r="O2" s="244"/>
      <c r="P2" s="244"/>
      <c r="Q2" s="244"/>
    </row>
    <row r="3" spans="1:17">
      <c r="A3" s="245"/>
      <c r="B3" s="244"/>
      <c r="C3" s="244"/>
      <c r="D3" s="244"/>
      <c r="E3" s="244"/>
      <c r="F3" s="244"/>
      <c r="G3" s="244"/>
      <c r="H3" s="244"/>
      <c r="I3" s="244"/>
      <c r="J3" s="244"/>
      <c r="K3" s="244"/>
      <c r="L3" s="244"/>
      <c r="M3" s="244"/>
      <c r="N3" s="244"/>
      <c r="O3" s="244"/>
      <c r="P3" s="244"/>
      <c r="Q3" s="244"/>
    </row>
    <row r="4" spans="1:17">
      <c r="A4" s="242" t="s">
        <v>545</v>
      </c>
      <c r="B4" s="243"/>
      <c r="C4" s="243"/>
      <c r="D4" s="243"/>
      <c r="E4" s="243"/>
      <c r="F4" s="243"/>
      <c r="G4" s="243"/>
      <c r="H4" s="243"/>
      <c r="I4" s="243"/>
      <c r="J4" s="243"/>
      <c r="K4" s="243"/>
      <c r="L4" s="243"/>
      <c r="M4" s="243"/>
      <c r="N4" s="243"/>
      <c r="O4" s="243"/>
      <c r="P4" s="243"/>
      <c r="Q4" s="243"/>
    </row>
    <row r="5" spans="1:17" ht="13.5" thickBot="1">
      <c r="A5" s="245"/>
      <c r="B5" s="244"/>
      <c r="C5" s="244"/>
      <c r="D5" s="244"/>
      <c r="E5" s="244"/>
      <c r="F5" s="244"/>
      <c r="G5" s="244"/>
      <c r="H5" s="244"/>
      <c r="I5" s="244"/>
      <c r="J5" s="244"/>
      <c r="K5" s="244"/>
      <c r="L5" s="244"/>
      <c r="M5" s="244"/>
      <c r="N5" s="244"/>
      <c r="O5" s="244"/>
      <c r="P5" s="244"/>
      <c r="Q5" s="244"/>
    </row>
    <row r="6" spans="1:17" ht="38.25">
      <c r="A6" s="244"/>
      <c r="B6" s="2630" t="s">
        <v>366</v>
      </c>
      <c r="C6" s="246" t="s">
        <v>545</v>
      </c>
      <c r="D6" s="246" t="s">
        <v>584</v>
      </c>
      <c r="E6" s="244"/>
      <c r="F6" s="244"/>
      <c r="G6" s="244"/>
      <c r="H6" s="244"/>
      <c r="I6" s="244"/>
      <c r="J6" s="244"/>
      <c r="K6" s="244"/>
      <c r="L6" s="244"/>
      <c r="M6" s="244"/>
      <c r="N6" s="244"/>
      <c r="O6" s="244"/>
      <c r="P6" s="244"/>
      <c r="Q6" s="244"/>
    </row>
    <row r="7" spans="1:17" ht="38.25">
      <c r="A7" s="244"/>
      <c r="B7" s="2631"/>
      <c r="C7" s="24" t="s">
        <v>551</v>
      </c>
      <c r="D7" s="24" t="s">
        <v>551</v>
      </c>
      <c r="E7" s="244"/>
      <c r="F7" s="244"/>
      <c r="G7" s="244"/>
      <c r="H7" s="244"/>
      <c r="I7" s="244"/>
      <c r="J7" s="244"/>
      <c r="K7" s="244"/>
      <c r="L7" s="244"/>
      <c r="M7" s="244"/>
      <c r="N7" s="244"/>
      <c r="O7" s="244"/>
      <c r="P7" s="244"/>
      <c r="Q7" s="244"/>
    </row>
    <row r="8" spans="1:17">
      <c r="A8" s="244"/>
      <c r="B8" s="25" t="s">
        <v>29</v>
      </c>
      <c r="C8" s="26"/>
      <c r="D8" s="26"/>
      <c r="E8" s="244"/>
      <c r="F8" s="244"/>
      <c r="G8" s="244"/>
      <c r="H8" s="244"/>
      <c r="I8" s="244"/>
      <c r="J8" s="244"/>
      <c r="K8" s="244"/>
      <c r="L8" s="244"/>
      <c r="M8" s="244"/>
      <c r="N8" s="244"/>
      <c r="O8" s="244"/>
      <c r="P8" s="244"/>
      <c r="Q8" s="244"/>
    </row>
    <row r="9" spans="1:17">
      <c r="A9" s="244"/>
      <c r="B9" s="27" t="s">
        <v>43</v>
      </c>
      <c r="C9" s="28">
        <f>'Integrated Team (FY21)'!C13</f>
        <v>1</v>
      </c>
      <c r="D9" s="28">
        <f>'Integrated Team (FY21)'!D13</f>
        <v>1</v>
      </c>
      <c r="E9" s="244"/>
      <c r="F9" s="244"/>
      <c r="G9" s="244"/>
      <c r="H9" s="244"/>
      <c r="I9" s="244"/>
      <c r="J9" s="244"/>
      <c r="K9" s="244"/>
      <c r="L9" s="244"/>
      <c r="M9" s="244"/>
      <c r="N9" s="244"/>
      <c r="O9" s="244"/>
      <c r="P9" s="244"/>
      <c r="Q9" s="244"/>
    </row>
    <row r="10" spans="1:17">
      <c r="A10" s="244"/>
      <c r="B10" s="27" t="s">
        <v>134</v>
      </c>
      <c r="C10" s="28">
        <f>'Integrated Team (FY21)'!C14</f>
        <v>1</v>
      </c>
      <c r="D10" s="28">
        <f>'Integrated Team (FY21)'!D14</f>
        <v>1</v>
      </c>
      <c r="E10" s="244"/>
      <c r="F10" s="244"/>
      <c r="G10" s="244"/>
      <c r="H10" s="244"/>
      <c r="I10" s="244"/>
      <c r="J10" s="244"/>
      <c r="K10" s="244"/>
      <c r="L10" s="244"/>
      <c r="M10" s="244"/>
      <c r="N10" s="244"/>
      <c r="O10" s="244"/>
      <c r="P10" s="244"/>
      <c r="Q10" s="244"/>
    </row>
    <row r="11" spans="1:17">
      <c r="A11" s="244"/>
      <c r="B11" s="27" t="s">
        <v>132</v>
      </c>
      <c r="C11" s="28">
        <f>'Integrated Team (FY21)'!C15</f>
        <v>0.1</v>
      </c>
      <c r="D11" s="28">
        <f>'Integrated Team (FY21)'!D15</f>
        <v>0.1</v>
      </c>
      <c r="E11" s="244"/>
      <c r="F11" s="244"/>
      <c r="G11" s="244"/>
      <c r="H11" s="244"/>
      <c r="I11" s="244"/>
      <c r="J11" s="244"/>
      <c r="K11" s="244"/>
      <c r="L11" s="244"/>
      <c r="M11" s="244"/>
      <c r="N11" s="244"/>
      <c r="O11" s="244"/>
      <c r="P11" s="244"/>
      <c r="Q11" s="244"/>
    </row>
    <row r="12" spans="1:17">
      <c r="A12" s="244"/>
      <c r="B12" s="25" t="s">
        <v>30</v>
      </c>
      <c r="C12" s="29"/>
      <c r="D12" s="29"/>
      <c r="E12" s="244"/>
      <c r="F12" s="244"/>
      <c r="G12" s="244"/>
      <c r="H12" s="244"/>
      <c r="I12" s="244"/>
      <c r="J12" s="244"/>
      <c r="K12" s="244"/>
      <c r="L12" s="244"/>
      <c r="M12" s="244"/>
      <c r="N12" s="244"/>
      <c r="O12" s="244"/>
      <c r="P12" s="244"/>
      <c r="Q12" s="244"/>
    </row>
    <row r="13" spans="1:17">
      <c r="A13" s="244"/>
      <c r="B13" s="27" t="s">
        <v>38</v>
      </c>
      <c r="C13" s="28">
        <f>'Integrated Team (FY21)'!C17</f>
        <v>0.05</v>
      </c>
      <c r="D13" s="28">
        <f>'Integrated Team (FY21)'!D17</f>
        <v>0.05</v>
      </c>
      <c r="E13" s="244"/>
      <c r="F13" s="244"/>
      <c r="G13" s="244"/>
      <c r="H13" s="244"/>
      <c r="I13" s="244"/>
      <c r="J13" s="244"/>
      <c r="K13" s="244"/>
      <c r="L13" s="244"/>
      <c r="M13" s="244"/>
      <c r="N13" s="244"/>
      <c r="O13" s="244"/>
      <c r="P13" s="244"/>
      <c r="Q13" s="244"/>
    </row>
    <row r="14" spans="1:17">
      <c r="A14" s="244"/>
      <c r="B14" s="27" t="s">
        <v>44</v>
      </c>
      <c r="C14" s="28">
        <f>'Integrated Team (FY21)'!C18</f>
        <v>3.5999999999999996</v>
      </c>
      <c r="D14" s="28">
        <f>'Integrated Team (FY21)'!D18</f>
        <v>3.5999999999999996</v>
      </c>
      <c r="E14" s="244"/>
      <c r="F14" s="244"/>
      <c r="G14" s="244"/>
      <c r="H14" s="244"/>
      <c r="I14" s="244"/>
      <c r="J14" s="244"/>
      <c r="K14" s="244"/>
      <c r="L14" s="244"/>
      <c r="M14" s="244"/>
      <c r="N14" s="244"/>
      <c r="O14" s="244"/>
      <c r="P14" s="244"/>
      <c r="Q14" s="244"/>
    </row>
    <row r="15" spans="1:17">
      <c r="A15" s="244"/>
      <c r="B15" s="27" t="s">
        <v>45</v>
      </c>
      <c r="C15" s="28">
        <f>'Integrated Team (FY21)'!C19</f>
        <v>1</v>
      </c>
      <c r="D15" s="28">
        <f>'Integrated Team (FY21)'!D19</f>
        <v>1</v>
      </c>
      <c r="E15" s="244"/>
      <c r="F15" s="244"/>
      <c r="G15" s="244"/>
      <c r="H15" s="244"/>
      <c r="I15" s="244"/>
      <c r="J15" s="244"/>
      <c r="K15" s="244"/>
      <c r="L15" s="244"/>
      <c r="M15" s="244"/>
      <c r="N15" s="244"/>
      <c r="O15" s="244"/>
      <c r="P15" s="244"/>
      <c r="Q15" s="244"/>
    </row>
    <row r="16" spans="1:17">
      <c r="A16" s="244"/>
      <c r="B16" s="27" t="s">
        <v>39</v>
      </c>
      <c r="C16" s="28">
        <f>'Integrated Team (FY21)'!C20</f>
        <v>1</v>
      </c>
      <c r="D16" s="28">
        <f>'Integrated Team (FY21)'!D20</f>
        <v>1</v>
      </c>
      <c r="E16" s="244"/>
      <c r="F16" s="244"/>
      <c r="G16" s="244"/>
      <c r="H16" s="244"/>
      <c r="I16" s="244"/>
      <c r="J16" s="244"/>
      <c r="K16" s="244"/>
      <c r="L16" s="244"/>
      <c r="M16" s="244"/>
      <c r="N16" s="244"/>
      <c r="O16" s="244"/>
      <c r="P16" s="244"/>
      <c r="Q16" s="244"/>
    </row>
    <row r="17" spans="1:17">
      <c r="A17" s="244"/>
      <c r="B17" s="25" t="s">
        <v>31</v>
      </c>
      <c r="C17" s="29"/>
      <c r="D17" s="29"/>
      <c r="E17" s="244"/>
      <c r="F17" s="244"/>
      <c r="G17" s="244"/>
      <c r="H17" s="244"/>
      <c r="I17" s="244"/>
      <c r="J17" s="244"/>
      <c r="K17" s="244"/>
      <c r="L17" s="244"/>
      <c r="M17" s="244"/>
      <c r="N17" s="244"/>
      <c r="O17" s="244"/>
      <c r="P17" s="244"/>
      <c r="Q17" s="244"/>
    </row>
    <row r="18" spans="1:17">
      <c r="A18" s="244"/>
      <c r="B18" s="27" t="s">
        <v>444</v>
      </c>
      <c r="C18" s="28">
        <f>'Integrated Team (FY21)'!C22</f>
        <v>2</v>
      </c>
      <c r="D18" s="28">
        <f>'Integrated Team (FY21)'!D22</f>
        <v>0</v>
      </c>
      <c r="E18" s="244"/>
      <c r="F18" s="244"/>
      <c r="G18" s="244"/>
      <c r="H18" s="244"/>
      <c r="I18" s="244"/>
      <c r="J18" s="244"/>
      <c r="K18" s="244"/>
      <c r="L18" s="244"/>
      <c r="M18" s="244"/>
      <c r="N18" s="244"/>
      <c r="O18" s="244"/>
      <c r="P18" s="244"/>
      <c r="Q18" s="244"/>
    </row>
    <row r="19" spans="1:17">
      <c r="A19" s="244"/>
      <c r="B19" s="27" t="s">
        <v>445</v>
      </c>
      <c r="C19" s="28">
        <f>'Integrated Team (FY21)'!C23</f>
        <v>6</v>
      </c>
      <c r="D19" s="28">
        <f>'Integrated Team (FY21)'!D23</f>
        <v>0</v>
      </c>
      <c r="E19" s="244"/>
      <c r="F19" s="244"/>
      <c r="G19" s="244"/>
      <c r="H19" s="244"/>
      <c r="I19" s="244"/>
      <c r="J19" s="244"/>
      <c r="K19" s="244"/>
      <c r="L19" s="244"/>
      <c r="M19" s="244"/>
      <c r="N19" s="244"/>
      <c r="O19" s="244"/>
      <c r="P19" s="244"/>
      <c r="Q19" s="244"/>
    </row>
    <row r="20" spans="1:17">
      <c r="A20" s="244"/>
      <c r="B20" s="27" t="s">
        <v>40</v>
      </c>
      <c r="C20" s="28">
        <f>'Integrated Team (FY21)'!C24</f>
        <v>1</v>
      </c>
      <c r="D20" s="28">
        <f>'Integrated Team (FY21)'!D24</f>
        <v>1</v>
      </c>
      <c r="E20" s="244"/>
      <c r="F20" s="244"/>
      <c r="G20" s="244"/>
      <c r="H20" s="244"/>
      <c r="I20" s="244"/>
      <c r="J20" s="244"/>
      <c r="K20" s="244"/>
      <c r="L20" s="244"/>
      <c r="M20" s="244"/>
      <c r="N20" s="244"/>
      <c r="O20" s="244"/>
      <c r="P20" s="244"/>
      <c r="Q20" s="244"/>
    </row>
    <row r="21" spans="1:17">
      <c r="A21" s="244"/>
      <c r="B21" s="27" t="s">
        <v>46</v>
      </c>
      <c r="C21" s="28">
        <f>'Integrated Team (FY21)'!C26</f>
        <v>2.25</v>
      </c>
      <c r="D21" s="28">
        <f>'Integrated Team (FY21)'!D26</f>
        <v>2.25</v>
      </c>
      <c r="E21" s="244"/>
      <c r="F21" s="244"/>
      <c r="G21" s="244"/>
      <c r="H21" s="244"/>
      <c r="I21" s="244"/>
      <c r="J21" s="244"/>
      <c r="K21" s="244"/>
      <c r="L21" s="244"/>
      <c r="M21" s="244"/>
      <c r="N21" s="244"/>
      <c r="O21" s="244"/>
      <c r="P21" s="244"/>
      <c r="Q21" s="244"/>
    </row>
    <row r="22" spans="1:17">
      <c r="A22" s="244"/>
      <c r="B22" s="481" t="s">
        <v>468</v>
      </c>
      <c r="C22" s="28">
        <f>'Integrated Team (FY21)'!C39</f>
        <v>0</v>
      </c>
      <c r="D22" s="28">
        <f>'Integrated Team (FY21)'!D39</f>
        <v>0</v>
      </c>
      <c r="E22" s="244"/>
      <c r="F22" s="244"/>
      <c r="G22" s="244"/>
      <c r="H22" s="244"/>
      <c r="I22" s="244"/>
      <c r="J22" s="244"/>
      <c r="K22" s="244"/>
      <c r="L22" s="244"/>
      <c r="M22" s="244"/>
      <c r="N22" s="244"/>
      <c r="O22" s="244"/>
      <c r="P22" s="244"/>
      <c r="Q22" s="244"/>
    </row>
    <row r="23" spans="1:17">
      <c r="A23" s="244"/>
      <c r="B23" s="30" t="s">
        <v>32</v>
      </c>
      <c r="C23" s="28">
        <f>'Integrated Team (FY21)'!C27</f>
        <v>1.23</v>
      </c>
      <c r="D23" s="28">
        <f>'Integrated Team (FY21)'!D27</f>
        <v>0</v>
      </c>
      <c r="E23" s="244"/>
      <c r="F23" s="244"/>
      <c r="G23" s="244"/>
      <c r="H23" s="244"/>
      <c r="I23" s="244"/>
      <c r="J23" s="244"/>
      <c r="K23" s="244"/>
      <c r="L23" s="244"/>
      <c r="M23" s="244"/>
      <c r="N23" s="244"/>
      <c r="O23" s="244"/>
      <c r="P23" s="244"/>
      <c r="Q23" s="244"/>
    </row>
    <row r="24" spans="1:17">
      <c r="A24" s="244"/>
      <c r="B24" s="25" t="s">
        <v>33</v>
      </c>
      <c r="C24" s="29"/>
      <c r="D24" s="29"/>
      <c r="E24" s="244"/>
      <c r="F24" s="244"/>
      <c r="G24" s="244"/>
      <c r="H24" s="244"/>
      <c r="I24" s="244"/>
      <c r="J24" s="244"/>
      <c r="K24" s="244"/>
      <c r="L24" s="244"/>
      <c r="M24" s="244"/>
      <c r="N24" s="244"/>
      <c r="O24" s="244"/>
      <c r="P24" s="244"/>
      <c r="Q24" s="244"/>
    </row>
    <row r="25" spans="1:17">
      <c r="A25" s="244"/>
      <c r="B25" s="31" t="s">
        <v>34</v>
      </c>
      <c r="C25" s="32">
        <f>'Integrated Team (FY21)'!C29</f>
        <v>1</v>
      </c>
      <c r="D25" s="32">
        <f>'Integrated Team (FY21)'!D29</f>
        <v>1</v>
      </c>
      <c r="E25" s="244"/>
      <c r="F25" s="244"/>
      <c r="G25" s="244"/>
      <c r="H25" s="244"/>
      <c r="I25" s="244"/>
      <c r="J25" s="244"/>
      <c r="K25" s="244"/>
      <c r="L25" s="244"/>
      <c r="M25" s="244"/>
      <c r="N25" s="244"/>
      <c r="O25" s="244"/>
      <c r="P25" s="244"/>
      <c r="Q25" s="244"/>
    </row>
    <row r="26" spans="1:17" ht="13.5" thickBot="1">
      <c r="A26" s="244"/>
      <c r="B26" s="33" t="s">
        <v>348</v>
      </c>
      <c r="C26" s="34">
        <f>SUM(C9:C25)</f>
        <v>21.23</v>
      </c>
      <c r="D26" s="34">
        <f>SUM(D9:D25)</f>
        <v>12</v>
      </c>
      <c r="E26" s="244"/>
      <c r="F26" s="244"/>
      <c r="G26" s="244"/>
      <c r="H26" s="244"/>
      <c r="I26" s="244"/>
      <c r="J26" s="244"/>
      <c r="K26" s="244"/>
      <c r="L26" s="244"/>
      <c r="M26" s="244"/>
      <c r="N26" s="244"/>
      <c r="O26" s="244"/>
      <c r="P26" s="244"/>
      <c r="Q26" s="244"/>
    </row>
    <row r="27" spans="1:17">
      <c r="A27" s="244"/>
      <c r="B27" s="244"/>
      <c r="C27" s="244"/>
      <c r="D27" s="244"/>
      <c r="E27" s="244"/>
      <c r="F27" s="244"/>
      <c r="G27" s="251"/>
      <c r="H27" s="249"/>
      <c r="I27" s="249"/>
      <c r="J27" s="249"/>
      <c r="K27" s="249"/>
      <c r="L27" s="244"/>
      <c r="M27" s="244"/>
      <c r="N27" s="244"/>
      <c r="O27" s="244"/>
      <c r="P27" s="244"/>
      <c r="Q27" s="244"/>
    </row>
    <row r="28" spans="1:17">
      <c r="A28" s="242" t="s">
        <v>585</v>
      </c>
      <c r="B28" s="243"/>
      <c r="C28" s="243"/>
      <c r="D28" s="243"/>
      <c r="E28" s="243"/>
      <c r="F28" s="243"/>
      <c r="G28" s="243"/>
      <c r="H28" s="243"/>
      <c r="I28" s="243"/>
      <c r="J28" s="243"/>
      <c r="K28" s="243"/>
      <c r="L28" s="243"/>
      <c r="M28" s="243"/>
      <c r="N28" s="243"/>
      <c r="O28" s="243"/>
      <c r="P28" s="243"/>
      <c r="Q28" s="243"/>
    </row>
    <row r="29" spans="1:17" ht="13.5" thickBot="1">
      <c r="A29" s="244"/>
      <c r="B29" s="244"/>
      <c r="C29" s="244"/>
      <c r="D29" s="244"/>
      <c r="E29" s="244"/>
      <c r="F29" s="244"/>
      <c r="G29" s="244"/>
      <c r="H29" s="244"/>
      <c r="I29" s="244"/>
      <c r="J29" s="244"/>
      <c r="K29" s="244"/>
      <c r="L29" s="244"/>
      <c r="M29" s="244"/>
      <c r="N29" s="244"/>
      <c r="O29" s="244"/>
      <c r="P29" s="244"/>
      <c r="Q29" s="244"/>
    </row>
    <row r="30" spans="1:17" ht="14.85" customHeight="1">
      <c r="A30" s="244"/>
      <c r="B30" s="195" t="s">
        <v>351</v>
      </c>
      <c r="C30" s="437" t="s">
        <v>355</v>
      </c>
      <c r="D30" s="437"/>
      <c r="E30" s="437"/>
      <c r="F30" s="2632" t="s">
        <v>586</v>
      </c>
      <c r="G30" s="2633"/>
      <c r="H30" s="2634"/>
      <c r="I30" s="244"/>
      <c r="J30" s="244"/>
      <c r="K30" s="244"/>
      <c r="L30" s="244"/>
      <c r="M30" s="244"/>
      <c r="N30" s="244"/>
      <c r="O30" s="244"/>
      <c r="P30" s="244"/>
      <c r="Q30" s="244"/>
    </row>
    <row r="31" spans="1:17">
      <c r="A31" s="244"/>
      <c r="B31" s="196" t="s">
        <v>356</v>
      </c>
      <c r="C31" s="413" t="s">
        <v>118</v>
      </c>
      <c r="D31" s="189" t="s">
        <v>119</v>
      </c>
      <c r="E31" s="416" t="s">
        <v>120</v>
      </c>
      <c r="F31" s="197" t="s">
        <v>354</v>
      </c>
      <c r="G31" s="198" t="s">
        <v>352</v>
      </c>
      <c r="H31" s="415" t="s">
        <v>353</v>
      </c>
      <c r="I31" s="244"/>
      <c r="J31" s="244"/>
      <c r="K31" s="244"/>
      <c r="L31" s="244"/>
      <c r="M31" s="244"/>
      <c r="N31" s="244"/>
      <c r="O31" s="244"/>
      <c r="P31" s="244"/>
      <c r="Q31" s="244"/>
    </row>
    <row r="32" spans="1:17">
      <c r="A32" s="244"/>
      <c r="B32" s="199" t="s">
        <v>350</v>
      </c>
      <c r="C32" s="414">
        <v>5</v>
      </c>
      <c r="D32" s="190">
        <v>8</v>
      </c>
      <c r="E32" s="417">
        <v>11</v>
      </c>
      <c r="F32" s="197">
        <v>15</v>
      </c>
      <c r="G32" s="198">
        <v>20</v>
      </c>
      <c r="H32" s="415">
        <v>30</v>
      </c>
      <c r="I32" s="244"/>
      <c r="J32" s="244"/>
      <c r="K32" s="244"/>
      <c r="L32" s="244"/>
      <c r="M32" s="244"/>
      <c r="N32" s="244"/>
      <c r="O32" s="244"/>
      <c r="P32" s="244"/>
      <c r="Q32" s="244"/>
    </row>
    <row r="33" spans="1:364" ht="13.5" thickBot="1">
      <c r="A33" s="244"/>
      <c r="B33" s="25" t="s">
        <v>31</v>
      </c>
      <c r="C33" s="425"/>
      <c r="D33" s="425"/>
      <c r="E33" s="425"/>
      <c r="F33" s="430"/>
      <c r="G33" s="425"/>
      <c r="H33" s="431"/>
      <c r="I33" s="244"/>
      <c r="J33" s="244"/>
      <c r="K33" s="244"/>
      <c r="L33" s="244"/>
      <c r="M33" s="244"/>
      <c r="N33" s="244"/>
      <c r="O33" s="244"/>
      <c r="P33" s="244"/>
      <c r="Q33" s="244"/>
    </row>
    <row r="34" spans="1:364">
      <c r="A34" s="244"/>
      <c r="B34" s="27" t="s">
        <v>390</v>
      </c>
      <c r="C34" s="426">
        <f>GLE!C23</f>
        <v>0.05</v>
      </c>
      <c r="D34" s="427">
        <f>GLE!D23</f>
        <v>0.05</v>
      </c>
      <c r="E34" s="427">
        <f>GLE!E23</f>
        <v>0.05</v>
      </c>
      <c r="F34" s="432">
        <f>GLE!C68</f>
        <v>0.05</v>
      </c>
      <c r="G34" s="433">
        <f>GLE!D68</f>
        <v>0.05</v>
      </c>
      <c r="H34" s="428">
        <f>GLE!E68</f>
        <v>0.05</v>
      </c>
      <c r="I34" s="244"/>
      <c r="J34" s="244"/>
      <c r="K34" s="244"/>
      <c r="L34" s="244"/>
      <c r="M34" s="244"/>
      <c r="N34" s="244"/>
      <c r="O34" s="244"/>
      <c r="P34" s="244"/>
      <c r="Q34" s="244"/>
    </row>
    <row r="35" spans="1:364">
      <c r="A35" s="244"/>
      <c r="B35" s="27" t="s">
        <v>121</v>
      </c>
      <c r="C35" s="429">
        <f>GLE!C24</f>
        <v>1.1499999999999999</v>
      </c>
      <c r="D35" s="418">
        <f>GLE!D24</f>
        <v>1.1499999999999999</v>
      </c>
      <c r="E35" s="418">
        <f>GLE!E24</f>
        <v>1.1499999999999999</v>
      </c>
      <c r="F35" s="200">
        <f>GLE!C69</f>
        <v>1</v>
      </c>
      <c r="G35" s="191">
        <f>GLE!D69</f>
        <v>1</v>
      </c>
      <c r="H35" s="192">
        <f>GLE!E69</f>
        <v>1</v>
      </c>
      <c r="I35" s="244"/>
      <c r="J35" s="244"/>
      <c r="K35" s="244"/>
      <c r="L35" s="244"/>
      <c r="M35" s="244"/>
      <c r="N35" s="244"/>
      <c r="O35" s="244"/>
      <c r="P35" s="244"/>
      <c r="Q35" s="244"/>
    </row>
    <row r="36" spans="1:364">
      <c r="A36" s="244"/>
      <c r="B36" s="27" t="s">
        <v>130</v>
      </c>
      <c r="C36" s="429">
        <f>GLE!C25</f>
        <v>7</v>
      </c>
      <c r="D36" s="418">
        <f>GLE!D25</f>
        <v>8</v>
      </c>
      <c r="E36" s="418">
        <f>GLE!E25</f>
        <v>9</v>
      </c>
      <c r="F36" s="200">
        <f>GLE!C70</f>
        <v>4.2</v>
      </c>
      <c r="G36" s="191">
        <f>GLE!D70</f>
        <v>4.2</v>
      </c>
      <c r="H36" s="192">
        <f>GLE!E70</f>
        <v>4.2</v>
      </c>
      <c r="I36" s="244"/>
      <c r="J36" s="244"/>
      <c r="K36" s="244"/>
      <c r="L36" s="244"/>
      <c r="M36" s="244"/>
      <c r="N36" s="244"/>
      <c r="O36" s="244"/>
      <c r="P36" s="244"/>
      <c r="Q36" s="244"/>
    </row>
    <row r="37" spans="1:364">
      <c r="A37" s="244"/>
      <c r="B37" s="27" t="s">
        <v>349</v>
      </c>
      <c r="C37" s="429">
        <f>GLE!C26</f>
        <v>1.0769230769230771</v>
      </c>
      <c r="D37" s="418">
        <f>GLE!D26</f>
        <v>1.2307692307692308</v>
      </c>
      <c r="E37" s="418">
        <f>GLE!E26</f>
        <v>1.3846153846153846</v>
      </c>
      <c r="F37" s="200">
        <f>GLE!C71</f>
        <v>0.64615384615384619</v>
      </c>
      <c r="G37" s="191">
        <f>GLE!D71</f>
        <v>0.64615384615384619</v>
      </c>
      <c r="H37" s="192">
        <f>GLE!E71</f>
        <v>0.64615384615384619</v>
      </c>
      <c r="I37" s="244"/>
      <c r="J37" s="244"/>
      <c r="K37" s="244"/>
      <c r="L37" s="244"/>
      <c r="M37" s="244"/>
      <c r="N37" s="244"/>
      <c r="O37" s="244"/>
      <c r="P37" s="244"/>
      <c r="Q37" s="244"/>
    </row>
    <row r="38" spans="1:364" ht="13.5" thickBot="1">
      <c r="A38" s="244"/>
      <c r="B38" s="33" t="s">
        <v>348</v>
      </c>
      <c r="C38" s="201">
        <f t="shared" ref="C38:H38" si="0">SUM(C34:C37)</f>
        <v>9.2769230769230759</v>
      </c>
      <c r="D38" s="193">
        <f t="shared" si="0"/>
        <v>10.430769230769229</v>
      </c>
      <c r="E38" s="419">
        <f t="shared" si="0"/>
        <v>11.584615384615384</v>
      </c>
      <c r="F38" s="201">
        <f t="shared" si="0"/>
        <v>5.8961538461538465</v>
      </c>
      <c r="G38" s="193">
        <f t="shared" si="0"/>
        <v>5.8961538461538465</v>
      </c>
      <c r="H38" s="194">
        <f t="shared" si="0"/>
        <v>5.8961538461538465</v>
      </c>
      <c r="I38" s="244"/>
      <c r="J38" s="244"/>
      <c r="K38" s="244"/>
      <c r="L38" s="244"/>
      <c r="M38" s="244"/>
      <c r="N38" s="244"/>
      <c r="O38" s="244"/>
      <c r="P38" s="244"/>
      <c r="Q38" s="244"/>
    </row>
    <row r="39" spans="1:364">
      <c r="A39" s="244"/>
      <c r="B39" s="244"/>
      <c r="C39" s="244"/>
      <c r="D39" s="244"/>
      <c r="E39" s="244"/>
      <c r="F39" s="244"/>
      <c r="H39" s="244"/>
      <c r="I39" s="244"/>
      <c r="J39" s="244"/>
      <c r="K39" s="244"/>
      <c r="L39" s="244"/>
      <c r="M39" s="244"/>
      <c r="N39" s="244"/>
      <c r="O39" s="244"/>
      <c r="P39" s="244"/>
      <c r="Q39" s="244"/>
    </row>
    <row r="40" spans="1:364">
      <c r="A40" s="242" t="s">
        <v>446</v>
      </c>
      <c r="B40" s="243"/>
      <c r="C40" s="243"/>
      <c r="D40" s="243"/>
      <c r="E40" s="243"/>
      <c r="F40" s="243"/>
      <c r="G40" s="243"/>
      <c r="H40" s="243"/>
      <c r="I40" s="243"/>
      <c r="J40" s="243"/>
      <c r="K40" s="243"/>
      <c r="L40" s="243"/>
      <c r="M40" s="243"/>
      <c r="N40" s="243"/>
      <c r="O40" s="243"/>
      <c r="P40" s="243"/>
      <c r="Q40" s="243"/>
    </row>
    <row r="41" spans="1:364" ht="13.5" thickBot="1">
      <c r="A41" s="244"/>
      <c r="B41" s="244"/>
      <c r="C41" s="244"/>
      <c r="D41" s="244"/>
      <c r="E41" s="244"/>
      <c r="F41" s="244"/>
      <c r="G41" s="244"/>
      <c r="H41" s="244"/>
      <c r="I41" s="244"/>
      <c r="J41" s="244"/>
      <c r="K41" s="244"/>
      <c r="L41" s="244"/>
      <c r="M41" s="244"/>
      <c r="N41" s="244"/>
      <c r="O41" s="244"/>
      <c r="P41" s="244"/>
      <c r="Q41" s="244"/>
    </row>
    <row r="42" spans="1:364" s="203" customFormat="1" ht="45" customHeight="1">
      <c r="A42" s="247"/>
      <c r="B42" s="202" t="s">
        <v>357</v>
      </c>
      <c r="C42" s="2627" t="s">
        <v>587</v>
      </c>
      <c r="D42" s="2628"/>
      <c r="E42" s="2628"/>
      <c r="F42" s="2627" t="s">
        <v>588</v>
      </c>
      <c r="G42" s="2628"/>
      <c r="H42" s="2629"/>
      <c r="I42" s="2628" t="s">
        <v>589</v>
      </c>
      <c r="J42" s="2629"/>
      <c r="K42" s="202" t="s">
        <v>590</v>
      </c>
      <c r="L42" s="2627" t="s">
        <v>591</v>
      </c>
      <c r="M42" s="2628"/>
      <c r="N42" s="2627" t="s">
        <v>592</v>
      </c>
      <c r="O42" s="2628"/>
      <c r="P42" s="2629"/>
      <c r="Q42" s="247"/>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c r="HV42" s="250"/>
      <c r="HW42" s="250"/>
      <c r="HX42" s="250"/>
      <c r="HY42" s="250"/>
      <c r="HZ42" s="250"/>
      <c r="IA42" s="250"/>
      <c r="IB42" s="250"/>
      <c r="IC42" s="250"/>
      <c r="ID42" s="250"/>
      <c r="IE42" s="250"/>
      <c r="IF42" s="250"/>
      <c r="IG42" s="250"/>
      <c r="IH42" s="250"/>
      <c r="II42" s="250"/>
      <c r="IJ42" s="250"/>
      <c r="IK42" s="250"/>
      <c r="IL42" s="250"/>
      <c r="IM42" s="250"/>
      <c r="IN42" s="250"/>
      <c r="IO42" s="250"/>
      <c r="IP42" s="250"/>
      <c r="IQ42" s="250"/>
      <c r="IR42" s="250"/>
      <c r="IS42" s="250"/>
      <c r="IT42" s="250"/>
      <c r="IU42" s="250"/>
      <c r="IV42" s="250"/>
      <c r="IW42" s="250"/>
      <c r="IX42" s="250"/>
      <c r="IY42" s="250"/>
      <c r="IZ42" s="250"/>
      <c r="JA42" s="250"/>
      <c r="JB42" s="250"/>
      <c r="JC42" s="250"/>
      <c r="JD42" s="250"/>
      <c r="JE42" s="250"/>
      <c r="JF42" s="250"/>
      <c r="JG42" s="250"/>
      <c r="JH42" s="250"/>
      <c r="JI42" s="250"/>
      <c r="JJ42" s="250"/>
      <c r="JK42" s="250"/>
      <c r="JL42" s="250"/>
      <c r="JM42" s="250"/>
      <c r="JN42" s="250"/>
      <c r="JO42" s="250"/>
      <c r="JP42" s="250"/>
      <c r="JQ42" s="250"/>
      <c r="JR42" s="250"/>
      <c r="JS42" s="250"/>
      <c r="JT42" s="250"/>
      <c r="JU42" s="250"/>
      <c r="JV42" s="250"/>
      <c r="JW42" s="250"/>
      <c r="JX42" s="250"/>
      <c r="JY42" s="250"/>
      <c r="JZ42" s="250"/>
      <c r="KA42" s="250"/>
      <c r="KB42" s="250"/>
      <c r="KC42" s="250"/>
      <c r="KD42" s="250"/>
      <c r="KE42" s="250"/>
      <c r="KF42" s="250"/>
      <c r="KG42" s="250"/>
      <c r="KH42" s="250"/>
      <c r="KI42" s="250"/>
      <c r="KJ42" s="250"/>
      <c r="KK42" s="250"/>
      <c r="KL42" s="250"/>
      <c r="KM42" s="250"/>
      <c r="KN42" s="250"/>
      <c r="KO42" s="250"/>
      <c r="KP42" s="250"/>
      <c r="KQ42" s="250"/>
      <c r="KR42" s="250"/>
      <c r="KS42" s="250"/>
      <c r="KT42" s="250"/>
      <c r="KU42" s="250"/>
      <c r="KV42" s="250"/>
      <c r="KW42" s="250"/>
      <c r="KX42" s="250"/>
      <c r="KY42" s="250"/>
      <c r="KZ42" s="250"/>
      <c r="LA42" s="250"/>
      <c r="LB42" s="250"/>
      <c r="LC42" s="250"/>
      <c r="LD42" s="250"/>
      <c r="LE42" s="250"/>
      <c r="LF42" s="250"/>
      <c r="LG42" s="250"/>
      <c r="LH42" s="250"/>
      <c r="LI42" s="250"/>
      <c r="LJ42" s="250"/>
      <c r="LK42" s="250"/>
      <c r="LL42" s="250"/>
      <c r="LM42" s="250"/>
      <c r="LN42" s="250"/>
      <c r="LO42" s="250"/>
      <c r="LP42" s="250"/>
      <c r="LQ42" s="250"/>
      <c r="LR42" s="250"/>
      <c r="LS42" s="250"/>
      <c r="LT42" s="250"/>
      <c r="LU42" s="250"/>
      <c r="LV42" s="250"/>
      <c r="LW42" s="250"/>
      <c r="LX42" s="250"/>
      <c r="LY42" s="250"/>
      <c r="LZ42" s="250"/>
      <c r="MA42" s="250"/>
      <c r="MB42" s="250"/>
      <c r="MC42" s="250"/>
      <c r="MD42" s="250"/>
      <c r="ME42" s="250"/>
      <c r="MF42" s="250"/>
      <c r="MG42" s="250"/>
      <c r="MH42" s="250"/>
      <c r="MI42" s="250"/>
      <c r="MJ42" s="250"/>
      <c r="MK42" s="250"/>
      <c r="ML42" s="250"/>
      <c r="MM42" s="250"/>
      <c r="MN42" s="250"/>
      <c r="MO42" s="250"/>
      <c r="MP42" s="250"/>
      <c r="MQ42" s="250"/>
      <c r="MR42" s="250"/>
      <c r="MS42" s="250"/>
      <c r="MT42" s="250"/>
      <c r="MU42" s="250"/>
      <c r="MV42" s="250"/>
      <c r="MW42" s="250"/>
      <c r="MX42" s="250"/>
      <c r="MY42" s="250"/>
      <c r="MZ42" s="250"/>
    </row>
    <row r="43" spans="1:364">
      <c r="A43" s="244"/>
      <c r="B43" s="196" t="s">
        <v>356</v>
      </c>
      <c r="C43" s="204" t="s">
        <v>118</v>
      </c>
      <c r="D43" s="209" t="s">
        <v>119</v>
      </c>
      <c r="E43" s="205" t="s">
        <v>120</v>
      </c>
      <c r="F43" s="204" t="s">
        <v>118</v>
      </c>
      <c r="G43" s="209" t="s">
        <v>119</v>
      </c>
      <c r="H43" s="205" t="s">
        <v>120</v>
      </c>
      <c r="I43" s="207" t="s">
        <v>118</v>
      </c>
      <c r="J43" s="208" t="s">
        <v>120</v>
      </c>
      <c r="K43" s="206" t="s">
        <v>118</v>
      </c>
      <c r="L43" s="207" t="s">
        <v>118</v>
      </c>
      <c r="M43" s="442" t="s">
        <v>119</v>
      </c>
      <c r="N43" s="204" t="s">
        <v>118</v>
      </c>
      <c r="O43" s="209" t="s">
        <v>119</v>
      </c>
      <c r="P43" s="205" t="s">
        <v>120</v>
      </c>
      <c r="Q43" s="244"/>
    </row>
    <row r="44" spans="1:364">
      <c r="A44" s="244"/>
      <c r="B44" s="199" t="s">
        <v>350</v>
      </c>
      <c r="C44" s="210">
        <v>5</v>
      </c>
      <c r="D44" s="434">
        <v>8</v>
      </c>
      <c r="E44" s="211">
        <v>11</v>
      </c>
      <c r="F44" s="210">
        <v>5</v>
      </c>
      <c r="G44" s="434">
        <v>8</v>
      </c>
      <c r="H44" s="211">
        <v>11</v>
      </c>
      <c r="I44" s="210">
        <v>5</v>
      </c>
      <c r="J44" s="211">
        <v>11</v>
      </c>
      <c r="K44" s="212">
        <v>5</v>
      </c>
      <c r="L44" s="210">
        <v>5</v>
      </c>
      <c r="M44" s="443">
        <v>8</v>
      </c>
      <c r="N44" s="210">
        <v>5</v>
      </c>
      <c r="O44" s="213">
        <v>8</v>
      </c>
      <c r="P44" s="211">
        <v>11</v>
      </c>
      <c r="Q44" s="244"/>
    </row>
    <row r="45" spans="1:364">
      <c r="A45" s="244"/>
      <c r="B45" s="25" t="s">
        <v>29</v>
      </c>
      <c r="C45" s="214"/>
      <c r="D45" s="216"/>
      <c r="E45" s="215"/>
      <c r="F45" s="214"/>
      <c r="G45" s="216"/>
      <c r="H45" s="215"/>
      <c r="I45" s="214"/>
      <c r="J45" s="215"/>
      <c r="K45" s="29"/>
      <c r="L45" s="214"/>
      <c r="M45" s="216"/>
      <c r="N45" s="214"/>
      <c r="O45" s="216"/>
      <c r="P45" s="215"/>
      <c r="Q45" s="244"/>
    </row>
    <row r="46" spans="1:364">
      <c r="A46" s="244"/>
      <c r="B46" s="217" t="s">
        <v>422</v>
      </c>
      <c r="C46" s="200">
        <f>Med_Int_Spec!C45</f>
        <v>0.1</v>
      </c>
      <c r="D46" s="235">
        <f>Med_Int_Spec!D45</f>
        <v>0.1</v>
      </c>
      <c r="E46" s="234">
        <f>Med_Int_Spec!E45</f>
        <v>0.1</v>
      </c>
      <c r="F46" s="200">
        <f>Int_Beh!C41</f>
        <v>0.1</v>
      </c>
      <c r="G46" s="235">
        <f>Int_Beh!D41</f>
        <v>0.1</v>
      </c>
      <c r="H46" s="234" t="e">
        <f>Int_Beh!#REF!</f>
        <v>#REF!</v>
      </c>
      <c r="I46" s="218">
        <f>Int_Beh!C88</f>
        <v>0.1</v>
      </c>
      <c r="J46" s="220">
        <f>Int_Beh!E88</f>
        <v>0.1</v>
      </c>
      <c r="K46" s="219">
        <f>Int_Fire_Safety!C13</f>
        <v>0.1</v>
      </c>
      <c r="L46" s="218">
        <v>1</v>
      </c>
      <c r="M46" s="444">
        <v>1</v>
      </c>
      <c r="N46" s="423">
        <f>'Clin_Int (FY21)'!C44</f>
        <v>0.1</v>
      </c>
      <c r="O46" s="233">
        <f>'Clin_Int (FY21)'!D44</f>
        <v>0.1</v>
      </c>
      <c r="P46" s="424">
        <f>'Clin_Int (FY21)'!E44</f>
        <v>0.1</v>
      </c>
      <c r="Q46" s="244"/>
    </row>
    <row r="47" spans="1:364">
      <c r="A47" s="244"/>
      <c r="B47" s="217" t="s">
        <v>364</v>
      </c>
      <c r="C47" s="200">
        <v>1</v>
      </c>
      <c r="D47" s="235">
        <v>1</v>
      </c>
      <c r="E47" s="234">
        <v>1</v>
      </c>
      <c r="F47" s="200">
        <f>Int_Beh!C42</f>
        <v>1</v>
      </c>
      <c r="G47" s="235">
        <f>Int_Beh!D42</f>
        <v>1.6</v>
      </c>
      <c r="H47" s="234" t="e">
        <f>Int_Beh!#REF!</f>
        <v>#REF!</v>
      </c>
      <c r="I47" s="218">
        <f>Int_Beh!C89</f>
        <v>1</v>
      </c>
      <c r="J47" s="220">
        <f>Int_Beh!E89</f>
        <v>2.2000000000000002</v>
      </c>
      <c r="K47" s="219">
        <f>Int_Fire_Safety!C14</f>
        <v>1</v>
      </c>
      <c r="L47" s="218">
        <v>1</v>
      </c>
      <c r="M47" s="444">
        <v>1</v>
      </c>
      <c r="N47" s="423">
        <f>'Clin_Int (FY21)'!C45</f>
        <v>1</v>
      </c>
      <c r="O47" s="233">
        <f>'Clin_Int (FY21)'!D45</f>
        <v>2</v>
      </c>
      <c r="P47" s="424">
        <f>'Clin_Int (FY21)'!E45</f>
        <v>2</v>
      </c>
      <c r="Q47" s="244"/>
    </row>
    <row r="48" spans="1:364">
      <c r="A48" s="244"/>
      <c r="B48" s="25" t="s">
        <v>30</v>
      </c>
      <c r="C48" s="214"/>
      <c r="D48" s="216"/>
      <c r="E48" s="215"/>
      <c r="F48" s="214"/>
      <c r="G48" s="216"/>
      <c r="H48" s="215"/>
      <c r="I48" s="214"/>
      <c r="J48" s="215"/>
      <c r="K48" s="29"/>
      <c r="L48" s="214"/>
      <c r="M48" s="216"/>
      <c r="N48" s="420"/>
      <c r="O48" s="422"/>
      <c r="P48" s="421"/>
      <c r="Q48" s="244"/>
    </row>
    <row r="49" spans="1:17">
      <c r="A49" s="244"/>
      <c r="B49" s="221" t="s">
        <v>8</v>
      </c>
      <c r="C49" s="222"/>
      <c r="D49" s="435"/>
      <c r="E49" s="223"/>
      <c r="F49" s="222"/>
      <c r="G49" s="227"/>
      <c r="H49" s="223"/>
      <c r="I49" s="222"/>
      <c r="J49" s="223"/>
      <c r="K49" s="224">
        <f>Int_Fire_Safety!C16</f>
        <v>0.12</v>
      </c>
      <c r="L49" s="225"/>
      <c r="M49" s="438"/>
      <c r="N49" s="225"/>
      <c r="O49" s="232"/>
      <c r="P49" s="226"/>
      <c r="Q49" s="244"/>
    </row>
    <row r="50" spans="1:17">
      <c r="A50" s="244"/>
      <c r="B50" s="228" t="s">
        <v>359</v>
      </c>
      <c r="C50" s="225"/>
      <c r="D50" s="436"/>
      <c r="E50" s="226"/>
      <c r="F50" s="225"/>
      <c r="G50" s="232"/>
      <c r="H50" s="226"/>
      <c r="I50" s="230">
        <f>Int_Beh!C91</f>
        <v>0.25</v>
      </c>
      <c r="J50" s="231">
        <v>0.5</v>
      </c>
      <c r="K50" s="229"/>
      <c r="L50" s="225"/>
      <c r="M50" s="438"/>
      <c r="N50" s="225"/>
      <c r="O50" s="232"/>
      <c r="P50" s="226"/>
      <c r="Q50" s="244"/>
    </row>
    <row r="51" spans="1:17">
      <c r="A51" s="244"/>
      <c r="B51" s="228" t="s">
        <v>9</v>
      </c>
      <c r="C51" s="225"/>
      <c r="D51" s="436"/>
      <c r="E51" s="226"/>
      <c r="F51" s="225"/>
      <c r="G51" s="436"/>
      <c r="H51" s="226"/>
      <c r="I51" s="230">
        <f>Int_Beh!C92</f>
        <v>0.5</v>
      </c>
      <c r="J51" s="231">
        <f>Int_Beh!E92</f>
        <v>0.75</v>
      </c>
      <c r="K51" s="224">
        <f>Int_Fire_Safety!C17</f>
        <v>0.05</v>
      </c>
      <c r="L51" s="230">
        <v>1</v>
      </c>
      <c r="M51" s="439">
        <v>1.5</v>
      </c>
      <c r="N51" s="230">
        <f>'Clin_Int (FY21)'!C47</f>
        <v>1</v>
      </c>
      <c r="O51" s="233">
        <f>'Clin_Int (FY21)'!D47</f>
        <v>1</v>
      </c>
      <c r="P51" s="231">
        <f>'Clin_Int (FY21)'!E47</f>
        <v>1.5</v>
      </c>
      <c r="Q51" s="244"/>
    </row>
    <row r="52" spans="1:17">
      <c r="A52" s="244"/>
      <c r="B52" s="228" t="s">
        <v>11</v>
      </c>
      <c r="C52" s="225"/>
      <c r="D52" s="436"/>
      <c r="E52" s="226"/>
      <c r="F52" s="225"/>
      <c r="G52" s="232"/>
      <c r="H52" s="226"/>
      <c r="I52" s="225"/>
      <c r="J52" s="226"/>
      <c r="K52" s="224">
        <f>Int_Fire_Safety!C18</f>
        <v>0.12</v>
      </c>
      <c r="L52" s="225"/>
      <c r="M52" s="438"/>
      <c r="N52" s="225"/>
      <c r="O52" s="232"/>
      <c r="P52" s="226"/>
      <c r="Q52" s="244"/>
    </row>
    <row r="53" spans="1:17">
      <c r="A53" s="244"/>
      <c r="B53" s="228" t="s">
        <v>10</v>
      </c>
      <c r="C53" s="200">
        <f>Med_Int_Spec!C48</f>
        <v>1</v>
      </c>
      <c r="D53" s="235">
        <f>Med_Int_Spec!D48</f>
        <v>1.25</v>
      </c>
      <c r="E53" s="234">
        <f>Med_Int_Spec!E48</f>
        <v>1.5</v>
      </c>
      <c r="F53" s="225"/>
      <c r="G53" s="232"/>
      <c r="H53" s="226"/>
      <c r="I53" s="225"/>
      <c r="J53" s="226"/>
      <c r="K53" s="229"/>
      <c r="L53" s="225"/>
      <c r="M53" s="438"/>
      <c r="N53" s="225"/>
      <c r="O53" s="232"/>
      <c r="P53" s="226"/>
      <c r="Q53" s="244"/>
    </row>
    <row r="54" spans="1:17">
      <c r="A54" s="244"/>
      <c r="B54" s="228" t="s">
        <v>360</v>
      </c>
      <c r="C54" s="225"/>
      <c r="D54" s="436"/>
      <c r="E54" s="226"/>
      <c r="F54" s="225"/>
      <c r="G54" s="232"/>
      <c r="H54" s="226"/>
      <c r="I54" s="230">
        <f>Int_Beh!C93</f>
        <v>0.2</v>
      </c>
      <c r="J54" s="231">
        <f>Int_Beh!E93</f>
        <v>0.4</v>
      </c>
      <c r="K54" s="224">
        <f>Int_Fire_Safety!C19</f>
        <v>0.2</v>
      </c>
      <c r="L54" s="230">
        <v>0.25</v>
      </c>
      <c r="M54" s="439">
        <v>0.25</v>
      </c>
      <c r="N54" s="225"/>
      <c r="O54" s="232"/>
      <c r="P54" s="226"/>
      <c r="Q54" s="244"/>
    </row>
    <row r="55" spans="1:17">
      <c r="A55" s="244"/>
      <c r="B55" s="228" t="s">
        <v>365</v>
      </c>
      <c r="C55" s="200">
        <f>Med_Int_Spec!C49</f>
        <v>3</v>
      </c>
      <c r="D55" s="235">
        <f>Med_Int_Spec!D49</f>
        <v>4.2</v>
      </c>
      <c r="E55" s="234">
        <f>Med_Int_Spec!E49</f>
        <v>5.4</v>
      </c>
      <c r="F55" s="225"/>
      <c r="G55" s="232"/>
      <c r="H55" s="226"/>
      <c r="I55" s="225"/>
      <c r="J55" s="226"/>
      <c r="K55" s="229"/>
      <c r="L55" s="225"/>
      <c r="M55" s="438"/>
      <c r="N55" s="200">
        <f>'Clin_Int (FY21)'!C48</f>
        <v>1.4</v>
      </c>
      <c r="O55" s="191">
        <f>'Clin_Int (FY21)'!D48</f>
        <v>1.4</v>
      </c>
      <c r="P55" s="192">
        <f>'Clin_Int (FY21)'!E48</f>
        <v>2.4</v>
      </c>
      <c r="Q55" s="244"/>
    </row>
    <row r="56" spans="1:17">
      <c r="A56" s="244"/>
      <c r="B56" s="25" t="s">
        <v>31</v>
      </c>
      <c r="C56" s="214"/>
      <c r="D56" s="216"/>
      <c r="E56" s="215"/>
      <c r="F56" s="214"/>
      <c r="G56" s="216"/>
      <c r="H56" s="215"/>
      <c r="I56" s="214"/>
      <c r="J56" s="215"/>
      <c r="K56" s="29"/>
      <c r="L56" s="214"/>
      <c r="M56" s="216"/>
      <c r="N56" s="446"/>
      <c r="O56" s="441"/>
      <c r="P56" s="447"/>
      <c r="Q56" s="244"/>
    </row>
    <row r="57" spans="1:17">
      <c r="A57" s="244"/>
      <c r="B57" s="228" t="s">
        <v>358</v>
      </c>
      <c r="C57" s="225"/>
      <c r="D57" s="436"/>
      <c r="E57" s="226"/>
      <c r="F57" s="200">
        <f>Int_Beh!C48</f>
        <v>1</v>
      </c>
      <c r="G57" s="235">
        <f>Int_Beh!D48</f>
        <v>1.25</v>
      </c>
      <c r="H57" s="234">
        <f>Int_Beh!G48</f>
        <v>0</v>
      </c>
      <c r="I57" s="225"/>
      <c r="J57" s="226"/>
      <c r="K57" s="236">
        <f>Int_Fire_Safety!C21</f>
        <v>0.5</v>
      </c>
      <c r="L57" s="225"/>
      <c r="M57" s="438"/>
      <c r="N57" s="225"/>
      <c r="O57" s="232"/>
      <c r="P57" s="226"/>
      <c r="Q57" s="244"/>
    </row>
    <row r="58" spans="1:17">
      <c r="A58" s="244"/>
      <c r="B58" s="228" t="s">
        <v>363</v>
      </c>
      <c r="C58" s="200">
        <f>Med_Int_Spec!C51</f>
        <v>6</v>
      </c>
      <c r="D58" s="235">
        <f>Med_Int_Spec!D51</f>
        <v>8.4</v>
      </c>
      <c r="E58" s="234">
        <f>Med_Int_Spec!E51</f>
        <v>10.6</v>
      </c>
      <c r="F58" s="200">
        <f>Int_Beh!C49</f>
        <v>10</v>
      </c>
      <c r="G58" s="235">
        <f>Int_Beh!D49</f>
        <v>11.1</v>
      </c>
      <c r="H58" s="234">
        <f>Int_Beh!G49</f>
        <v>9.1999999999999993</v>
      </c>
      <c r="I58" s="237">
        <f>Int_Beh!C95</f>
        <v>7</v>
      </c>
      <c r="J58" s="234">
        <f>Int_Beh!E95</f>
        <v>9.1999999999999993</v>
      </c>
      <c r="K58" s="236">
        <f>Int_Fire_Safety!C22</f>
        <v>8.6199999999999992</v>
      </c>
      <c r="L58" s="237">
        <v>8.4</v>
      </c>
      <c r="M58" s="440">
        <v>10.5</v>
      </c>
      <c r="N58" s="200">
        <f>'Clin_Int (FY21)'!C50</f>
        <v>5.8</v>
      </c>
      <c r="O58" s="191">
        <f>'Clin_Int (FY21)'!D50</f>
        <v>7.4</v>
      </c>
      <c r="P58" s="192">
        <f>'Clin_Int (FY21)'!E50</f>
        <v>9.9</v>
      </c>
      <c r="Q58" s="244"/>
    </row>
    <row r="59" spans="1:17">
      <c r="A59" s="244"/>
      <c r="B59" s="228" t="s">
        <v>362</v>
      </c>
      <c r="C59" s="225"/>
      <c r="D59" s="436"/>
      <c r="E59" s="226"/>
      <c r="F59" s="225"/>
      <c r="G59" s="232"/>
      <c r="H59" s="226"/>
      <c r="I59" s="225"/>
      <c r="J59" s="226"/>
      <c r="K59" s="229"/>
      <c r="L59" s="237">
        <v>0.2</v>
      </c>
      <c r="M59" s="440">
        <v>0.2</v>
      </c>
      <c r="N59" s="225"/>
      <c r="O59" s="232"/>
      <c r="P59" s="226"/>
      <c r="Q59" s="244"/>
    </row>
    <row r="60" spans="1:17">
      <c r="A60" s="244"/>
      <c r="B60" s="228" t="s">
        <v>361</v>
      </c>
      <c r="C60" s="225"/>
      <c r="D60" s="436"/>
      <c r="E60" s="226"/>
      <c r="F60" s="225"/>
      <c r="G60" s="232"/>
      <c r="H60" s="226"/>
      <c r="I60" s="225"/>
      <c r="J60" s="226"/>
      <c r="K60" s="229"/>
      <c r="L60" s="237">
        <v>0.2</v>
      </c>
      <c r="M60" s="440">
        <v>0.2</v>
      </c>
      <c r="N60" s="225"/>
      <c r="O60" s="232"/>
      <c r="P60" s="226"/>
      <c r="Q60" s="244"/>
    </row>
    <row r="61" spans="1:17">
      <c r="A61" s="244"/>
      <c r="B61" s="228" t="s">
        <v>12</v>
      </c>
      <c r="C61" s="230">
        <f>Med_Int_Spec!C52</f>
        <v>0.92307692307692313</v>
      </c>
      <c r="D61" s="235">
        <f>Med_Int_Spec!D52</f>
        <v>1.2923076923076924</v>
      </c>
      <c r="E61" s="234">
        <f>Med_Int_Spec!E52</f>
        <v>1.66</v>
      </c>
      <c r="F61" s="230">
        <f>Int_Beh!C50</f>
        <v>1.5384615384615385</v>
      </c>
      <c r="G61" s="235">
        <f>Int_Beh!D50</f>
        <v>1.7076923076923078</v>
      </c>
      <c r="H61" s="234">
        <f>Int_Beh!G50</f>
        <v>1.4153846153846155</v>
      </c>
      <c r="I61" s="237">
        <f>Int_Beh!C96</f>
        <v>1.0769230769230771</v>
      </c>
      <c r="J61" s="234">
        <f>Int_Beh!E96</f>
        <v>1.4153846153846155</v>
      </c>
      <c r="K61" s="236">
        <f>Int_Fire_Safety!C23</f>
        <v>1.326153846153846</v>
      </c>
      <c r="L61" s="237">
        <v>1.2923076923076924</v>
      </c>
      <c r="M61" s="440">
        <v>1.6153846153846154</v>
      </c>
      <c r="N61" s="230">
        <f>'Clin_Int (FY21)'!C52</f>
        <v>0.84769230769230774</v>
      </c>
      <c r="O61" s="233">
        <f>'Clin_Int (FY21)'!D52</f>
        <v>1.0815384615384616</v>
      </c>
      <c r="P61" s="231">
        <f>'Clin_Int (FY21)'!E52</f>
        <v>1.446923076923077</v>
      </c>
      <c r="Q61" s="244"/>
    </row>
    <row r="62" spans="1:17" ht="13.5" thickBot="1">
      <c r="A62" s="244"/>
      <c r="B62" s="33" t="s">
        <v>348</v>
      </c>
      <c r="C62" s="238">
        <f t="shared" ref="C62:P62" si="1">SUM(C46:C61)</f>
        <v>12.023076923076923</v>
      </c>
      <c r="D62" s="241">
        <f t="shared" si="1"/>
        <v>16.242307692307694</v>
      </c>
      <c r="E62" s="239">
        <f t="shared" si="1"/>
        <v>20.260000000000002</v>
      </c>
      <c r="F62" s="238">
        <f t="shared" si="1"/>
        <v>13.638461538461538</v>
      </c>
      <c r="G62" s="241">
        <f t="shared" si="1"/>
        <v>15.757692307692309</v>
      </c>
      <c r="H62" s="239" t="e">
        <f t="shared" si="1"/>
        <v>#REF!</v>
      </c>
      <c r="I62" s="238">
        <f t="shared" si="1"/>
        <v>10.126923076923077</v>
      </c>
      <c r="J62" s="239">
        <f t="shared" si="1"/>
        <v>14.565384615384614</v>
      </c>
      <c r="K62" s="240">
        <f t="shared" si="1"/>
        <v>12.036153846153844</v>
      </c>
      <c r="L62" s="238">
        <f t="shared" si="1"/>
        <v>13.342307692307692</v>
      </c>
      <c r="M62" s="445">
        <f t="shared" si="1"/>
        <v>16.265384615384615</v>
      </c>
      <c r="N62" s="238">
        <f t="shared" si="1"/>
        <v>10.147692307692308</v>
      </c>
      <c r="O62" s="241">
        <f t="shared" si="1"/>
        <v>12.981538461538461</v>
      </c>
      <c r="P62" s="239">
        <f t="shared" si="1"/>
        <v>17.346923076923076</v>
      </c>
      <c r="Q62" s="244"/>
    </row>
    <row r="63" spans="1:17">
      <c r="A63" s="244"/>
      <c r="B63" s="244"/>
      <c r="C63" s="244"/>
      <c r="D63" s="244"/>
      <c r="E63" s="244"/>
      <c r="F63" s="244"/>
      <c r="G63" s="244"/>
      <c r="H63" s="244"/>
      <c r="I63" s="244"/>
      <c r="J63" s="244"/>
      <c r="K63" s="244"/>
      <c r="L63" s="244"/>
      <c r="M63" s="244"/>
      <c r="N63" s="244"/>
      <c r="O63" s="244"/>
      <c r="P63" s="244"/>
      <c r="Q63" s="244"/>
    </row>
    <row r="64" spans="1:17" s="248" customFormat="1"/>
    <row r="65" s="248" customFormat="1"/>
    <row r="66" s="248" customFormat="1"/>
    <row r="67" s="248" customFormat="1"/>
    <row r="68" s="248" customFormat="1"/>
    <row r="69" s="248" customFormat="1"/>
    <row r="70" s="248" customFormat="1"/>
    <row r="71" s="248" customFormat="1"/>
    <row r="72" s="248" customFormat="1"/>
    <row r="73" s="248" customFormat="1"/>
    <row r="74" s="248" customFormat="1"/>
    <row r="75" s="248" customFormat="1"/>
    <row r="76" s="248" customFormat="1"/>
    <row r="77" s="248" customFormat="1"/>
    <row r="78" s="248" customFormat="1"/>
    <row r="79" s="248" customFormat="1"/>
    <row r="80" s="248" customFormat="1"/>
    <row r="81" s="248" customFormat="1"/>
    <row r="82" s="248" customFormat="1"/>
    <row r="83" s="248" customFormat="1"/>
    <row r="84" s="248" customFormat="1"/>
    <row r="85" s="248" customFormat="1"/>
    <row r="86" s="248" customFormat="1"/>
    <row r="87" s="248" customFormat="1"/>
    <row r="88" s="248" customFormat="1"/>
    <row r="89" s="248" customFormat="1"/>
    <row r="90" s="248" customFormat="1"/>
    <row r="91" s="248" customFormat="1"/>
    <row r="92" s="248" customFormat="1"/>
    <row r="93" s="248" customFormat="1"/>
    <row r="94" s="248" customFormat="1"/>
    <row r="95" s="248" customFormat="1"/>
    <row r="96" s="248" customFormat="1"/>
    <row r="97" s="248" customFormat="1"/>
    <row r="98" s="248" customFormat="1"/>
    <row r="99" s="248" customFormat="1"/>
    <row r="100" s="248" customFormat="1"/>
    <row r="101" s="248" customFormat="1"/>
    <row r="102" s="248" customFormat="1"/>
    <row r="103" s="248" customFormat="1"/>
    <row r="104" s="248" customFormat="1"/>
    <row r="105" s="248" customFormat="1"/>
    <row r="106" s="248" customFormat="1"/>
    <row r="107" s="248" customFormat="1"/>
    <row r="108" s="248" customFormat="1"/>
    <row r="109" s="248" customFormat="1"/>
    <row r="110" s="248" customFormat="1"/>
    <row r="111" s="248" customFormat="1"/>
    <row r="112" s="248" customFormat="1"/>
    <row r="113" s="248" customFormat="1"/>
    <row r="114" s="248" customFormat="1"/>
    <row r="115" s="248" customFormat="1"/>
    <row r="116" s="248" customFormat="1"/>
    <row r="117" s="248" customFormat="1"/>
    <row r="118" s="248" customFormat="1"/>
    <row r="119" s="248" customFormat="1"/>
    <row r="120" s="248" customFormat="1"/>
    <row r="121" s="248" customFormat="1"/>
    <row r="122" s="248" customFormat="1"/>
    <row r="123" s="248" customFormat="1"/>
    <row r="124" s="248" customFormat="1"/>
    <row r="125" s="248" customFormat="1"/>
    <row r="126" s="248" customFormat="1"/>
    <row r="127" s="248" customFormat="1"/>
    <row r="128" s="248" customFormat="1"/>
    <row r="129" s="248" customFormat="1"/>
    <row r="130" s="248" customFormat="1"/>
    <row r="131" s="248" customFormat="1"/>
    <row r="132" s="248" customFormat="1"/>
    <row r="133" s="248" customFormat="1"/>
    <row r="134" s="248" customFormat="1"/>
    <row r="135" s="248" customFormat="1"/>
    <row r="136" s="248" customFormat="1"/>
    <row r="137" s="248" customFormat="1"/>
    <row r="138" s="248" customFormat="1"/>
    <row r="139" s="248" customFormat="1"/>
    <row r="140" s="248" customFormat="1"/>
    <row r="141" s="248" customFormat="1"/>
    <row r="142" s="248" customFormat="1"/>
    <row r="143" s="248" customFormat="1"/>
    <row r="144" s="248" customFormat="1"/>
    <row r="145" s="248" customFormat="1"/>
    <row r="146" s="248" customFormat="1"/>
    <row r="147" s="248" customFormat="1"/>
    <row r="148" s="248" customFormat="1"/>
    <row r="149" s="248" customFormat="1"/>
    <row r="150" s="248" customFormat="1"/>
    <row r="151" s="248" customFormat="1"/>
    <row r="152" s="248" customFormat="1"/>
    <row r="153" s="248" customFormat="1"/>
    <row r="154" s="248" customFormat="1"/>
    <row r="155" s="248" customFormat="1"/>
    <row r="156" s="248" customFormat="1"/>
    <row r="157" s="248" customFormat="1"/>
    <row r="158" s="248" customFormat="1"/>
    <row r="159" s="248" customFormat="1"/>
    <row r="160" s="248" customFormat="1"/>
    <row r="161" s="248" customFormat="1"/>
    <row r="162" s="248" customFormat="1"/>
    <row r="163" s="248" customFormat="1"/>
    <row r="164" s="248" customFormat="1"/>
    <row r="165" s="248" customFormat="1"/>
    <row r="166" s="248" customFormat="1"/>
    <row r="167" s="248" customFormat="1"/>
    <row r="168" s="248" customFormat="1"/>
    <row r="169" s="248" customFormat="1"/>
    <row r="170" s="248" customFormat="1"/>
    <row r="171" s="248" customFormat="1"/>
    <row r="172" s="248" customFormat="1"/>
    <row r="173" s="248" customFormat="1"/>
    <row r="174" s="248" customFormat="1"/>
    <row r="175" s="248" customFormat="1"/>
    <row r="176" s="248" customFormat="1"/>
    <row r="177" s="248" customFormat="1"/>
    <row r="178" s="248" customFormat="1"/>
    <row r="179" s="248" customFormat="1"/>
    <row r="180" s="248" customFormat="1"/>
    <row r="181" s="248" customFormat="1"/>
    <row r="182" s="248" customFormat="1"/>
    <row r="183" s="248" customFormat="1"/>
    <row r="184" s="248" customFormat="1"/>
    <row r="185" s="248" customFormat="1"/>
    <row r="186" s="248" customFormat="1"/>
    <row r="187" s="248" customFormat="1"/>
    <row r="188" s="248" customFormat="1"/>
    <row r="189" s="248" customFormat="1"/>
    <row r="190" s="248" customFormat="1"/>
    <row r="191" s="248" customFormat="1"/>
    <row r="192" s="248" customFormat="1"/>
    <row r="193" s="248" customFormat="1"/>
    <row r="194" s="248" customFormat="1"/>
    <row r="195" s="248" customFormat="1"/>
    <row r="196" s="248" customFormat="1"/>
    <row r="197" s="248" customFormat="1"/>
    <row r="198" s="248" customFormat="1"/>
    <row r="199" s="248" customFormat="1"/>
    <row r="200" s="248" customFormat="1"/>
    <row r="201" s="248" customFormat="1"/>
    <row r="202" s="248" customFormat="1"/>
    <row r="203" s="248" customFormat="1"/>
    <row r="204" s="248" customFormat="1"/>
    <row r="205" s="248" customFormat="1"/>
    <row r="206" s="248" customFormat="1"/>
    <row r="207" s="248" customFormat="1"/>
    <row r="208" s="248" customFormat="1"/>
    <row r="209" s="248" customFormat="1"/>
    <row r="210" s="248" customFormat="1"/>
    <row r="211" s="248" customFormat="1"/>
    <row r="212" s="248" customFormat="1"/>
    <row r="213" s="248" customFormat="1"/>
    <row r="214" s="248" customFormat="1"/>
    <row r="215" s="248" customFormat="1"/>
    <row r="216" s="248" customFormat="1"/>
    <row r="217" s="248" customFormat="1"/>
    <row r="218" s="248" customFormat="1"/>
    <row r="219" s="248" customFormat="1"/>
    <row r="220" s="248" customFormat="1"/>
    <row r="221" s="248" customFormat="1"/>
    <row r="222" s="248" customFormat="1"/>
    <row r="223" s="248" customFormat="1"/>
    <row r="224" s="248" customFormat="1"/>
    <row r="225" s="248" customFormat="1"/>
    <row r="226" s="248" customFormat="1"/>
    <row r="227" s="248" customFormat="1"/>
    <row r="228" s="248" customFormat="1"/>
    <row r="229" s="248" customFormat="1"/>
    <row r="230" s="248" customFormat="1"/>
    <row r="231" s="248" customFormat="1"/>
    <row r="232" s="248" customFormat="1"/>
    <row r="233" s="248" customFormat="1"/>
    <row r="234" s="248" customFormat="1"/>
    <row r="235" s="248" customFormat="1"/>
    <row r="236" s="248" customFormat="1"/>
    <row r="237" s="248" customFormat="1"/>
    <row r="238" s="248" customFormat="1"/>
    <row r="239" s="248" customFormat="1"/>
    <row r="240" s="248" customFormat="1"/>
    <row r="241" s="248" customFormat="1"/>
    <row r="242" s="248" customFormat="1"/>
    <row r="243" s="248" customFormat="1"/>
    <row r="244" s="248" customFormat="1"/>
    <row r="245" s="248" customFormat="1"/>
    <row r="246" s="248" customFormat="1"/>
    <row r="247" s="248" customFormat="1"/>
    <row r="248" s="248" customFormat="1"/>
    <row r="249" s="248" customFormat="1"/>
    <row r="250" s="248" customFormat="1"/>
    <row r="251" s="248" customFormat="1"/>
    <row r="252" s="248" customFormat="1"/>
    <row r="253" s="248" customFormat="1"/>
    <row r="254" s="248" customFormat="1"/>
    <row r="255" s="248" customFormat="1"/>
    <row r="256" s="248" customFormat="1"/>
    <row r="257" s="248" customFormat="1"/>
    <row r="258" s="248" customFormat="1"/>
    <row r="259" s="248" customFormat="1"/>
    <row r="260" s="248" customFormat="1"/>
    <row r="261" s="248" customFormat="1"/>
    <row r="262" s="248" customFormat="1"/>
    <row r="263" s="248" customFormat="1"/>
    <row r="264" s="248" customFormat="1"/>
    <row r="265" s="248" customFormat="1"/>
    <row r="266" s="248" customFormat="1"/>
    <row r="267" s="248" customFormat="1"/>
    <row r="268" s="248" customFormat="1"/>
    <row r="269" s="248" customFormat="1"/>
    <row r="270" s="248" customFormat="1"/>
    <row r="271" s="248" customFormat="1"/>
    <row r="272" s="248" customFormat="1"/>
    <row r="273" s="248" customFormat="1"/>
    <row r="274" s="248" customFormat="1"/>
    <row r="275" s="248" customFormat="1"/>
    <row r="276" s="248" customFormat="1"/>
    <row r="277" s="248" customFormat="1"/>
    <row r="278" s="248" customFormat="1"/>
    <row r="279" s="248" customFormat="1"/>
    <row r="280" s="248" customFormat="1"/>
    <row r="281" s="248" customFormat="1"/>
    <row r="282" s="248" customFormat="1"/>
    <row r="283" s="248" customFormat="1"/>
    <row r="284" s="248" customFormat="1"/>
    <row r="285" s="248" customFormat="1"/>
    <row r="286" s="248" customFormat="1"/>
    <row r="287" s="248" customFormat="1"/>
    <row r="288" s="248" customFormat="1"/>
    <row r="289" s="248" customFormat="1"/>
    <row r="290" s="248" customFormat="1"/>
    <row r="291" s="248" customFormat="1"/>
    <row r="292" s="248" customFormat="1"/>
    <row r="293" s="248" customFormat="1"/>
    <row r="294" s="248" customFormat="1"/>
    <row r="295" s="248" customFormat="1"/>
    <row r="296" s="248" customFormat="1"/>
    <row r="297" s="248" customFormat="1"/>
    <row r="298" s="248" customFormat="1"/>
    <row r="299" s="248" customFormat="1"/>
    <row r="300" s="248" customFormat="1"/>
    <row r="301" s="248" customFormat="1"/>
    <row r="302" s="248" customFormat="1"/>
    <row r="303" s="248" customFormat="1"/>
    <row r="304" s="248" customFormat="1"/>
    <row r="305" s="248" customFormat="1"/>
    <row r="306" s="248" customFormat="1"/>
    <row r="307" s="248" customFormat="1"/>
    <row r="308" s="248" customFormat="1"/>
    <row r="309" s="248" customFormat="1"/>
    <row r="310" s="248" customFormat="1"/>
    <row r="311" s="248" customFormat="1"/>
    <row r="312" s="248" customFormat="1"/>
    <row r="313" s="248" customFormat="1"/>
    <row r="314" s="248" customFormat="1"/>
    <row r="315" s="248" customFormat="1"/>
    <row r="316" s="248" customFormat="1"/>
    <row r="317" s="248" customFormat="1"/>
    <row r="318" s="248" customFormat="1"/>
    <row r="319" s="248" customFormat="1"/>
    <row r="320" s="248" customFormat="1"/>
    <row r="321" s="248" customFormat="1"/>
    <row r="322" s="248" customFormat="1"/>
    <row r="323" s="248" customFormat="1"/>
    <row r="324" s="248" customFormat="1"/>
    <row r="325" s="248" customFormat="1"/>
    <row r="326" s="248" customFormat="1"/>
    <row r="327" s="248" customFormat="1"/>
    <row r="328" s="248" customFormat="1"/>
    <row r="329" s="248" customFormat="1"/>
    <row r="330" s="248" customFormat="1"/>
    <row r="331" s="248" customFormat="1"/>
    <row r="332" s="248" customFormat="1"/>
    <row r="333" s="248" customFormat="1"/>
    <row r="334" s="248" customFormat="1"/>
    <row r="335" s="248" customFormat="1"/>
    <row r="336" s="248" customFormat="1"/>
    <row r="337" s="248" customFormat="1"/>
    <row r="338" s="248" customFormat="1"/>
    <row r="339" s="248" customFormat="1"/>
    <row r="340" s="248" customFormat="1"/>
    <row r="341" s="248" customFormat="1"/>
    <row r="342" s="248" customFormat="1"/>
    <row r="343" s="248" customFormat="1"/>
    <row r="344" s="248" customFormat="1"/>
    <row r="345" s="248" customFormat="1"/>
    <row r="346" s="248" customFormat="1"/>
    <row r="347" s="248" customFormat="1"/>
    <row r="348" s="248" customFormat="1"/>
    <row r="349" s="248" customFormat="1"/>
    <row r="350" s="248" customFormat="1"/>
    <row r="351" s="248" customFormat="1"/>
    <row r="352" s="248" customFormat="1"/>
    <row r="353" s="248" customFormat="1"/>
    <row r="354" s="248" customFormat="1"/>
    <row r="355" s="248" customFormat="1"/>
    <row r="356" s="248" customFormat="1"/>
    <row r="357" s="248" customFormat="1"/>
    <row r="358" s="248" customFormat="1"/>
    <row r="359" s="248" customFormat="1"/>
    <row r="360" s="248" customFormat="1"/>
    <row r="361" s="248" customFormat="1"/>
    <row r="362" s="248" customFormat="1"/>
    <row r="363" s="248" customFormat="1"/>
    <row r="364" s="248" customFormat="1"/>
    <row r="365" s="248" customFormat="1"/>
    <row r="366" s="248" customFormat="1"/>
    <row r="367" s="248" customFormat="1"/>
    <row r="368" s="248" customFormat="1"/>
    <row r="369" s="248" customFormat="1"/>
    <row r="370" s="248" customFormat="1"/>
    <row r="371" s="248" customFormat="1"/>
    <row r="372" s="248" customFormat="1"/>
    <row r="373" s="248" customFormat="1"/>
    <row r="374" s="248" customFormat="1"/>
    <row r="375" s="248" customFormat="1"/>
    <row r="376" s="248" customFormat="1"/>
    <row r="377" s="248" customFormat="1"/>
    <row r="378" s="248" customFormat="1"/>
    <row r="379" s="248" customFormat="1"/>
    <row r="380" s="248" customFormat="1"/>
    <row r="381" s="248" customFormat="1"/>
    <row r="382" s="248" customFormat="1"/>
    <row r="383" s="248" customFormat="1"/>
    <row r="384" s="248" customFormat="1"/>
    <row r="385" s="248" customFormat="1"/>
    <row r="386" s="248" customFormat="1"/>
    <row r="387" s="248" customFormat="1"/>
    <row r="388" s="248" customFormat="1"/>
    <row r="389" s="248" customFormat="1"/>
    <row r="390" s="248" customFormat="1"/>
    <row r="391" s="248" customFormat="1"/>
    <row r="392" s="248" customFormat="1"/>
    <row r="393" s="248" customFormat="1"/>
    <row r="394" s="248" customFormat="1"/>
    <row r="395" s="248" customFormat="1"/>
    <row r="396" s="248" customFormat="1"/>
    <row r="397" s="248" customFormat="1"/>
    <row r="398" s="248" customFormat="1"/>
    <row r="399" s="248" customFormat="1"/>
    <row r="400" s="248" customFormat="1"/>
    <row r="401" s="248" customFormat="1"/>
    <row r="402" s="248" customFormat="1"/>
    <row r="403" s="248" customFormat="1"/>
    <row r="404" s="248" customFormat="1"/>
    <row r="405" s="248" customFormat="1"/>
    <row r="406" s="248" customFormat="1"/>
    <row r="407" s="248" customFormat="1"/>
    <row r="408" s="248" customFormat="1"/>
    <row r="409" s="248" customFormat="1"/>
    <row r="410" s="248" customFormat="1"/>
    <row r="411" s="248" customFormat="1"/>
    <row r="412" s="248" customFormat="1"/>
    <row r="413" s="248" customFormat="1"/>
    <row r="414" s="248" customFormat="1"/>
    <row r="415" s="248" customFormat="1"/>
    <row r="416" s="248" customFormat="1"/>
    <row r="417" s="248" customFormat="1"/>
    <row r="418" s="248" customFormat="1"/>
    <row r="419" s="248" customFormat="1"/>
    <row r="420" s="248" customFormat="1"/>
    <row r="421" s="248" customFormat="1"/>
    <row r="422" s="248" customFormat="1"/>
    <row r="423" s="248" customFormat="1"/>
    <row r="424" s="248" customFormat="1"/>
    <row r="425" s="248" customFormat="1"/>
    <row r="426" s="248" customFormat="1"/>
    <row r="427" s="248" customFormat="1"/>
    <row r="428" s="248" customFormat="1"/>
    <row r="429" s="248" customFormat="1"/>
  </sheetData>
  <mergeCells count="7">
    <mergeCell ref="L42:M42"/>
    <mergeCell ref="N42:P42"/>
    <mergeCell ref="F42:H42"/>
    <mergeCell ref="B6:B7"/>
    <mergeCell ref="C42:E42"/>
    <mergeCell ref="I42:J42"/>
    <mergeCell ref="F30:H30"/>
  </mergeCells>
  <pageMargins left="0.7" right="0.7" top="0.75" bottom="0.75" header="0.3" footer="0.3"/>
  <pageSetup scale="53" orientation="landscape" r:id="rId1"/>
  <headerFooter>
    <oddFooter>&amp;R&amp;P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I33"/>
  <sheetViews>
    <sheetView workbookViewId="0">
      <selection activeCell="C31" sqref="C31"/>
    </sheetView>
  </sheetViews>
  <sheetFormatPr defaultRowHeight="15"/>
  <cols>
    <col min="1" max="1" width="32.42578125" customWidth="1"/>
    <col min="2" max="2" width="22.5703125" customWidth="1"/>
    <col min="3" max="3" width="12.42578125" customWidth="1"/>
    <col min="4" max="4" width="32.42578125" customWidth="1"/>
  </cols>
  <sheetData>
    <row r="1" spans="1:4" ht="16.5" thickBot="1">
      <c r="A1" s="1124" t="s">
        <v>976</v>
      </c>
      <c r="B1" s="1124"/>
      <c r="C1" s="1124"/>
      <c r="D1" s="1622"/>
    </row>
    <row r="2" spans="1:4" ht="16.5" thickBot="1">
      <c r="A2" s="1641" t="s">
        <v>975</v>
      </c>
      <c r="B2" s="1641"/>
      <c r="C2" s="1641"/>
      <c r="D2" s="1642"/>
    </row>
    <row r="3" spans="1:4" ht="15.75">
      <c r="A3" s="1623"/>
      <c r="B3" s="1588"/>
      <c r="C3" s="1589" t="s">
        <v>965</v>
      </c>
      <c r="D3" s="1624">
        <v>425</v>
      </c>
    </row>
    <row r="4" spans="1:4" ht="15.75">
      <c r="A4" s="1625"/>
      <c r="B4" s="1590" t="s">
        <v>5</v>
      </c>
      <c r="C4" s="1590" t="s">
        <v>6</v>
      </c>
      <c r="D4" s="1626" t="s">
        <v>7</v>
      </c>
    </row>
    <row r="5" spans="1:4" ht="15.75">
      <c r="A5" s="1623" t="s">
        <v>1326</v>
      </c>
      <c r="B5" s="1591">
        <f>'M2022 BLS SALARY CHART (53_PCT)'!C8</f>
        <v>53206.566400000003</v>
      </c>
      <c r="C5" s="2087">
        <v>1</v>
      </c>
      <c r="D5" s="1627">
        <f>B5*C5</f>
        <v>53206.566400000003</v>
      </c>
    </row>
    <row r="6" spans="1:4" ht="15.75">
      <c r="A6" s="1625" t="s">
        <v>31</v>
      </c>
      <c r="B6" s="1592">
        <f>'M2022 BLS SALARY CHART (53_PCT)'!C6</f>
        <v>41600</v>
      </c>
      <c r="C6" s="1593">
        <v>1.5</v>
      </c>
      <c r="D6" s="1628">
        <f>B6*C6</f>
        <v>62400</v>
      </c>
    </row>
    <row r="7" spans="1:4" ht="15.75">
      <c r="A7" s="1629" t="s">
        <v>966</v>
      </c>
      <c r="B7" s="1594"/>
      <c r="C7" s="1595">
        <f>C5+C6</f>
        <v>2.5</v>
      </c>
      <c r="D7" s="1630">
        <f>SUM(D5:D6)</f>
        <v>115606.56640000001</v>
      </c>
    </row>
    <row r="8" spans="1:4" ht="15.75">
      <c r="A8" s="1625"/>
      <c r="B8" s="1587"/>
      <c r="C8" s="1587"/>
      <c r="D8" s="1628"/>
    </row>
    <row r="9" spans="1:4" ht="15.75">
      <c r="A9" s="1625" t="s">
        <v>967</v>
      </c>
      <c r="B9" s="1121">
        <f>'Integrated Team '!E32</f>
        <v>0.27379999999999999</v>
      </c>
      <c r="C9" s="1587"/>
      <c r="D9" s="1628">
        <f>B9*D7</f>
        <v>31653.077880320001</v>
      </c>
    </row>
    <row r="10" spans="1:4" ht="15.75">
      <c r="A10" s="1629" t="s">
        <v>18</v>
      </c>
      <c r="B10" s="1596"/>
      <c r="C10" s="1596"/>
      <c r="D10" s="1630">
        <f>SUM(D7+D9)</f>
        <v>147259.64428032</v>
      </c>
    </row>
    <row r="11" spans="1:4" ht="15.75">
      <c r="A11" s="1631"/>
      <c r="B11" s="1597"/>
      <c r="C11" s="1590"/>
      <c r="D11" s="1632"/>
    </row>
    <row r="12" spans="1:4" ht="15.75">
      <c r="A12" s="1625" t="s">
        <v>1044</v>
      </c>
      <c r="B12" s="1110">
        <f>561.2*(1.0178)*(2.31%+1)*(2.58%+1)</f>
        <v>599.46093713877281</v>
      </c>
      <c r="C12" s="1598"/>
      <c r="D12" s="1628">
        <f>B12*C7</f>
        <v>1498.652342846932</v>
      </c>
    </row>
    <row r="13" spans="1:4" ht="15.75">
      <c r="A13" s="1625" t="s">
        <v>968</v>
      </c>
      <c r="B13" s="1604">
        <v>23.42</v>
      </c>
      <c r="C13" s="1587"/>
      <c r="D13" s="1628">
        <f>150*C7*B13</f>
        <v>8782.5</v>
      </c>
    </row>
    <row r="14" spans="1:4" ht="15.75">
      <c r="A14" s="1625"/>
      <c r="B14" s="1599"/>
      <c r="C14" s="1599"/>
      <c r="D14" s="1628"/>
    </row>
    <row r="15" spans="1:4" ht="15.75">
      <c r="A15" s="1625"/>
      <c r="B15" s="1587"/>
      <c r="C15" s="1587"/>
      <c r="D15" s="1628"/>
    </row>
    <row r="16" spans="1:4" ht="15.75">
      <c r="A16" s="1629" t="s">
        <v>969</v>
      </c>
      <c r="B16" s="1596"/>
      <c r="C16" s="1596"/>
      <c r="D16" s="1630">
        <f>SUM((D10)+SUM(D12:D15))</f>
        <v>157540.79662316694</v>
      </c>
    </row>
    <row r="17" spans="1:9" ht="15.75">
      <c r="A17" s="1625"/>
      <c r="B17" s="1587"/>
      <c r="C17" s="1587"/>
      <c r="D17" s="1628"/>
    </row>
    <row r="18" spans="1:9" ht="15.75">
      <c r="A18" s="1633" t="s">
        <v>376</v>
      </c>
      <c r="B18" s="1121">
        <f>'Integrated Team (FY21)'!E46</f>
        <v>0.12</v>
      </c>
      <c r="C18" s="1587"/>
      <c r="D18" s="1628">
        <f>B18*D16</f>
        <v>18904.895594780031</v>
      </c>
    </row>
    <row r="19" spans="1:9" ht="15.75">
      <c r="A19" s="1634"/>
      <c r="B19" s="1602"/>
      <c r="C19" s="1600"/>
      <c r="D19" s="1635"/>
    </row>
    <row r="20" spans="1:9" ht="16.5" thickBot="1">
      <c r="A20" s="1636" t="s">
        <v>25</v>
      </c>
      <c r="B20" s="1601"/>
      <c r="C20" s="1601"/>
      <c r="D20" s="1637">
        <f>SUM(D16:D19)</f>
        <v>176445.69221794698</v>
      </c>
    </row>
    <row r="21" spans="1:9" ht="16.5" thickTop="1">
      <c r="A21" s="1625"/>
      <c r="B21" s="1587"/>
      <c r="C21" s="1587"/>
      <c r="D21" s="1628"/>
    </row>
    <row r="22" spans="1:9" ht="15.75">
      <c r="A22" s="1625" t="s">
        <v>893</v>
      </c>
      <c r="B22" s="1121">
        <f>'Integrated Team '!E47</f>
        <v>2.5758086673353865E-2</v>
      </c>
      <c r="C22" s="1587"/>
      <c r="D22" s="1628">
        <f>(D20*B22)-(D7*B22)</f>
        <v>1567.0994759497594</v>
      </c>
    </row>
    <row r="23" spans="1:9" ht="15.75">
      <c r="A23" s="1634"/>
      <c r="B23" s="1602"/>
      <c r="C23" s="1587"/>
      <c r="D23" s="1635"/>
    </row>
    <row r="24" spans="1:9" ht="15.75">
      <c r="A24" s="1629" t="s">
        <v>970</v>
      </c>
      <c r="B24" s="1603"/>
      <c r="C24" s="1596"/>
      <c r="D24" s="1630">
        <f>SUM(D20:D23)</f>
        <v>178012.79169389675</v>
      </c>
      <c r="I24" s="640"/>
    </row>
    <row r="25" spans="1:9" ht="15.75">
      <c r="A25" s="1625"/>
      <c r="B25" s="1121"/>
      <c r="C25" s="1587"/>
      <c r="D25" s="1628"/>
    </row>
    <row r="26" spans="1:9" ht="16.5" thickBot="1">
      <c r="A26" s="1638" t="s">
        <v>971</v>
      </c>
      <c r="B26" s="1639"/>
      <c r="C26" s="1639"/>
      <c r="D26" s="1640">
        <f>ROUND(D24/12/D3,2)</f>
        <v>34.9</v>
      </c>
    </row>
    <row r="27" spans="1:9" ht="15.75">
      <c r="A27" s="1587"/>
      <c r="B27" s="1587"/>
      <c r="C27" s="1587"/>
      <c r="D27" s="1587"/>
    </row>
    <row r="28" spans="1:9" ht="15.75">
      <c r="A28" s="1587"/>
      <c r="B28" s="1587"/>
      <c r="C28" s="1587"/>
      <c r="D28" s="1887">
        <v>29.09</v>
      </c>
      <c r="E28" s="1666">
        <f>(D26-D28)/D28</f>
        <v>0.19972499140598141</v>
      </c>
    </row>
    <row r="29" spans="1:9" ht="15.75">
      <c r="A29" s="1587"/>
      <c r="B29" s="1587"/>
      <c r="C29" s="1587"/>
      <c r="D29" s="1604"/>
    </row>
    <row r="30" spans="1:9" ht="15.75">
      <c r="A30" s="1587"/>
      <c r="B30" s="1587"/>
      <c r="C30" s="1587"/>
      <c r="D30" s="1605"/>
    </row>
    <row r="31" spans="1:9" ht="15.75">
      <c r="A31" s="1587"/>
      <c r="B31" s="1587"/>
      <c r="C31" s="1587"/>
      <c r="D31" s="1606"/>
    </row>
    <row r="32" spans="1:9" ht="15.75">
      <c r="A32" s="1587"/>
      <c r="B32" s="1587"/>
      <c r="C32" s="1587"/>
      <c r="D32" s="1606"/>
    </row>
    <row r="33" spans="1:4" ht="15.75">
      <c r="A33" s="1587"/>
      <c r="B33" s="1587"/>
      <c r="C33" s="1587"/>
      <c r="D33" s="1607"/>
    </row>
  </sheetData>
  <pageMargins left="0.7" right="0.7" top="0.75" bottom="0.75" header="0.3" footer="0.3"/>
  <pageSetup scale="94"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I26"/>
  <sheetViews>
    <sheetView topLeftCell="BG13" workbookViewId="0">
      <selection activeCell="BM19" sqref="BM19"/>
    </sheetView>
  </sheetViews>
  <sheetFormatPr defaultRowHeight="12.75"/>
  <cols>
    <col min="1" max="1" width="38.42578125" style="6" customWidth="1"/>
    <col min="2" max="2" width="12.5703125" style="7" customWidth="1"/>
    <col min="3" max="82" width="7.5703125" style="6" customWidth="1"/>
    <col min="83" max="256" width="9.42578125" style="6"/>
    <col min="257" max="257" width="38.42578125" style="6" customWidth="1"/>
    <col min="258" max="258" width="12.5703125" style="6" customWidth="1"/>
    <col min="259" max="338" width="7.5703125" style="6" customWidth="1"/>
    <col min="339" max="512" width="9.42578125" style="6"/>
    <col min="513" max="513" width="38.42578125" style="6" customWidth="1"/>
    <col min="514" max="514" width="12.5703125" style="6" customWidth="1"/>
    <col min="515" max="594" width="7.5703125" style="6" customWidth="1"/>
    <col min="595" max="768" width="9.42578125" style="6"/>
    <col min="769" max="769" width="38.42578125" style="6" customWidth="1"/>
    <col min="770" max="770" width="12.5703125" style="6" customWidth="1"/>
    <col min="771" max="850" width="7.5703125" style="6" customWidth="1"/>
    <col min="851" max="1024" width="9.42578125" style="6"/>
    <col min="1025" max="1025" width="38.42578125" style="6" customWidth="1"/>
    <col min="1026" max="1026" width="12.5703125" style="6" customWidth="1"/>
    <col min="1027" max="1106" width="7.5703125" style="6" customWidth="1"/>
    <col min="1107" max="1280" width="9.42578125" style="6"/>
    <col min="1281" max="1281" width="38.42578125" style="6" customWidth="1"/>
    <col min="1282" max="1282" width="12.5703125" style="6" customWidth="1"/>
    <col min="1283" max="1362" width="7.5703125" style="6" customWidth="1"/>
    <col min="1363" max="1536" width="9.42578125" style="6"/>
    <col min="1537" max="1537" width="38.42578125" style="6" customWidth="1"/>
    <col min="1538" max="1538" width="12.5703125" style="6" customWidth="1"/>
    <col min="1539" max="1618" width="7.5703125" style="6" customWidth="1"/>
    <col min="1619" max="1792" width="9.42578125" style="6"/>
    <col min="1793" max="1793" width="38.42578125" style="6" customWidth="1"/>
    <col min="1794" max="1794" width="12.5703125" style="6" customWidth="1"/>
    <col min="1795" max="1874" width="7.5703125" style="6" customWidth="1"/>
    <col min="1875" max="2048" width="9.42578125" style="6"/>
    <col min="2049" max="2049" width="38.42578125" style="6" customWidth="1"/>
    <col min="2050" max="2050" width="12.5703125" style="6" customWidth="1"/>
    <col min="2051" max="2130" width="7.5703125" style="6" customWidth="1"/>
    <col min="2131" max="2304" width="9.42578125" style="6"/>
    <col min="2305" max="2305" width="38.42578125" style="6" customWidth="1"/>
    <col min="2306" max="2306" width="12.5703125" style="6" customWidth="1"/>
    <col min="2307" max="2386" width="7.5703125" style="6" customWidth="1"/>
    <col min="2387" max="2560" width="9.42578125" style="6"/>
    <col min="2561" max="2561" width="38.42578125" style="6" customWidth="1"/>
    <col min="2562" max="2562" width="12.5703125" style="6" customWidth="1"/>
    <col min="2563" max="2642" width="7.5703125" style="6" customWidth="1"/>
    <col min="2643" max="2816" width="9.42578125" style="6"/>
    <col min="2817" max="2817" width="38.42578125" style="6" customWidth="1"/>
    <col min="2818" max="2818" width="12.5703125" style="6" customWidth="1"/>
    <col min="2819" max="2898" width="7.5703125" style="6" customWidth="1"/>
    <col min="2899" max="3072" width="9.42578125" style="6"/>
    <col min="3073" max="3073" width="38.42578125" style="6" customWidth="1"/>
    <col min="3074" max="3074" width="12.5703125" style="6" customWidth="1"/>
    <col min="3075" max="3154" width="7.5703125" style="6" customWidth="1"/>
    <col min="3155" max="3328" width="9.42578125" style="6"/>
    <col min="3329" max="3329" width="38.42578125" style="6" customWidth="1"/>
    <col min="3330" max="3330" width="12.5703125" style="6" customWidth="1"/>
    <col min="3331" max="3410" width="7.5703125" style="6" customWidth="1"/>
    <col min="3411" max="3584" width="9.42578125" style="6"/>
    <col min="3585" max="3585" width="38.42578125" style="6" customWidth="1"/>
    <col min="3586" max="3586" width="12.5703125" style="6" customWidth="1"/>
    <col min="3587" max="3666" width="7.5703125" style="6" customWidth="1"/>
    <col min="3667" max="3840" width="9.42578125" style="6"/>
    <col min="3841" max="3841" width="38.42578125" style="6" customWidth="1"/>
    <col min="3842" max="3842" width="12.5703125" style="6" customWidth="1"/>
    <col min="3843" max="3922" width="7.5703125" style="6" customWidth="1"/>
    <col min="3923" max="4096" width="9.42578125" style="6"/>
    <col min="4097" max="4097" width="38.42578125" style="6" customWidth="1"/>
    <col min="4098" max="4098" width="12.5703125" style="6" customWidth="1"/>
    <col min="4099" max="4178" width="7.5703125" style="6" customWidth="1"/>
    <col min="4179" max="4352" width="9.42578125" style="6"/>
    <col min="4353" max="4353" width="38.42578125" style="6" customWidth="1"/>
    <col min="4354" max="4354" width="12.5703125" style="6" customWidth="1"/>
    <col min="4355" max="4434" width="7.5703125" style="6" customWidth="1"/>
    <col min="4435" max="4608" width="9.42578125" style="6"/>
    <col min="4609" max="4609" width="38.42578125" style="6" customWidth="1"/>
    <col min="4610" max="4610" width="12.5703125" style="6" customWidth="1"/>
    <col min="4611" max="4690" width="7.5703125" style="6" customWidth="1"/>
    <col min="4691" max="4864" width="9.42578125" style="6"/>
    <col min="4865" max="4865" width="38.42578125" style="6" customWidth="1"/>
    <col min="4866" max="4866" width="12.5703125" style="6" customWidth="1"/>
    <col min="4867" max="4946" width="7.5703125" style="6" customWidth="1"/>
    <col min="4947" max="5120" width="9.42578125" style="6"/>
    <col min="5121" max="5121" width="38.42578125" style="6" customWidth="1"/>
    <col min="5122" max="5122" width="12.5703125" style="6" customWidth="1"/>
    <col min="5123" max="5202" width="7.5703125" style="6" customWidth="1"/>
    <col min="5203" max="5376" width="9.42578125" style="6"/>
    <col min="5377" max="5377" width="38.42578125" style="6" customWidth="1"/>
    <col min="5378" max="5378" width="12.5703125" style="6" customWidth="1"/>
    <col min="5379" max="5458" width="7.5703125" style="6" customWidth="1"/>
    <col min="5459" max="5632" width="9.42578125" style="6"/>
    <col min="5633" max="5633" width="38.42578125" style="6" customWidth="1"/>
    <col min="5634" max="5634" width="12.5703125" style="6" customWidth="1"/>
    <col min="5635" max="5714" width="7.5703125" style="6" customWidth="1"/>
    <col min="5715" max="5888" width="9.42578125" style="6"/>
    <col min="5889" max="5889" width="38.42578125" style="6" customWidth="1"/>
    <col min="5890" max="5890" width="12.5703125" style="6" customWidth="1"/>
    <col min="5891" max="5970" width="7.5703125" style="6" customWidth="1"/>
    <col min="5971" max="6144" width="9.42578125" style="6"/>
    <col min="6145" max="6145" width="38.42578125" style="6" customWidth="1"/>
    <col min="6146" max="6146" width="12.5703125" style="6" customWidth="1"/>
    <col min="6147" max="6226" width="7.5703125" style="6" customWidth="1"/>
    <col min="6227" max="6400" width="9.42578125" style="6"/>
    <col min="6401" max="6401" width="38.42578125" style="6" customWidth="1"/>
    <col min="6402" max="6402" width="12.5703125" style="6" customWidth="1"/>
    <col min="6403" max="6482" width="7.5703125" style="6" customWidth="1"/>
    <col min="6483" max="6656" width="9.42578125" style="6"/>
    <col min="6657" max="6657" width="38.42578125" style="6" customWidth="1"/>
    <col min="6658" max="6658" width="12.5703125" style="6" customWidth="1"/>
    <col min="6659" max="6738" width="7.5703125" style="6" customWidth="1"/>
    <col min="6739" max="6912" width="9.42578125" style="6"/>
    <col min="6913" max="6913" width="38.42578125" style="6" customWidth="1"/>
    <col min="6914" max="6914" width="12.5703125" style="6" customWidth="1"/>
    <col min="6915" max="6994" width="7.5703125" style="6" customWidth="1"/>
    <col min="6995" max="7168" width="9.42578125" style="6"/>
    <col min="7169" max="7169" width="38.42578125" style="6" customWidth="1"/>
    <col min="7170" max="7170" width="12.5703125" style="6" customWidth="1"/>
    <col min="7171" max="7250" width="7.5703125" style="6" customWidth="1"/>
    <col min="7251" max="7424" width="9.42578125" style="6"/>
    <col min="7425" max="7425" width="38.42578125" style="6" customWidth="1"/>
    <col min="7426" max="7426" width="12.5703125" style="6" customWidth="1"/>
    <col min="7427" max="7506" width="7.5703125" style="6" customWidth="1"/>
    <col min="7507" max="7680" width="9.42578125" style="6"/>
    <col min="7681" max="7681" width="38.42578125" style="6" customWidth="1"/>
    <col min="7682" max="7682" width="12.5703125" style="6" customWidth="1"/>
    <col min="7683" max="7762" width="7.5703125" style="6" customWidth="1"/>
    <col min="7763" max="7936" width="9.42578125" style="6"/>
    <col min="7937" max="7937" width="38.42578125" style="6" customWidth="1"/>
    <col min="7938" max="7938" width="12.5703125" style="6" customWidth="1"/>
    <col min="7939" max="8018" width="7.5703125" style="6" customWidth="1"/>
    <col min="8019" max="8192" width="9.42578125" style="6"/>
    <col min="8193" max="8193" width="38.42578125" style="6" customWidth="1"/>
    <col min="8194" max="8194" width="12.5703125" style="6" customWidth="1"/>
    <col min="8195" max="8274" width="7.5703125" style="6" customWidth="1"/>
    <col min="8275" max="8448" width="9.42578125" style="6"/>
    <col min="8449" max="8449" width="38.42578125" style="6" customWidth="1"/>
    <col min="8450" max="8450" width="12.5703125" style="6" customWidth="1"/>
    <col min="8451" max="8530" width="7.5703125" style="6" customWidth="1"/>
    <col min="8531" max="8704" width="9.42578125" style="6"/>
    <col min="8705" max="8705" width="38.42578125" style="6" customWidth="1"/>
    <col min="8706" max="8706" width="12.5703125" style="6" customWidth="1"/>
    <col min="8707" max="8786" width="7.5703125" style="6" customWidth="1"/>
    <col min="8787" max="8960" width="9.42578125" style="6"/>
    <col min="8961" max="8961" width="38.42578125" style="6" customWidth="1"/>
    <col min="8962" max="8962" width="12.5703125" style="6" customWidth="1"/>
    <col min="8963" max="9042" width="7.5703125" style="6" customWidth="1"/>
    <col min="9043" max="9216" width="9.42578125" style="6"/>
    <col min="9217" max="9217" width="38.42578125" style="6" customWidth="1"/>
    <col min="9218" max="9218" width="12.5703125" style="6" customWidth="1"/>
    <col min="9219" max="9298" width="7.5703125" style="6" customWidth="1"/>
    <col min="9299" max="9472" width="9.42578125" style="6"/>
    <col min="9473" max="9473" width="38.42578125" style="6" customWidth="1"/>
    <col min="9474" max="9474" width="12.5703125" style="6" customWidth="1"/>
    <col min="9475" max="9554" width="7.5703125" style="6" customWidth="1"/>
    <col min="9555" max="9728" width="9.42578125" style="6"/>
    <col min="9729" max="9729" width="38.42578125" style="6" customWidth="1"/>
    <col min="9730" max="9730" width="12.5703125" style="6" customWidth="1"/>
    <col min="9731" max="9810" width="7.5703125" style="6" customWidth="1"/>
    <col min="9811" max="9984" width="9.42578125" style="6"/>
    <col min="9985" max="9985" width="38.42578125" style="6" customWidth="1"/>
    <col min="9986" max="9986" width="12.5703125" style="6" customWidth="1"/>
    <col min="9987" max="10066" width="7.5703125" style="6" customWidth="1"/>
    <col min="10067" max="10240" width="9.42578125" style="6"/>
    <col min="10241" max="10241" width="38.42578125" style="6" customWidth="1"/>
    <col min="10242" max="10242" width="12.5703125" style="6" customWidth="1"/>
    <col min="10243" max="10322" width="7.5703125" style="6" customWidth="1"/>
    <col min="10323" max="10496" width="9.42578125" style="6"/>
    <col min="10497" max="10497" width="38.42578125" style="6" customWidth="1"/>
    <col min="10498" max="10498" width="12.5703125" style="6" customWidth="1"/>
    <col min="10499" max="10578" width="7.5703125" style="6" customWidth="1"/>
    <col min="10579" max="10752" width="9.42578125" style="6"/>
    <col min="10753" max="10753" width="38.42578125" style="6" customWidth="1"/>
    <col min="10754" max="10754" width="12.5703125" style="6" customWidth="1"/>
    <col min="10755" max="10834" width="7.5703125" style="6" customWidth="1"/>
    <col min="10835" max="11008" width="9.42578125" style="6"/>
    <col min="11009" max="11009" width="38.42578125" style="6" customWidth="1"/>
    <col min="11010" max="11010" width="12.5703125" style="6" customWidth="1"/>
    <col min="11011" max="11090" width="7.5703125" style="6" customWidth="1"/>
    <col min="11091" max="11264" width="9.42578125" style="6"/>
    <col min="11265" max="11265" width="38.42578125" style="6" customWidth="1"/>
    <col min="11266" max="11266" width="12.5703125" style="6" customWidth="1"/>
    <col min="11267" max="11346" width="7.5703125" style="6" customWidth="1"/>
    <col min="11347" max="11520" width="9.42578125" style="6"/>
    <col min="11521" max="11521" width="38.42578125" style="6" customWidth="1"/>
    <col min="11522" max="11522" width="12.5703125" style="6" customWidth="1"/>
    <col min="11523" max="11602" width="7.5703125" style="6" customWidth="1"/>
    <col min="11603" max="11776" width="9.42578125" style="6"/>
    <col min="11777" max="11777" width="38.42578125" style="6" customWidth="1"/>
    <col min="11778" max="11778" width="12.5703125" style="6" customWidth="1"/>
    <col min="11779" max="11858" width="7.5703125" style="6" customWidth="1"/>
    <col min="11859" max="12032" width="9.42578125" style="6"/>
    <col min="12033" max="12033" width="38.42578125" style="6" customWidth="1"/>
    <col min="12034" max="12034" width="12.5703125" style="6" customWidth="1"/>
    <col min="12035" max="12114" width="7.5703125" style="6" customWidth="1"/>
    <col min="12115" max="12288" width="9.42578125" style="6"/>
    <col min="12289" max="12289" width="38.42578125" style="6" customWidth="1"/>
    <col min="12290" max="12290" width="12.5703125" style="6" customWidth="1"/>
    <col min="12291" max="12370" width="7.5703125" style="6" customWidth="1"/>
    <col min="12371" max="12544" width="9.42578125" style="6"/>
    <col min="12545" max="12545" width="38.42578125" style="6" customWidth="1"/>
    <col min="12546" max="12546" width="12.5703125" style="6" customWidth="1"/>
    <col min="12547" max="12626" width="7.5703125" style="6" customWidth="1"/>
    <col min="12627" max="12800" width="9.42578125" style="6"/>
    <col min="12801" max="12801" width="38.42578125" style="6" customWidth="1"/>
    <col min="12802" max="12802" width="12.5703125" style="6" customWidth="1"/>
    <col min="12803" max="12882" width="7.5703125" style="6" customWidth="1"/>
    <col min="12883" max="13056" width="9.42578125" style="6"/>
    <col min="13057" max="13057" width="38.42578125" style="6" customWidth="1"/>
    <col min="13058" max="13058" width="12.5703125" style="6" customWidth="1"/>
    <col min="13059" max="13138" width="7.5703125" style="6" customWidth="1"/>
    <col min="13139" max="13312" width="9.42578125" style="6"/>
    <col min="13313" max="13313" width="38.42578125" style="6" customWidth="1"/>
    <col min="13314" max="13314" width="12.5703125" style="6" customWidth="1"/>
    <col min="13315" max="13394" width="7.5703125" style="6" customWidth="1"/>
    <col min="13395" max="13568" width="9.42578125" style="6"/>
    <col min="13569" max="13569" width="38.42578125" style="6" customWidth="1"/>
    <col min="13570" max="13570" width="12.5703125" style="6" customWidth="1"/>
    <col min="13571" max="13650" width="7.5703125" style="6" customWidth="1"/>
    <col min="13651" max="13824" width="9.42578125" style="6"/>
    <col min="13825" max="13825" width="38.42578125" style="6" customWidth="1"/>
    <col min="13826" max="13826" width="12.5703125" style="6" customWidth="1"/>
    <col min="13827" max="13906" width="7.5703125" style="6" customWidth="1"/>
    <col min="13907" max="14080" width="9.42578125" style="6"/>
    <col min="14081" max="14081" width="38.42578125" style="6" customWidth="1"/>
    <col min="14082" max="14082" width="12.5703125" style="6" customWidth="1"/>
    <col min="14083" max="14162" width="7.5703125" style="6" customWidth="1"/>
    <col min="14163" max="14336" width="9.42578125" style="6"/>
    <col min="14337" max="14337" width="38.42578125" style="6" customWidth="1"/>
    <col min="14338" max="14338" width="12.5703125" style="6" customWidth="1"/>
    <col min="14339" max="14418" width="7.5703125" style="6" customWidth="1"/>
    <col min="14419" max="14592" width="9.42578125" style="6"/>
    <col min="14593" max="14593" width="38.42578125" style="6" customWidth="1"/>
    <col min="14594" max="14594" width="12.5703125" style="6" customWidth="1"/>
    <col min="14595" max="14674" width="7.5703125" style="6" customWidth="1"/>
    <col min="14675" max="14848" width="9.42578125" style="6"/>
    <col min="14849" max="14849" width="38.42578125" style="6" customWidth="1"/>
    <col min="14850" max="14850" width="12.5703125" style="6" customWidth="1"/>
    <col min="14851" max="14930" width="7.5703125" style="6" customWidth="1"/>
    <col min="14931" max="15104" width="9.42578125" style="6"/>
    <col min="15105" max="15105" width="38.42578125" style="6" customWidth="1"/>
    <col min="15106" max="15106" width="12.5703125" style="6" customWidth="1"/>
    <col min="15107" max="15186" width="7.5703125" style="6" customWidth="1"/>
    <col min="15187" max="15360" width="9.42578125" style="6"/>
    <col min="15361" max="15361" width="38.42578125" style="6" customWidth="1"/>
    <col min="15362" max="15362" width="12.5703125" style="6" customWidth="1"/>
    <col min="15363" max="15442" width="7.5703125" style="6" customWidth="1"/>
    <col min="15443" max="15616" width="9.42578125" style="6"/>
    <col min="15617" max="15617" width="38.42578125" style="6" customWidth="1"/>
    <col min="15618" max="15618" width="12.5703125" style="6" customWidth="1"/>
    <col min="15619" max="15698" width="7.5703125" style="6" customWidth="1"/>
    <col min="15699" max="15872" width="9.42578125" style="6"/>
    <col min="15873" max="15873" width="38.42578125" style="6" customWidth="1"/>
    <col min="15874" max="15874" width="12.5703125" style="6" customWidth="1"/>
    <col min="15875" max="15954" width="7.5703125" style="6" customWidth="1"/>
    <col min="15955" max="16128" width="9.42578125" style="6"/>
    <col min="16129" max="16129" width="38.42578125" style="6" customWidth="1"/>
    <col min="16130" max="16130" width="12.5703125" style="6" customWidth="1"/>
    <col min="16131" max="16210" width="7.5703125" style="6" customWidth="1"/>
    <col min="16211" max="16384" width="9.42578125" style="6"/>
  </cols>
  <sheetData>
    <row r="1" spans="1:87" ht="18">
      <c r="A1" s="912" t="s">
        <v>50</v>
      </c>
      <c r="B1" s="913"/>
    </row>
    <row r="2" spans="1:87" ht="15.75">
      <c r="A2" s="914" t="s">
        <v>795</v>
      </c>
      <c r="B2" s="915"/>
    </row>
    <row r="3" spans="1:87" ht="15.75" thickBot="1">
      <c r="A3" s="916" t="s">
        <v>314</v>
      </c>
      <c r="B3" s="917"/>
    </row>
    <row r="6" spans="1:87">
      <c r="BM6" s="454" t="s">
        <v>458</v>
      </c>
      <c r="BN6" s="454" t="s">
        <v>458</v>
      </c>
      <c r="BO6" s="454" t="s">
        <v>458</v>
      </c>
      <c r="BP6" s="454" t="s">
        <v>458</v>
      </c>
      <c r="BQ6" s="455" t="s">
        <v>459</v>
      </c>
      <c r="BR6" s="455" t="s">
        <v>459</v>
      </c>
      <c r="BS6" s="455" t="s">
        <v>459</v>
      </c>
      <c r="BT6" s="455" t="s">
        <v>459</v>
      </c>
      <c r="BU6" s="451" t="s">
        <v>796</v>
      </c>
      <c r="BV6" s="451" t="s">
        <v>796</v>
      </c>
      <c r="BW6" s="451" t="s">
        <v>796</v>
      </c>
      <c r="BX6" s="451" t="s">
        <v>796</v>
      </c>
      <c r="BY6" s="918" t="s">
        <v>797</v>
      </c>
      <c r="BZ6" s="918" t="s">
        <v>797</v>
      </c>
      <c r="CA6" s="918" t="s">
        <v>797</v>
      </c>
      <c r="CB6" s="918" t="s">
        <v>797</v>
      </c>
    </row>
    <row r="7" spans="1:87" s="7" customFormat="1">
      <c r="B7" s="7" t="s">
        <v>51</v>
      </c>
      <c r="C7" s="456" t="s">
        <v>52</v>
      </c>
      <c r="D7" s="456" t="s">
        <v>53</v>
      </c>
      <c r="E7" s="456" t="s">
        <v>54</v>
      </c>
      <c r="F7" s="456" t="s">
        <v>55</v>
      </c>
      <c r="G7" s="456" t="s">
        <v>56</v>
      </c>
      <c r="H7" s="456" t="s">
        <v>57</v>
      </c>
      <c r="I7" s="456" t="s">
        <v>58</v>
      </c>
      <c r="J7" s="456" t="s">
        <v>59</v>
      </c>
      <c r="K7" s="456" t="s">
        <v>60</v>
      </c>
      <c r="L7" s="456" t="s">
        <v>61</v>
      </c>
      <c r="M7" s="456" t="s">
        <v>62</v>
      </c>
      <c r="N7" s="456" t="s">
        <v>63</v>
      </c>
      <c r="O7" s="456" t="s">
        <v>64</v>
      </c>
      <c r="P7" s="456" t="s">
        <v>65</v>
      </c>
      <c r="Q7" s="456" t="s">
        <v>66</v>
      </c>
      <c r="R7" s="456" t="s">
        <v>67</v>
      </c>
      <c r="S7" s="456" t="s">
        <v>68</v>
      </c>
      <c r="T7" s="456" t="s">
        <v>69</v>
      </c>
      <c r="U7" s="456" t="s">
        <v>70</v>
      </c>
      <c r="V7" s="456" t="s">
        <v>71</v>
      </c>
      <c r="W7" s="456" t="s">
        <v>72</v>
      </c>
      <c r="X7" s="456" t="s">
        <v>73</v>
      </c>
      <c r="Y7" s="456" t="s">
        <v>74</v>
      </c>
      <c r="Z7" s="456" t="s">
        <v>75</v>
      </c>
      <c r="AA7" s="456" t="s">
        <v>76</v>
      </c>
      <c r="AB7" s="456" t="s">
        <v>77</v>
      </c>
      <c r="AC7" s="456" t="s">
        <v>78</v>
      </c>
      <c r="AD7" s="456" t="s">
        <v>79</v>
      </c>
      <c r="AE7" s="456" t="s">
        <v>80</v>
      </c>
      <c r="AF7" s="456" t="s">
        <v>81</v>
      </c>
      <c r="AG7" s="456" t="s">
        <v>82</v>
      </c>
      <c r="AH7" s="456" t="s">
        <v>83</v>
      </c>
      <c r="AI7" s="456" t="s">
        <v>84</v>
      </c>
      <c r="AJ7" s="456" t="s">
        <v>85</v>
      </c>
      <c r="AK7" s="456" t="s">
        <v>86</v>
      </c>
      <c r="AL7" s="456" t="s">
        <v>87</v>
      </c>
      <c r="AM7" s="456" t="s">
        <v>88</v>
      </c>
      <c r="AN7" s="456" t="s">
        <v>89</v>
      </c>
      <c r="AO7" s="456" t="s">
        <v>90</v>
      </c>
      <c r="AP7" s="456" t="s">
        <v>91</v>
      </c>
      <c r="AQ7" s="456" t="s">
        <v>92</v>
      </c>
      <c r="AR7" s="456" t="s">
        <v>93</v>
      </c>
      <c r="AS7" s="456" t="s">
        <v>94</v>
      </c>
      <c r="AT7" s="456" t="s">
        <v>95</v>
      </c>
      <c r="AU7" s="7" t="s">
        <v>96</v>
      </c>
      <c r="AV7" s="7" t="s">
        <v>97</v>
      </c>
      <c r="AW7" s="7" t="s">
        <v>98</v>
      </c>
      <c r="AX7" s="7" t="s">
        <v>99</v>
      </c>
      <c r="AY7" s="7" t="s">
        <v>100</v>
      </c>
      <c r="AZ7" s="7" t="s">
        <v>101</v>
      </c>
      <c r="BA7" s="7" t="s">
        <v>102</v>
      </c>
      <c r="BB7" s="7" t="s">
        <v>103</v>
      </c>
      <c r="BC7" s="7" t="s">
        <v>104</v>
      </c>
      <c r="BD7" s="7" t="s">
        <v>105</v>
      </c>
      <c r="BE7" s="7" t="s">
        <v>106</v>
      </c>
      <c r="BF7" s="7" t="s">
        <v>107</v>
      </c>
      <c r="BG7" s="7" t="s">
        <v>108</v>
      </c>
      <c r="BH7" s="7" t="s">
        <v>109</v>
      </c>
      <c r="BI7" s="7" t="s">
        <v>110</v>
      </c>
      <c r="BJ7" s="7" t="s">
        <v>111</v>
      </c>
      <c r="BK7" s="7" t="s">
        <v>136</v>
      </c>
      <c r="BL7" s="7" t="s">
        <v>137</v>
      </c>
      <c r="BM7" s="7" t="s">
        <v>138</v>
      </c>
      <c r="BN7" s="7" t="s">
        <v>139</v>
      </c>
      <c r="BO7" s="7" t="s">
        <v>319</v>
      </c>
      <c r="BP7" s="7" t="s">
        <v>320</v>
      </c>
      <c r="BQ7" s="7" t="s">
        <v>321</v>
      </c>
      <c r="BR7" s="7" t="s">
        <v>322</v>
      </c>
      <c r="BS7" s="7" t="s">
        <v>323</v>
      </c>
      <c r="BT7" s="7" t="s">
        <v>324</v>
      </c>
      <c r="BU7" s="7" t="s">
        <v>325</v>
      </c>
      <c r="BV7" s="7" t="s">
        <v>326</v>
      </c>
      <c r="BW7" s="7" t="s">
        <v>798</v>
      </c>
      <c r="BX7" s="7" t="s">
        <v>799</v>
      </c>
      <c r="BY7" s="7" t="s">
        <v>800</v>
      </c>
      <c r="BZ7" s="7" t="s">
        <v>801</v>
      </c>
      <c r="CA7" s="7" t="s">
        <v>802</v>
      </c>
      <c r="CB7" s="7" t="s">
        <v>803</v>
      </c>
      <c r="CC7" s="7" t="s">
        <v>804</v>
      </c>
      <c r="CD7" s="7" t="s">
        <v>805</v>
      </c>
      <c r="CE7" s="7" t="s">
        <v>806</v>
      </c>
      <c r="CF7" s="7" t="s">
        <v>807</v>
      </c>
      <c r="CG7" s="7" t="s">
        <v>808</v>
      </c>
      <c r="CH7" s="7" t="s">
        <v>809</v>
      </c>
      <c r="CI7" s="7" t="s">
        <v>327</v>
      </c>
    </row>
    <row r="8" spans="1:87" ht="13.5" thickBot="1">
      <c r="A8" s="7" t="s">
        <v>112</v>
      </c>
      <c r="B8" s="7" t="s">
        <v>113</v>
      </c>
      <c r="C8" s="16">
        <v>2.0343964480826999</v>
      </c>
      <c r="D8" s="16">
        <v>2.05943632395637</v>
      </c>
      <c r="E8" s="16">
        <v>2.0644664349199</v>
      </c>
      <c r="F8" s="16">
        <v>2.0865413060551998</v>
      </c>
      <c r="G8" s="16">
        <v>2.1041383265898301</v>
      </c>
      <c r="H8" s="16">
        <v>2.1144127778695201</v>
      </c>
      <c r="I8" s="16">
        <v>2.1507704710507598</v>
      </c>
      <c r="J8" s="16">
        <v>2.1697119451171401</v>
      </c>
      <c r="K8" s="16">
        <v>2.18694695083656</v>
      </c>
      <c r="L8" s="16">
        <v>2.2122122749579498</v>
      </c>
      <c r="M8" s="16">
        <v>2.23480678878395</v>
      </c>
      <c r="N8" s="16">
        <v>2.2202677130356299</v>
      </c>
      <c r="O8" s="16">
        <v>2.23175261179881</v>
      </c>
      <c r="P8" s="16">
        <v>2.2580164013091002</v>
      </c>
      <c r="Q8" s="16">
        <v>2.2753709772035502</v>
      </c>
      <c r="R8" s="16">
        <v>2.30194291888919</v>
      </c>
      <c r="S8" s="16">
        <v>2.3192533891099099</v>
      </c>
      <c r="T8" s="16">
        <v>2.3629433902934598</v>
      </c>
      <c r="U8" s="16">
        <v>2.4039288645996799</v>
      </c>
      <c r="V8" s="16">
        <v>2.3508177475344398</v>
      </c>
      <c r="W8" s="16">
        <v>2.3395569969345802</v>
      </c>
      <c r="X8" s="16">
        <v>2.34609570313232</v>
      </c>
      <c r="Y8" s="16">
        <v>2.3657863595331099</v>
      </c>
      <c r="Z8" s="16">
        <v>2.3805218237276899</v>
      </c>
      <c r="AA8" s="16">
        <v>2.3783358335942402</v>
      </c>
      <c r="AB8" s="16">
        <v>2.3830414859475502</v>
      </c>
      <c r="AC8" s="16">
        <v>2.3975323184108199</v>
      </c>
      <c r="AD8" s="16">
        <v>2.4214524193269198</v>
      </c>
      <c r="AE8" s="16">
        <v>2.4313760255508901</v>
      </c>
      <c r="AF8" s="16">
        <v>2.4766460484572002</v>
      </c>
      <c r="AG8" s="16">
        <v>2.4881988275326701</v>
      </c>
      <c r="AH8" s="16">
        <v>2.4967467306687299</v>
      </c>
      <c r="AI8" s="16">
        <v>2.5126682010265902</v>
      </c>
      <c r="AJ8" s="16">
        <v>2.5190165748075999</v>
      </c>
      <c r="AK8" s="16">
        <v>2.52926548445051</v>
      </c>
      <c r="AL8" s="16">
        <v>2.5498254535670202</v>
      </c>
      <c r="AM8" s="16">
        <v>2.5565788634062199</v>
      </c>
      <c r="AN8" s="16">
        <v>2.5541938570175202</v>
      </c>
      <c r="AO8" s="16">
        <v>2.5733736468802801</v>
      </c>
      <c r="AP8" s="16">
        <v>2.5879825683785702</v>
      </c>
      <c r="AQ8" s="16">
        <v>2.5968750678528201</v>
      </c>
      <c r="AR8" s="16">
        <v>2.60749339976029</v>
      </c>
      <c r="AS8" s="16">
        <v>2.61387953217735</v>
      </c>
      <c r="AT8" s="16">
        <v>2.6160583623265499</v>
      </c>
      <c r="AU8" s="6">
        <v>2.61118766519375</v>
      </c>
      <c r="AV8" s="6">
        <v>2.6220108220798601</v>
      </c>
      <c r="AW8" s="6">
        <v>2.6188417055922</v>
      </c>
      <c r="AX8" s="6">
        <v>2.6260990473395398</v>
      </c>
      <c r="AY8" s="6">
        <v>2.6201146582822998</v>
      </c>
      <c r="AZ8" s="6">
        <v>2.6412696718547601</v>
      </c>
      <c r="BA8" s="6">
        <v>2.6622794798761902</v>
      </c>
      <c r="BB8" s="6">
        <v>2.6769828092859602</v>
      </c>
      <c r="BC8" s="6">
        <v>2.69301979781623</v>
      </c>
      <c r="BD8" s="6">
        <v>2.6949351579636902</v>
      </c>
      <c r="BE8" s="6">
        <v>2.7072510455133001</v>
      </c>
      <c r="BF8" s="6">
        <v>2.7194666205217501</v>
      </c>
      <c r="BG8" s="6">
        <v>2.7583872583557998</v>
      </c>
      <c r="BH8" s="6">
        <v>2.7712174411052799</v>
      </c>
      <c r="BI8" s="6">
        <v>2.7767772539950299</v>
      </c>
      <c r="BJ8" s="6">
        <v>2.7900362938944698</v>
      </c>
      <c r="BK8" s="6">
        <v>2.79504989885013</v>
      </c>
      <c r="BL8" s="6">
        <v>2.8124753429938698</v>
      </c>
      <c r="BM8" s="6">
        <v>2.8258429652208199</v>
      </c>
      <c r="BN8" s="6">
        <v>2.84827109602332</v>
      </c>
      <c r="BO8" s="6">
        <v>2.8648096227990201</v>
      </c>
      <c r="BP8" s="6">
        <v>2.87366388911181</v>
      </c>
      <c r="BQ8" s="6">
        <v>2.8888357489521002</v>
      </c>
      <c r="BR8" s="6">
        <v>2.8975460997816902</v>
      </c>
      <c r="BS8" s="6">
        <v>2.9097169947994401</v>
      </c>
      <c r="BT8" s="6">
        <v>2.9296333194362298</v>
      </c>
      <c r="BU8" s="6">
        <v>2.94689616214067</v>
      </c>
      <c r="BV8" s="6">
        <v>2.9583483780456699</v>
      </c>
      <c r="BW8" s="6">
        <v>2.9813259042976701</v>
      </c>
      <c r="BX8" s="6">
        <v>3.0046912726057902</v>
      </c>
      <c r="BY8" s="6">
        <v>3.0255581522131298</v>
      </c>
      <c r="BZ8" s="6">
        <v>3.04587440346724</v>
      </c>
      <c r="CA8" s="6">
        <v>3.0658590818670399</v>
      </c>
      <c r="CB8" s="6">
        <v>3.0832941540272398</v>
      </c>
      <c r="CC8" s="6">
        <v>3.1029951080744298</v>
      </c>
      <c r="CD8" s="6">
        <v>3.1221931367125899</v>
      </c>
      <c r="CE8" s="6">
        <v>3.1400314557673501</v>
      </c>
      <c r="CF8" s="6">
        <v>3.1597078634776099</v>
      </c>
      <c r="CG8" s="6">
        <v>3.1784171022252501</v>
      </c>
      <c r="CH8" s="6">
        <v>3.1965028368224302</v>
      </c>
    </row>
    <row r="9" spans="1:87" ht="13.5" thickBot="1">
      <c r="A9" s="7" t="s">
        <v>114</v>
      </c>
      <c r="B9" s="7" t="s">
        <v>115</v>
      </c>
      <c r="C9" s="16">
        <v>2.0343964480826999</v>
      </c>
      <c r="D9" s="16">
        <v>2.05943632395637</v>
      </c>
      <c r="E9" s="16">
        <v>2.0644664349199</v>
      </c>
      <c r="F9" s="16">
        <v>2.0865413060551998</v>
      </c>
      <c r="G9" s="16">
        <v>2.1041383265898301</v>
      </c>
      <c r="H9" s="16">
        <v>2.1144127778695201</v>
      </c>
      <c r="I9" s="16">
        <v>2.1507704710507598</v>
      </c>
      <c r="J9" s="16">
        <v>2.1697119451171401</v>
      </c>
      <c r="K9" s="16">
        <v>2.18694695083656</v>
      </c>
      <c r="L9" s="16">
        <v>2.2122122749579498</v>
      </c>
      <c r="M9" s="16">
        <v>2.23480678878395</v>
      </c>
      <c r="N9" s="16">
        <v>2.2202677130356299</v>
      </c>
      <c r="O9" s="16">
        <v>2.23175261179881</v>
      </c>
      <c r="P9" s="16">
        <v>2.2580164013091002</v>
      </c>
      <c r="Q9" s="16">
        <v>2.2753709772035502</v>
      </c>
      <c r="R9" s="16">
        <v>2.30194291888919</v>
      </c>
      <c r="S9" s="16">
        <v>2.3192533891099099</v>
      </c>
      <c r="T9" s="16">
        <v>2.3629433902934598</v>
      </c>
      <c r="U9" s="16">
        <v>2.4039288645996799</v>
      </c>
      <c r="V9" s="16">
        <v>2.3508177475344398</v>
      </c>
      <c r="W9" s="16">
        <v>2.3395569969345802</v>
      </c>
      <c r="X9" s="16">
        <v>2.34609570313232</v>
      </c>
      <c r="Y9" s="16">
        <v>2.3657863595331099</v>
      </c>
      <c r="Z9" s="16">
        <v>2.3805218237276899</v>
      </c>
      <c r="AA9" s="16">
        <v>2.3783358335942402</v>
      </c>
      <c r="AB9" s="16">
        <v>2.3830414859475502</v>
      </c>
      <c r="AC9" s="16">
        <v>2.3975323184108199</v>
      </c>
      <c r="AD9" s="16">
        <v>2.4214524193269198</v>
      </c>
      <c r="AE9" s="16">
        <v>2.4313760255508901</v>
      </c>
      <c r="AF9" s="16">
        <v>2.4766460484572002</v>
      </c>
      <c r="AG9" s="16">
        <v>2.4881988275326701</v>
      </c>
      <c r="AH9" s="16">
        <v>2.4967467306687299</v>
      </c>
      <c r="AI9" s="16">
        <v>2.5126682010265902</v>
      </c>
      <c r="AJ9" s="16">
        <v>2.5190165748075999</v>
      </c>
      <c r="AK9" s="16">
        <v>2.52926548445051</v>
      </c>
      <c r="AL9" s="16">
        <v>2.5498254535670202</v>
      </c>
      <c r="AM9" s="16">
        <v>2.5565788634062199</v>
      </c>
      <c r="AN9" s="16">
        <v>2.5541938570175202</v>
      </c>
      <c r="AO9" s="16">
        <v>2.5733736468802801</v>
      </c>
      <c r="AP9" s="16">
        <v>2.5879825683785702</v>
      </c>
      <c r="AQ9" s="16">
        <v>2.5968750678528201</v>
      </c>
      <c r="AR9" s="16">
        <v>2.60749339976029</v>
      </c>
      <c r="AS9" s="16">
        <v>2.61387953217735</v>
      </c>
      <c r="AT9" s="16">
        <v>2.6160583623265499</v>
      </c>
      <c r="AU9" s="6">
        <v>2.61118766519375</v>
      </c>
      <c r="AV9" s="6">
        <v>2.6220108220798601</v>
      </c>
      <c r="AW9" s="6">
        <v>2.6188417055922</v>
      </c>
      <c r="AX9" s="6">
        <v>2.6260990473395398</v>
      </c>
      <c r="AY9" s="6">
        <v>2.6201146582822998</v>
      </c>
      <c r="AZ9" s="6">
        <v>2.6412696718547601</v>
      </c>
      <c r="BA9" s="6">
        <v>2.6622794798761902</v>
      </c>
      <c r="BB9" s="6">
        <v>2.6769828092859602</v>
      </c>
      <c r="BC9" s="6">
        <v>2.69301979781623</v>
      </c>
      <c r="BD9" s="6">
        <v>2.6949351579636902</v>
      </c>
      <c r="BE9" s="6">
        <v>2.7072510455133001</v>
      </c>
      <c r="BF9" s="6">
        <v>2.7194666205217501</v>
      </c>
      <c r="BG9" s="6">
        <v>2.7583872583557998</v>
      </c>
      <c r="BH9" s="6">
        <v>2.7712174411052799</v>
      </c>
      <c r="BI9" s="6">
        <v>2.7767772539950299</v>
      </c>
      <c r="BJ9" s="6">
        <v>2.7900362938944698</v>
      </c>
      <c r="BK9" s="6">
        <v>2.79504989885013</v>
      </c>
      <c r="BL9" s="6">
        <v>2.8124753429938698</v>
      </c>
      <c r="BM9" s="6">
        <v>2.8258429652208199</v>
      </c>
      <c r="BN9" s="6">
        <v>2.84582069929911</v>
      </c>
      <c r="BO9" s="6">
        <v>2.86055636092141</v>
      </c>
      <c r="BP9" s="919">
        <v>2.86714152292299</v>
      </c>
      <c r="BQ9" s="920">
        <v>2.87979046783079</v>
      </c>
      <c r="BR9" s="921">
        <v>2.8862359962744399</v>
      </c>
      <c r="BS9" s="921">
        <v>2.8952255447313102</v>
      </c>
      <c r="BT9" s="921">
        <v>2.9114792295702099</v>
      </c>
      <c r="BU9" s="921">
        <v>2.92478764045907</v>
      </c>
      <c r="BV9" s="921">
        <v>2.9313520578905301</v>
      </c>
      <c r="BW9" s="921">
        <v>2.9488666202170299</v>
      </c>
      <c r="BX9" s="922">
        <v>2.9672225449874401</v>
      </c>
      <c r="BY9" s="6">
        <v>2.9827762298190601</v>
      </c>
      <c r="BZ9" s="6">
        <v>2.9973649977235501</v>
      </c>
      <c r="CA9" s="6">
        <v>3.01160898598325</v>
      </c>
      <c r="CB9" s="6">
        <v>3.0243751954104701</v>
      </c>
      <c r="CC9" s="6">
        <v>3.0393168799481201</v>
      </c>
      <c r="CD9" s="6">
        <v>3.0546372008786999</v>
      </c>
      <c r="CE9" s="6">
        <v>3.0677758980614298</v>
      </c>
      <c r="CF9" s="6">
        <v>3.08286200226184</v>
      </c>
      <c r="CG9" s="6">
        <v>3.09713585293321</v>
      </c>
      <c r="CH9" s="6">
        <v>3.1105686621575002</v>
      </c>
    </row>
    <row r="10" spans="1:87">
      <c r="A10" s="7" t="s">
        <v>116</v>
      </c>
      <c r="B10" s="7" t="s">
        <v>117</v>
      </c>
      <c r="C10" s="16">
        <v>2.0343964480826999</v>
      </c>
      <c r="D10" s="16">
        <v>2.05943632395637</v>
      </c>
      <c r="E10" s="16">
        <v>2.0644664349199</v>
      </c>
      <c r="F10" s="16">
        <v>2.0865413060551998</v>
      </c>
      <c r="G10" s="16">
        <v>2.1041383265898301</v>
      </c>
      <c r="H10" s="16">
        <v>2.1144127778695201</v>
      </c>
      <c r="I10" s="16">
        <v>2.1507704710507598</v>
      </c>
      <c r="J10" s="16">
        <v>2.1697119451171401</v>
      </c>
      <c r="K10" s="16">
        <v>2.18694695083656</v>
      </c>
      <c r="L10" s="16">
        <v>2.2122122749579498</v>
      </c>
      <c r="M10" s="16">
        <v>2.23480678878395</v>
      </c>
      <c r="N10" s="16">
        <v>2.2202677130356299</v>
      </c>
      <c r="O10" s="16">
        <v>2.23175261179881</v>
      </c>
      <c r="P10" s="16">
        <v>2.2580164013091002</v>
      </c>
      <c r="Q10" s="16">
        <v>2.2753709772035502</v>
      </c>
      <c r="R10" s="16">
        <v>2.30194291888919</v>
      </c>
      <c r="S10" s="16">
        <v>2.3192533891099099</v>
      </c>
      <c r="T10" s="16">
        <v>2.3629433902934598</v>
      </c>
      <c r="U10" s="16">
        <v>2.4039288645996799</v>
      </c>
      <c r="V10" s="16">
        <v>2.3508177475344398</v>
      </c>
      <c r="W10" s="16">
        <v>2.3395569969345802</v>
      </c>
      <c r="X10" s="16">
        <v>2.34609570313232</v>
      </c>
      <c r="Y10" s="16">
        <v>2.3657863595331099</v>
      </c>
      <c r="Z10" s="16">
        <v>2.3805218237276899</v>
      </c>
      <c r="AA10" s="16">
        <v>2.3783358335942402</v>
      </c>
      <c r="AB10" s="16">
        <v>2.3830414859475502</v>
      </c>
      <c r="AC10" s="16">
        <v>2.3975323184108199</v>
      </c>
      <c r="AD10" s="16">
        <v>2.4214524193269198</v>
      </c>
      <c r="AE10" s="16">
        <v>2.4313760255508901</v>
      </c>
      <c r="AF10" s="16">
        <v>2.4766460484572002</v>
      </c>
      <c r="AG10" s="16">
        <v>2.4881988275326701</v>
      </c>
      <c r="AH10" s="16">
        <v>2.4967467306687299</v>
      </c>
      <c r="AI10" s="16">
        <v>2.5126682010265902</v>
      </c>
      <c r="AJ10" s="16">
        <v>2.5190165748075999</v>
      </c>
      <c r="AK10" s="16">
        <v>2.52926548445051</v>
      </c>
      <c r="AL10" s="16">
        <v>2.5498254535670202</v>
      </c>
      <c r="AM10" s="16">
        <v>2.5565788634062199</v>
      </c>
      <c r="AN10" s="16">
        <v>2.5541938570175202</v>
      </c>
      <c r="AO10" s="16">
        <v>2.5733736468802801</v>
      </c>
      <c r="AP10" s="16">
        <v>2.5879825683785702</v>
      </c>
      <c r="AQ10" s="16">
        <v>2.5968750678528201</v>
      </c>
      <c r="AR10" s="16">
        <v>2.60749339976029</v>
      </c>
      <c r="AS10" s="16">
        <v>2.61387953217735</v>
      </c>
      <c r="AT10" s="16">
        <v>2.6160583623265499</v>
      </c>
      <c r="AU10" s="6">
        <v>2.61118766519375</v>
      </c>
      <c r="AV10" s="6">
        <v>2.6220108220798601</v>
      </c>
      <c r="AW10" s="6">
        <v>2.6188417055922</v>
      </c>
      <c r="AX10" s="6">
        <v>2.6260990473395398</v>
      </c>
      <c r="AY10" s="6">
        <v>2.6201146582822998</v>
      </c>
      <c r="AZ10" s="6">
        <v>2.6412696718547601</v>
      </c>
      <c r="BA10" s="6">
        <v>2.6622794798761902</v>
      </c>
      <c r="BB10" s="6">
        <v>2.6769828092859602</v>
      </c>
      <c r="BC10" s="6">
        <v>2.69301979781623</v>
      </c>
      <c r="BD10" s="6">
        <v>2.6949351579636902</v>
      </c>
      <c r="BE10" s="6">
        <v>2.7072510455133001</v>
      </c>
      <c r="BF10" s="6">
        <v>2.7194666205217501</v>
      </c>
      <c r="BG10" s="6">
        <v>2.7583872583557998</v>
      </c>
      <c r="BH10" s="6">
        <v>2.7712174411052799</v>
      </c>
      <c r="BI10" s="6">
        <v>2.7767772539950299</v>
      </c>
      <c r="BJ10" s="6">
        <v>2.7900362938944698</v>
      </c>
      <c r="BK10" s="6">
        <v>2.79504989885013</v>
      </c>
      <c r="BL10" s="6">
        <v>2.8124753429938698</v>
      </c>
      <c r="BM10" s="6">
        <v>2.8258429652208199</v>
      </c>
      <c r="BN10" s="6">
        <v>2.8508726138222098</v>
      </c>
      <c r="BO10" s="6">
        <v>2.8707703287451301</v>
      </c>
      <c r="BP10" s="6">
        <v>2.8838742724040798</v>
      </c>
      <c r="BQ10" s="6">
        <v>2.9041973957490499</v>
      </c>
      <c r="BR10" s="6">
        <v>2.9181801842111201</v>
      </c>
      <c r="BS10" s="6">
        <v>2.9363927339244902</v>
      </c>
      <c r="BT10" s="6">
        <v>2.96289077167628</v>
      </c>
      <c r="BU10" s="6">
        <v>2.9870211065969401</v>
      </c>
      <c r="BV10" s="6">
        <v>3.0057565286188099</v>
      </c>
      <c r="BW10" s="6">
        <v>3.0365761747820499</v>
      </c>
      <c r="BX10" s="6">
        <v>3.0681959808882899</v>
      </c>
      <c r="BY10" s="6">
        <v>3.0977145098143102</v>
      </c>
      <c r="BZ10" s="6">
        <v>3.1270435262635901</v>
      </c>
      <c r="CA10" s="6">
        <v>3.1563342945986901</v>
      </c>
      <c r="CB10" s="6">
        <v>3.1831997293388401</v>
      </c>
      <c r="CC10" s="6">
        <v>3.2125565050276701</v>
      </c>
      <c r="CD10" s="6">
        <v>3.2415902186312202</v>
      </c>
      <c r="CE10" s="6">
        <v>3.2694429238234299</v>
      </c>
      <c r="CF10" s="6">
        <v>3.2994498764972602</v>
      </c>
      <c r="CG10" s="6">
        <v>3.3287005383778001</v>
      </c>
      <c r="CH10" s="6">
        <v>3.3574479886706499</v>
      </c>
    </row>
    <row r="12" spans="1:87">
      <c r="C12" s="457"/>
      <c r="D12" s="457"/>
      <c r="E12" s="457"/>
      <c r="F12" s="457"/>
      <c r="G12" s="457"/>
      <c r="H12" s="457"/>
      <c r="I12" s="457"/>
      <c r="J12" s="457"/>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7"/>
      <c r="AS12" s="457"/>
      <c r="AT12" s="457"/>
    </row>
    <row r="13" spans="1:87">
      <c r="C13" s="457"/>
      <c r="D13" s="457"/>
      <c r="E13" s="457"/>
      <c r="F13" s="457"/>
      <c r="G13" s="457"/>
      <c r="H13" s="457"/>
      <c r="I13" s="457"/>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row>
    <row r="15" spans="1:87">
      <c r="BO15" s="459" t="s">
        <v>460</v>
      </c>
      <c r="BP15" s="460"/>
      <c r="BQ15" s="460"/>
      <c r="BR15" s="461" t="s">
        <v>810</v>
      </c>
      <c r="BS15" s="462"/>
      <c r="BT15" s="462"/>
      <c r="BU15" s="462"/>
      <c r="BV15" s="462"/>
      <c r="BW15" s="462"/>
      <c r="BX15" s="460"/>
      <c r="BY15" s="460"/>
      <c r="BZ15" s="460"/>
    </row>
    <row r="16" spans="1:87">
      <c r="BO16" s="463"/>
      <c r="BP16" s="464"/>
      <c r="BQ16" s="464"/>
      <c r="BR16" s="464"/>
      <c r="BS16" s="464"/>
      <c r="BT16" s="464"/>
      <c r="BU16" s="464"/>
      <c r="BV16" s="464"/>
      <c r="BW16" s="464"/>
      <c r="BX16" s="464"/>
      <c r="BY16" s="464"/>
      <c r="BZ16" s="465"/>
    </row>
    <row r="17" spans="67:78">
      <c r="BO17" s="466"/>
      <c r="BP17" s="467" t="s">
        <v>462</v>
      </c>
      <c r="BQ17" s="460" t="s">
        <v>811</v>
      </c>
      <c r="BR17" s="460"/>
      <c r="BS17" s="460"/>
      <c r="BT17" s="460"/>
      <c r="BU17" s="460"/>
      <c r="BV17" s="460"/>
      <c r="BW17" s="460"/>
      <c r="BX17" s="460"/>
      <c r="BY17" s="460"/>
      <c r="BZ17" s="468"/>
    </row>
    <row r="18" spans="67:78">
      <c r="BO18" s="466"/>
      <c r="BP18" s="460"/>
      <c r="BQ18" s="456" t="str">
        <f>BP7</f>
        <v>2020Q2</v>
      </c>
      <c r="BR18" s="460"/>
      <c r="BS18" s="460"/>
      <c r="BT18" s="460"/>
      <c r="BU18" s="460"/>
      <c r="BV18" s="460"/>
      <c r="BW18" s="460"/>
      <c r="BX18" s="460"/>
      <c r="BY18" s="460"/>
      <c r="BZ18" s="469" t="s">
        <v>385</v>
      </c>
    </row>
    <row r="19" spans="67:78">
      <c r="BO19" s="466"/>
      <c r="BP19" s="460"/>
      <c r="BQ19" s="923">
        <f>BP9</f>
        <v>2.86714152292299</v>
      </c>
      <c r="BR19" s="924"/>
      <c r="BS19" s="460"/>
      <c r="BT19" s="460"/>
      <c r="BU19" s="460"/>
      <c r="BV19" s="460"/>
      <c r="BW19" s="460"/>
      <c r="BX19" s="460"/>
      <c r="BY19" s="460"/>
      <c r="BZ19" s="470">
        <f>BQ19</f>
        <v>2.86714152292299</v>
      </c>
    </row>
    <row r="20" spans="67:78">
      <c r="BO20" s="466"/>
      <c r="BP20" s="460"/>
      <c r="BQ20" s="460"/>
      <c r="BR20" s="460"/>
      <c r="BS20" s="460"/>
      <c r="BT20" s="460"/>
      <c r="BU20" s="460"/>
      <c r="BV20" s="460"/>
      <c r="BW20" s="460"/>
      <c r="BX20" s="460"/>
      <c r="BY20" s="460"/>
      <c r="BZ20" s="471"/>
    </row>
    <row r="21" spans="67:78">
      <c r="BO21" s="2479" t="s">
        <v>464</v>
      </c>
      <c r="BP21" s="2480"/>
      <c r="BQ21" s="2480"/>
      <c r="BR21" s="460" t="s">
        <v>812</v>
      </c>
      <c r="BS21" s="460"/>
      <c r="BT21" s="460"/>
      <c r="BU21" s="460"/>
      <c r="BV21" s="460"/>
      <c r="BW21" s="460"/>
      <c r="BX21" s="460"/>
      <c r="BY21" s="460"/>
      <c r="BZ21" s="471"/>
    </row>
    <row r="22" spans="67:78">
      <c r="BO22" s="466"/>
      <c r="BP22" s="460"/>
      <c r="BQ22" s="7" t="str">
        <f>BQ7</f>
        <v>2020Q3</v>
      </c>
      <c r="BR22" s="7" t="str">
        <f t="shared" ref="BR22:BX22" si="0">BR7</f>
        <v>2020Q4</v>
      </c>
      <c r="BS22" s="7" t="str">
        <f t="shared" si="0"/>
        <v>2021Q1</v>
      </c>
      <c r="BT22" s="7" t="str">
        <f t="shared" si="0"/>
        <v>2021Q2</v>
      </c>
      <c r="BU22" s="7" t="str">
        <f t="shared" si="0"/>
        <v>2021Q3</v>
      </c>
      <c r="BV22" s="7" t="str">
        <f t="shared" si="0"/>
        <v>2021Q4</v>
      </c>
      <c r="BW22" s="7" t="str">
        <f t="shared" si="0"/>
        <v>2022Q1</v>
      </c>
      <c r="BX22" s="7" t="str">
        <f t="shared" si="0"/>
        <v>2022Q2</v>
      </c>
      <c r="BY22" s="460"/>
      <c r="BZ22" s="471"/>
    </row>
    <row r="23" spans="67:78">
      <c r="BO23" s="466"/>
      <c r="BP23" s="460"/>
      <c r="BQ23" s="16">
        <f>BQ9</f>
        <v>2.87979046783079</v>
      </c>
      <c r="BR23" s="16">
        <f t="shared" ref="BR23:BX23" si="1">BR9</f>
        <v>2.8862359962744399</v>
      </c>
      <c r="BS23" s="16">
        <f t="shared" si="1"/>
        <v>2.8952255447313102</v>
      </c>
      <c r="BT23" s="16">
        <f t="shared" si="1"/>
        <v>2.9114792295702099</v>
      </c>
      <c r="BU23" s="16">
        <f t="shared" si="1"/>
        <v>2.92478764045907</v>
      </c>
      <c r="BV23" s="16">
        <f t="shared" si="1"/>
        <v>2.9313520578905301</v>
      </c>
      <c r="BW23" s="16">
        <f t="shared" si="1"/>
        <v>2.9488666202170299</v>
      </c>
      <c r="BX23" s="16">
        <f t="shared" si="1"/>
        <v>2.9672225449874401</v>
      </c>
      <c r="BY23" s="460"/>
      <c r="BZ23" s="470">
        <f>AVERAGE(BQ23:BX23)</f>
        <v>2.9181200127451019</v>
      </c>
    </row>
    <row r="24" spans="67:78">
      <c r="BO24" s="466"/>
      <c r="BP24" s="460"/>
      <c r="BQ24" s="460"/>
      <c r="BR24" s="460"/>
      <c r="BS24" s="460"/>
      <c r="BT24" s="460"/>
      <c r="BU24" s="460"/>
      <c r="BV24" s="460"/>
      <c r="BW24" s="460"/>
      <c r="BX24" s="460"/>
      <c r="BY24" s="460"/>
      <c r="BZ24" s="471"/>
    </row>
    <row r="25" spans="67:78">
      <c r="BO25" s="466"/>
      <c r="BP25" s="460"/>
      <c r="BQ25" s="460"/>
      <c r="BR25" s="460"/>
      <c r="BS25" s="460"/>
      <c r="BT25" s="460"/>
      <c r="BU25" s="460"/>
      <c r="BV25" s="460"/>
      <c r="BW25" s="460"/>
      <c r="BX25" s="460"/>
      <c r="BY25" s="472" t="s">
        <v>26</v>
      </c>
      <c r="BZ25" s="473">
        <f>(BZ23-BZ19)/BZ19</f>
        <v>1.7780248869661817E-2</v>
      </c>
    </row>
    <row r="26" spans="67:78">
      <c r="BO26" s="474"/>
      <c r="BP26" s="475"/>
      <c r="BQ26" s="475"/>
      <c r="BR26" s="475"/>
      <c r="BS26" s="475"/>
      <c r="BT26" s="475"/>
      <c r="BU26" s="475"/>
      <c r="BV26" s="475"/>
      <c r="BW26" s="475"/>
      <c r="BX26" s="475"/>
      <c r="BY26" s="475"/>
      <c r="BZ26" s="476"/>
    </row>
  </sheetData>
  <mergeCells count="1">
    <mergeCell ref="BO21:BQ21"/>
  </mergeCells>
  <pageMargins left="0.25" right="0.25" top="1" bottom="1" header="0.5" footer="0.5"/>
  <pageSetup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BW42"/>
  <sheetViews>
    <sheetView topLeftCell="BA1" workbookViewId="0">
      <selection activeCell="BU39" sqref="BU39"/>
    </sheetView>
  </sheetViews>
  <sheetFormatPr defaultRowHeight="12.75"/>
  <cols>
    <col min="1" max="1" width="38.42578125" style="6" customWidth="1"/>
    <col min="2" max="2" width="12.5703125" style="7" customWidth="1"/>
    <col min="3" max="74" width="10.42578125" style="6" customWidth="1"/>
    <col min="75" max="256" width="8.5703125" style="6"/>
    <col min="257" max="257" width="38.42578125" style="6" customWidth="1"/>
    <col min="258" max="258" width="12.5703125" style="6" customWidth="1"/>
    <col min="259" max="330" width="10.42578125" style="6" customWidth="1"/>
    <col min="331" max="512" width="8.5703125" style="6"/>
    <col min="513" max="513" width="38.42578125" style="6" customWidth="1"/>
    <col min="514" max="514" width="12.5703125" style="6" customWidth="1"/>
    <col min="515" max="586" width="10.42578125" style="6" customWidth="1"/>
    <col min="587" max="768" width="8.5703125" style="6"/>
    <col min="769" max="769" width="38.42578125" style="6" customWidth="1"/>
    <col min="770" max="770" width="12.5703125" style="6" customWidth="1"/>
    <col min="771" max="842" width="10.42578125" style="6" customWidth="1"/>
    <col min="843" max="1024" width="8.5703125" style="6"/>
    <col min="1025" max="1025" width="38.42578125" style="6" customWidth="1"/>
    <col min="1026" max="1026" width="12.5703125" style="6" customWidth="1"/>
    <col min="1027" max="1098" width="10.42578125" style="6" customWidth="1"/>
    <col min="1099" max="1280" width="8.5703125" style="6"/>
    <col min="1281" max="1281" width="38.42578125" style="6" customWidth="1"/>
    <col min="1282" max="1282" width="12.5703125" style="6" customWidth="1"/>
    <col min="1283" max="1354" width="10.42578125" style="6" customWidth="1"/>
    <col min="1355" max="1536" width="8.5703125" style="6"/>
    <col min="1537" max="1537" width="38.42578125" style="6" customWidth="1"/>
    <col min="1538" max="1538" width="12.5703125" style="6" customWidth="1"/>
    <col min="1539" max="1610" width="10.42578125" style="6" customWidth="1"/>
    <col min="1611" max="1792" width="8.5703125" style="6"/>
    <col min="1793" max="1793" width="38.42578125" style="6" customWidth="1"/>
    <col min="1794" max="1794" width="12.5703125" style="6" customWidth="1"/>
    <col min="1795" max="1866" width="10.42578125" style="6" customWidth="1"/>
    <col min="1867" max="2048" width="8.5703125" style="6"/>
    <col min="2049" max="2049" width="38.42578125" style="6" customWidth="1"/>
    <col min="2050" max="2050" width="12.5703125" style="6" customWidth="1"/>
    <col min="2051" max="2122" width="10.42578125" style="6" customWidth="1"/>
    <col min="2123" max="2304" width="8.5703125" style="6"/>
    <col min="2305" max="2305" width="38.42578125" style="6" customWidth="1"/>
    <col min="2306" max="2306" width="12.5703125" style="6" customWidth="1"/>
    <col min="2307" max="2378" width="10.42578125" style="6" customWidth="1"/>
    <col min="2379" max="2560" width="8.5703125" style="6"/>
    <col min="2561" max="2561" width="38.42578125" style="6" customWidth="1"/>
    <col min="2562" max="2562" width="12.5703125" style="6" customWidth="1"/>
    <col min="2563" max="2634" width="10.42578125" style="6" customWidth="1"/>
    <col min="2635" max="2816" width="8.5703125" style="6"/>
    <col min="2817" max="2817" width="38.42578125" style="6" customWidth="1"/>
    <col min="2818" max="2818" width="12.5703125" style="6" customWidth="1"/>
    <col min="2819" max="2890" width="10.42578125" style="6" customWidth="1"/>
    <col min="2891" max="3072" width="8.5703125" style="6"/>
    <col min="3073" max="3073" width="38.42578125" style="6" customWidth="1"/>
    <col min="3074" max="3074" width="12.5703125" style="6" customWidth="1"/>
    <col min="3075" max="3146" width="10.42578125" style="6" customWidth="1"/>
    <col min="3147" max="3328" width="8.5703125" style="6"/>
    <col min="3329" max="3329" width="38.42578125" style="6" customWidth="1"/>
    <col min="3330" max="3330" width="12.5703125" style="6" customWidth="1"/>
    <col min="3331" max="3402" width="10.42578125" style="6" customWidth="1"/>
    <col min="3403" max="3584" width="8.5703125" style="6"/>
    <col min="3585" max="3585" width="38.42578125" style="6" customWidth="1"/>
    <col min="3586" max="3586" width="12.5703125" style="6" customWidth="1"/>
    <col min="3587" max="3658" width="10.42578125" style="6" customWidth="1"/>
    <col min="3659" max="3840" width="8.5703125" style="6"/>
    <col min="3841" max="3841" width="38.42578125" style="6" customWidth="1"/>
    <col min="3842" max="3842" width="12.5703125" style="6" customWidth="1"/>
    <col min="3843" max="3914" width="10.42578125" style="6" customWidth="1"/>
    <col min="3915" max="4096" width="8.5703125" style="6"/>
    <col min="4097" max="4097" width="38.42578125" style="6" customWidth="1"/>
    <col min="4098" max="4098" width="12.5703125" style="6" customWidth="1"/>
    <col min="4099" max="4170" width="10.42578125" style="6" customWidth="1"/>
    <col min="4171" max="4352" width="8.5703125" style="6"/>
    <col min="4353" max="4353" width="38.42578125" style="6" customWidth="1"/>
    <col min="4354" max="4354" width="12.5703125" style="6" customWidth="1"/>
    <col min="4355" max="4426" width="10.42578125" style="6" customWidth="1"/>
    <col min="4427" max="4608" width="8.5703125" style="6"/>
    <col min="4609" max="4609" width="38.42578125" style="6" customWidth="1"/>
    <col min="4610" max="4610" width="12.5703125" style="6" customWidth="1"/>
    <col min="4611" max="4682" width="10.42578125" style="6" customWidth="1"/>
    <col min="4683" max="4864" width="8.5703125" style="6"/>
    <col min="4865" max="4865" width="38.42578125" style="6" customWidth="1"/>
    <col min="4866" max="4866" width="12.5703125" style="6" customWidth="1"/>
    <col min="4867" max="4938" width="10.42578125" style="6" customWidth="1"/>
    <col min="4939" max="5120" width="8.5703125" style="6"/>
    <col min="5121" max="5121" width="38.42578125" style="6" customWidth="1"/>
    <col min="5122" max="5122" width="12.5703125" style="6" customWidth="1"/>
    <col min="5123" max="5194" width="10.42578125" style="6" customWidth="1"/>
    <col min="5195" max="5376" width="8.5703125" style="6"/>
    <col min="5377" max="5377" width="38.42578125" style="6" customWidth="1"/>
    <col min="5378" max="5378" width="12.5703125" style="6" customWidth="1"/>
    <col min="5379" max="5450" width="10.42578125" style="6" customWidth="1"/>
    <col min="5451" max="5632" width="8.5703125" style="6"/>
    <col min="5633" max="5633" width="38.42578125" style="6" customWidth="1"/>
    <col min="5634" max="5634" width="12.5703125" style="6" customWidth="1"/>
    <col min="5635" max="5706" width="10.42578125" style="6" customWidth="1"/>
    <col min="5707" max="5888" width="8.5703125" style="6"/>
    <col min="5889" max="5889" width="38.42578125" style="6" customWidth="1"/>
    <col min="5890" max="5890" width="12.5703125" style="6" customWidth="1"/>
    <col min="5891" max="5962" width="10.42578125" style="6" customWidth="1"/>
    <col min="5963" max="6144" width="8.5703125" style="6"/>
    <col min="6145" max="6145" width="38.42578125" style="6" customWidth="1"/>
    <col min="6146" max="6146" width="12.5703125" style="6" customWidth="1"/>
    <col min="6147" max="6218" width="10.42578125" style="6" customWidth="1"/>
    <col min="6219" max="6400" width="8.5703125" style="6"/>
    <col min="6401" max="6401" width="38.42578125" style="6" customWidth="1"/>
    <col min="6402" max="6402" width="12.5703125" style="6" customWidth="1"/>
    <col min="6403" max="6474" width="10.42578125" style="6" customWidth="1"/>
    <col min="6475" max="6656" width="8.5703125" style="6"/>
    <col min="6657" max="6657" width="38.42578125" style="6" customWidth="1"/>
    <col min="6658" max="6658" width="12.5703125" style="6" customWidth="1"/>
    <col min="6659" max="6730" width="10.42578125" style="6" customWidth="1"/>
    <col min="6731" max="6912" width="8.5703125" style="6"/>
    <col min="6913" max="6913" width="38.42578125" style="6" customWidth="1"/>
    <col min="6914" max="6914" width="12.5703125" style="6" customWidth="1"/>
    <col min="6915" max="6986" width="10.42578125" style="6" customWidth="1"/>
    <col min="6987" max="7168" width="8.5703125" style="6"/>
    <col min="7169" max="7169" width="38.42578125" style="6" customWidth="1"/>
    <col min="7170" max="7170" width="12.5703125" style="6" customWidth="1"/>
    <col min="7171" max="7242" width="10.42578125" style="6" customWidth="1"/>
    <col min="7243" max="7424" width="8.5703125" style="6"/>
    <col min="7425" max="7425" width="38.42578125" style="6" customWidth="1"/>
    <col min="7426" max="7426" width="12.5703125" style="6" customWidth="1"/>
    <col min="7427" max="7498" width="10.42578125" style="6" customWidth="1"/>
    <col min="7499" max="7680" width="8.5703125" style="6"/>
    <col min="7681" max="7681" width="38.42578125" style="6" customWidth="1"/>
    <col min="7682" max="7682" width="12.5703125" style="6" customWidth="1"/>
    <col min="7683" max="7754" width="10.42578125" style="6" customWidth="1"/>
    <col min="7755" max="7936" width="8.5703125" style="6"/>
    <col min="7937" max="7937" width="38.42578125" style="6" customWidth="1"/>
    <col min="7938" max="7938" width="12.5703125" style="6" customWidth="1"/>
    <col min="7939" max="8010" width="10.42578125" style="6" customWidth="1"/>
    <col min="8011" max="8192" width="8.5703125" style="6"/>
    <col min="8193" max="8193" width="38.42578125" style="6" customWidth="1"/>
    <col min="8194" max="8194" width="12.5703125" style="6" customWidth="1"/>
    <col min="8195" max="8266" width="10.42578125" style="6" customWidth="1"/>
    <col min="8267" max="8448" width="8.5703125" style="6"/>
    <col min="8449" max="8449" width="38.42578125" style="6" customWidth="1"/>
    <col min="8450" max="8450" width="12.5703125" style="6" customWidth="1"/>
    <col min="8451" max="8522" width="10.42578125" style="6" customWidth="1"/>
    <col min="8523" max="8704" width="8.5703125" style="6"/>
    <col min="8705" max="8705" width="38.42578125" style="6" customWidth="1"/>
    <col min="8706" max="8706" width="12.5703125" style="6" customWidth="1"/>
    <col min="8707" max="8778" width="10.42578125" style="6" customWidth="1"/>
    <col min="8779" max="8960" width="8.5703125" style="6"/>
    <col min="8961" max="8961" width="38.42578125" style="6" customWidth="1"/>
    <col min="8962" max="8962" width="12.5703125" style="6" customWidth="1"/>
    <col min="8963" max="9034" width="10.42578125" style="6" customWidth="1"/>
    <col min="9035" max="9216" width="8.5703125" style="6"/>
    <col min="9217" max="9217" width="38.42578125" style="6" customWidth="1"/>
    <col min="9218" max="9218" width="12.5703125" style="6" customWidth="1"/>
    <col min="9219" max="9290" width="10.42578125" style="6" customWidth="1"/>
    <col min="9291" max="9472" width="8.5703125" style="6"/>
    <col min="9473" max="9473" width="38.42578125" style="6" customWidth="1"/>
    <col min="9474" max="9474" width="12.5703125" style="6" customWidth="1"/>
    <col min="9475" max="9546" width="10.42578125" style="6" customWidth="1"/>
    <col min="9547" max="9728" width="8.5703125" style="6"/>
    <col min="9729" max="9729" width="38.42578125" style="6" customWidth="1"/>
    <col min="9730" max="9730" width="12.5703125" style="6" customWidth="1"/>
    <col min="9731" max="9802" width="10.42578125" style="6" customWidth="1"/>
    <col min="9803" max="9984" width="8.5703125" style="6"/>
    <col min="9985" max="9985" width="38.42578125" style="6" customWidth="1"/>
    <col min="9986" max="9986" width="12.5703125" style="6" customWidth="1"/>
    <col min="9987" max="10058" width="10.42578125" style="6" customWidth="1"/>
    <col min="10059" max="10240" width="8.5703125" style="6"/>
    <col min="10241" max="10241" width="38.42578125" style="6" customWidth="1"/>
    <col min="10242" max="10242" width="12.5703125" style="6" customWidth="1"/>
    <col min="10243" max="10314" width="10.42578125" style="6" customWidth="1"/>
    <col min="10315" max="10496" width="8.5703125" style="6"/>
    <col min="10497" max="10497" width="38.42578125" style="6" customWidth="1"/>
    <col min="10498" max="10498" width="12.5703125" style="6" customWidth="1"/>
    <col min="10499" max="10570" width="10.42578125" style="6" customWidth="1"/>
    <col min="10571" max="10752" width="8.5703125" style="6"/>
    <col min="10753" max="10753" width="38.42578125" style="6" customWidth="1"/>
    <col min="10754" max="10754" width="12.5703125" style="6" customWidth="1"/>
    <col min="10755" max="10826" width="10.42578125" style="6" customWidth="1"/>
    <col min="10827" max="11008" width="8.5703125" style="6"/>
    <col min="11009" max="11009" width="38.42578125" style="6" customWidth="1"/>
    <col min="11010" max="11010" width="12.5703125" style="6" customWidth="1"/>
    <col min="11011" max="11082" width="10.42578125" style="6" customWidth="1"/>
    <col min="11083" max="11264" width="8.5703125" style="6"/>
    <col min="11265" max="11265" width="38.42578125" style="6" customWidth="1"/>
    <col min="11266" max="11266" width="12.5703125" style="6" customWidth="1"/>
    <col min="11267" max="11338" width="10.42578125" style="6" customWidth="1"/>
    <col min="11339" max="11520" width="8.5703125" style="6"/>
    <col min="11521" max="11521" width="38.42578125" style="6" customWidth="1"/>
    <col min="11522" max="11522" width="12.5703125" style="6" customWidth="1"/>
    <col min="11523" max="11594" width="10.42578125" style="6" customWidth="1"/>
    <col min="11595" max="11776" width="8.5703125" style="6"/>
    <col min="11777" max="11777" width="38.42578125" style="6" customWidth="1"/>
    <col min="11778" max="11778" width="12.5703125" style="6" customWidth="1"/>
    <col min="11779" max="11850" width="10.42578125" style="6" customWidth="1"/>
    <col min="11851" max="12032" width="8.5703125" style="6"/>
    <col min="12033" max="12033" width="38.42578125" style="6" customWidth="1"/>
    <col min="12034" max="12034" width="12.5703125" style="6" customWidth="1"/>
    <col min="12035" max="12106" width="10.42578125" style="6" customWidth="1"/>
    <col min="12107" max="12288" width="8.5703125" style="6"/>
    <col min="12289" max="12289" width="38.42578125" style="6" customWidth="1"/>
    <col min="12290" max="12290" width="12.5703125" style="6" customWidth="1"/>
    <col min="12291" max="12362" width="10.42578125" style="6" customWidth="1"/>
    <col min="12363" max="12544" width="8.5703125" style="6"/>
    <col min="12545" max="12545" width="38.42578125" style="6" customWidth="1"/>
    <col min="12546" max="12546" width="12.5703125" style="6" customWidth="1"/>
    <col min="12547" max="12618" width="10.42578125" style="6" customWidth="1"/>
    <col min="12619" max="12800" width="8.5703125" style="6"/>
    <col min="12801" max="12801" width="38.42578125" style="6" customWidth="1"/>
    <col min="12802" max="12802" width="12.5703125" style="6" customWidth="1"/>
    <col min="12803" max="12874" width="10.42578125" style="6" customWidth="1"/>
    <col min="12875" max="13056" width="8.5703125" style="6"/>
    <col min="13057" max="13057" width="38.42578125" style="6" customWidth="1"/>
    <col min="13058" max="13058" width="12.5703125" style="6" customWidth="1"/>
    <col min="13059" max="13130" width="10.42578125" style="6" customWidth="1"/>
    <col min="13131" max="13312" width="8.5703125" style="6"/>
    <col min="13313" max="13313" width="38.42578125" style="6" customWidth="1"/>
    <col min="13314" max="13314" width="12.5703125" style="6" customWidth="1"/>
    <col min="13315" max="13386" width="10.42578125" style="6" customWidth="1"/>
    <col min="13387" max="13568" width="8.5703125" style="6"/>
    <col min="13569" max="13569" width="38.42578125" style="6" customWidth="1"/>
    <col min="13570" max="13570" width="12.5703125" style="6" customWidth="1"/>
    <col min="13571" max="13642" width="10.42578125" style="6" customWidth="1"/>
    <col min="13643" max="13824" width="8.5703125" style="6"/>
    <col min="13825" max="13825" width="38.42578125" style="6" customWidth="1"/>
    <col min="13826" max="13826" width="12.5703125" style="6" customWidth="1"/>
    <col min="13827" max="13898" width="10.42578125" style="6" customWidth="1"/>
    <col min="13899" max="14080" width="8.5703125" style="6"/>
    <col min="14081" max="14081" width="38.42578125" style="6" customWidth="1"/>
    <col min="14082" max="14082" width="12.5703125" style="6" customWidth="1"/>
    <col min="14083" max="14154" width="10.42578125" style="6" customWidth="1"/>
    <col min="14155" max="14336" width="8.5703125" style="6"/>
    <col min="14337" max="14337" width="38.42578125" style="6" customWidth="1"/>
    <col min="14338" max="14338" width="12.5703125" style="6" customWidth="1"/>
    <col min="14339" max="14410" width="10.42578125" style="6" customWidth="1"/>
    <col min="14411" max="14592" width="8.5703125" style="6"/>
    <col min="14593" max="14593" width="38.42578125" style="6" customWidth="1"/>
    <col min="14594" max="14594" width="12.5703125" style="6" customWidth="1"/>
    <col min="14595" max="14666" width="10.42578125" style="6" customWidth="1"/>
    <col min="14667" max="14848" width="8.5703125" style="6"/>
    <col min="14849" max="14849" width="38.42578125" style="6" customWidth="1"/>
    <col min="14850" max="14850" width="12.5703125" style="6" customWidth="1"/>
    <col min="14851" max="14922" width="10.42578125" style="6" customWidth="1"/>
    <col min="14923" max="15104" width="8.5703125" style="6"/>
    <col min="15105" max="15105" width="38.42578125" style="6" customWidth="1"/>
    <col min="15106" max="15106" width="12.5703125" style="6" customWidth="1"/>
    <col min="15107" max="15178" width="10.42578125" style="6" customWidth="1"/>
    <col min="15179" max="15360" width="8.5703125" style="6"/>
    <col min="15361" max="15361" width="38.42578125" style="6" customWidth="1"/>
    <col min="15362" max="15362" width="12.5703125" style="6" customWidth="1"/>
    <col min="15363" max="15434" width="10.42578125" style="6" customWidth="1"/>
    <col min="15435" max="15616" width="8.5703125" style="6"/>
    <col min="15617" max="15617" width="38.42578125" style="6" customWidth="1"/>
    <col min="15618" max="15618" width="12.5703125" style="6" customWidth="1"/>
    <col min="15619" max="15690" width="10.42578125" style="6" customWidth="1"/>
    <col min="15691" max="15872" width="8.5703125" style="6"/>
    <col min="15873" max="15873" width="38.42578125" style="6" customWidth="1"/>
    <col min="15874" max="15874" width="12.5703125" style="6" customWidth="1"/>
    <col min="15875" max="15946" width="10.42578125" style="6" customWidth="1"/>
    <col min="15947" max="16128" width="8.5703125" style="6"/>
    <col min="16129" max="16129" width="38.42578125" style="6" customWidth="1"/>
    <col min="16130" max="16130" width="12.5703125" style="6" customWidth="1"/>
    <col min="16131" max="16202" width="10.42578125" style="6" customWidth="1"/>
    <col min="16203" max="16384" width="8.5703125" style="6"/>
  </cols>
  <sheetData>
    <row r="1" spans="1:75" ht="18">
      <c r="A1" s="2635" t="s">
        <v>50</v>
      </c>
      <c r="B1" s="2636"/>
    </row>
    <row r="2" spans="1:75" ht="15.75">
      <c r="A2" s="2637" t="s">
        <v>456</v>
      </c>
      <c r="B2" s="2638"/>
    </row>
    <row r="3" spans="1:75" ht="15.75" thickBot="1">
      <c r="A3" s="2639" t="s">
        <v>314</v>
      </c>
      <c r="B3" s="2640"/>
    </row>
    <row r="6" spans="1:75">
      <c r="AS6" s="448" t="s">
        <v>457</v>
      </c>
      <c r="AT6" s="448" t="s">
        <v>457</v>
      </c>
      <c r="AU6" s="448" t="s">
        <v>457</v>
      </c>
      <c r="AV6" s="448" t="s">
        <v>457</v>
      </c>
      <c r="AW6" s="449" t="s">
        <v>315</v>
      </c>
      <c r="AX6" s="450" t="s">
        <v>315</v>
      </c>
      <c r="AY6" s="450" t="s">
        <v>315</v>
      </c>
      <c r="AZ6" s="450" t="s">
        <v>315</v>
      </c>
      <c r="BA6" s="451" t="s">
        <v>316</v>
      </c>
      <c r="BB6" s="451" t="s">
        <v>316</v>
      </c>
      <c r="BC6" s="451" t="s">
        <v>316</v>
      </c>
      <c r="BD6" s="451" t="s">
        <v>316</v>
      </c>
      <c r="BE6" s="452" t="s">
        <v>317</v>
      </c>
      <c r="BF6" s="452" t="s">
        <v>317</v>
      </c>
      <c r="BG6" s="452" t="s">
        <v>317</v>
      </c>
      <c r="BH6" s="452" t="s">
        <v>317</v>
      </c>
      <c r="BI6" s="453" t="s">
        <v>318</v>
      </c>
      <c r="BJ6" s="453" t="s">
        <v>318</v>
      </c>
      <c r="BK6" s="453" t="s">
        <v>318</v>
      </c>
      <c r="BL6" s="453" t="s">
        <v>318</v>
      </c>
      <c r="BM6" s="454" t="s">
        <v>458</v>
      </c>
      <c r="BN6" s="454" t="s">
        <v>458</v>
      </c>
      <c r="BO6" s="454" t="s">
        <v>458</v>
      </c>
      <c r="BP6" s="454" t="s">
        <v>458</v>
      </c>
      <c r="BQ6" s="455" t="s">
        <v>459</v>
      </c>
      <c r="BR6" s="455" t="s">
        <v>459</v>
      </c>
      <c r="BS6" s="455" t="s">
        <v>459</v>
      </c>
      <c r="BT6" s="455" t="s">
        <v>459</v>
      </c>
    </row>
    <row r="7" spans="1:75" s="7" customFormat="1">
      <c r="B7" s="7" t="s">
        <v>51</v>
      </c>
      <c r="C7" s="456" t="s">
        <v>52</v>
      </c>
      <c r="D7" s="456" t="s">
        <v>53</v>
      </c>
      <c r="E7" s="456" t="s">
        <v>54</v>
      </c>
      <c r="F7" s="456" t="s">
        <v>55</v>
      </c>
      <c r="G7" s="456" t="s">
        <v>56</v>
      </c>
      <c r="H7" s="456" t="s">
        <v>57</v>
      </c>
      <c r="I7" s="456" t="s">
        <v>58</v>
      </c>
      <c r="J7" s="456" t="s">
        <v>59</v>
      </c>
      <c r="K7" s="456" t="s">
        <v>60</v>
      </c>
      <c r="L7" s="456" t="s">
        <v>61</v>
      </c>
      <c r="M7" s="456" t="s">
        <v>62</v>
      </c>
      <c r="N7" s="456" t="s">
        <v>63</v>
      </c>
      <c r="O7" s="456" t="s">
        <v>64</v>
      </c>
      <c r="P7" s="456" t="s">
        <v>65</v>
      </c>
      <c r="Q7" s="456" t="s">
        <v>66</v>
      </c>
      <c r="R7" s="456" t="s">
        <v>67</v>
      </c>
      <c r="S7" s="456" t="s">
        <v>68</v>
      </c>
      <c r="T7" s="456" t="s">
        <v>69</v>
      </c>
      <c r="U7" s="456" t="s">
        <v>70</v>
      </c>
      <c r="V7" s="456" t="s">
        <v>71</v>
      </c>
      <c r="W7" s="456" t="s">
        <v>72</v>
      </c>
      <c r="X7" s="456" t="s">
        <v>73</v>
      </c>
      <c r="Y7" s="456" t="s">
        <v>74</v>
      </c>
      <c r="Z7" s="456" t="s">
        <v>75</v>
      </c>
      <c r="AA7" s="456" t="s">
        <v>76</v>
      </c>
      <c r="AB7" s="456" t="s">
        <v>77</v>
      </c>
      <c r="AC7" s="456" t="s">
        <v>78</v>
      </c>
      <c r="AD7" s="456" t="s">
        <v>79</v>
      </c>
      <c r="AE7" s="456" t="s">
        <v>80</v>
      </c>
      <c r="AF7" s="456" t="s">
        <v>81</v>
      </c>
      <c r="AG7" s="456" t="s">
        <v>82</v>
      </c>
      <c r="AH7" s="456" t="s">
        <v>83</v>
      </c>
      <c r="AI7" s="456" t="s">
        <v>84</v>
      </c>
      <c r="AJ7" s="456" t="s">
        <v>85</v>
      </c>
      <c r="AK7" s="456" t="s">
        <v>86</v>
      </c>
      <c r="AL7" s="456" t="s">
        <v>87</v>
      </c>
      <c r="AM7" s="456" t="s">
        <v>88</v>
      </c>
      <c r="AN7" s="456" t="s">
        <v>89</v>
      </c>
      <c r="AO7" s="456" t="s">
        <v>90</v>
      </c>
      <c r="AP7" s="456" t="s">
        <v>91</v>
      </c>
      <c r="AQ7" s="456" t="s">
        <v>92</v>
      </c>
      <c r="AR7" s="456" t="s">
        <v>93</v>
      </c>
      <c r="AS7" s="456" t="s">
        <v>94</v>
      </c>
      <c r="AT7" s="456" t="s">
        <v>95</v>
      </c>
      <c r="AU7" s="7" t="s">
        <v>96</v>
      </c>
      <c r="AV7" s="7" t="s">
        <v>97</v>
      </c>
      <c r="AW7" s="7" t="s">
        <v>98</v>
      </c>
      <c r="AX7" s="7" t="s">
        <v>99</v>
      </c>
      <c r="AY7" s="7" t="s">
        <v>100</v>
      </c>
      <c r="AZ7" s="7" t="s">
        <v>101</v>
      </c>
      <c r="BA7" s="7" t="s">
        <v>102</v>
      </c>
      <c r="BB7" s="7" t="s">
        <v>103</v>
      </c>
      <c r="BC7" s="7" t="s">
        <v>104</v>
      </c>
      <c r="BD7" s="7" t="s">
        <v>105</v>
      </c>
      <c r="BE7" s="7" t="s">
        <v>106</v>
      </c>
      <c r="BF7" s="7" t="s">
        <v>107</v>
      </c>
      <c r="BG7" s="7" t="s">
        <v>108</v>
      </c>
      <c r="BH7" s="7" t="s">
        <v>109</v>
      </c>
      <c r="BI7" s="7" t="s">
        <v>110</v>
      </c>
      <c r="BJ7" s="7" t="s">
        <v>111</v>
      </c>
      <c r="BK7" s="7" t="s">
        <v>136</v>
      </c>
      <c r="BL7" s="7" t="s">
        <v>137</v>
      </c>
      <c r="BM7" s="7" t="s">
        <v>138</v>
      </c>
      <c r="BN7" s="7" t="s">
        <v>139</v>
      </c>
      <c r="BO7" s="7" t="s">
        <v>319</v>
      </c>
      <c r="BP7" s="7" t="s">
        <v>320</v>
      </c>
      <c r="BQ7" s="7" t="s">
        <v>321</v>
      </c>
      <c r="BR7" s="7" t="s">
        <v>322</v>
      </c>
      <c r="BS7" s="7" t="s">
        <v>323</v>
      </c>
      <c r="BT7" s="7" t="s">
        <v>324</v>
      </c>
      <c r="BU7" s="7" t="s">
        <v>325</v>
      </c>
      <c r="BV7" s="7" t="s">
        <v>326</v>
      </c>
      <c r="BW7" s="7" t="s">
        <v>327</v>
      </c>
    </row>
    <row r="8" spans="1:75" ht="13.5" thickBot="1">
      <c r="A8" s="7" t="s">
        <v>112</v>
      </c>
      <c r="B8" s="7" t="s">
        <v>113</v>
      </c>
      <c r="C8" s="16">
        <v>2.036</v>
      </c>
      <c r="D8" s="16">
        <v>2.0609999999999999</v>
      </c>
      <c r="E8" s="16">
        <v>2.0659999999999998</v>
      </c>
      <c r="F8" s="16">
        <v>2.0880000000000001</v>
      </c>
      <c r="G8" s="16">
        <v>2.105</v>
      </c>
      <c r="H8" s="16">
        <v>2.1160000000000001</v>
      </c>
      <c r="I8" s="16">
        <v>2.15</v>
      </c>
      <c r="J8" s="16">
        <v>2.17</v>
      </c>
      <c r="K8" s="16">
        <v>2.1880000000000002</v>
      </c>
      <c r="L8" s="16">
        <v>2.2149999999999999</v>
      </c>
      <c r="M8" s="16">
        <v>2.2349999999999999</v>
      </c>
      <c r="N8" s="16">
        <v>2.222</v>
      </c>
      <c r="O8" s="16">
        <v>2.2349999999999999</v>
      </c>
      <c r="P8" s="16">
        <v>2.262</v>
      </c>
      <c r="Q8" s="16">
        <v>2.2749999999999999</v>
      </c>
      <c r="R8" s="16">
        <v>2.3029999999999999</v>
      </c>
      <c r="S8" s="16">
        <v>2.3220000000000001</v>
      </c>
      <c r="T8" s="16">
        <v>2.363</v>
      </c>
      <c r="U8" s="16">
        <v>2.403</v>
      </c>
      <c r="V8" s="16">
        <v>2.3519999999999999</v>
      </c>
      <c r="W8" s="16">
        <v>2.3460000000000001</v>
      </c>
      <c r="X8" s="16">
        <v>2.351</v>
      </c>
      <c r="Y8" s="16">
        <v>2.371</v>
      </c>
      <c r="Z8" s="16">
        <v>2.3849999999999998</v>
      </c>
      <c r="AA8" s="16">
        <v>2.3849999999999998</v>
      </c>
      <c r="AB8" s="16">
        <v>2.3860000000000001</v>
      </c>
      <c r="AC8" s="16">
        <v>2.4009999999999998</v>
      </c>
      <c r="AD8" s="16">
        <v>2.4239999999999999</v>
      </c>
      <c r="AE8" s="16">
        <v>2.4369999999999998</v>
      </c>
      <c r="AF8" s="16">
        <v>2.4809999999999999</v>
      </c>
      <c r="AG8" s="16">
        <v>2.492</v>
      </c>
      <c r="AH8" s="16">
        <v>2.4990000000000001</v>
      </c>
      <c r="AI8" s="16">
        <v>2.52</v>
      </c>
      <c r="AJ8" s="16">
        <v>2.524</v>
      </c>
      <c r="AK8" s="16">
        <v>2.5329999999999999</v>
      </c>
      <c r="AL8" s="16">
        <v>2.5499999999999998</v>
      </c>
      <c r="AM8" s="16">
        <v>2.5630000000000002</v>
      </c>
      <c r="AN8" s="16">
        <v>2.5590000000000002</v>
      </c>
      <c r="AO8" s="16">
        <v>2.5750000000000002</v>
      </c>
      <c r="AP8" s="16">
        <v>2.589</v>
      </c>
      <c r="AQ8" s="16">
        <v>2.6059999999999999</v>
      </c>
      <c r="AR8" s="16">
        <v>2.6139999999999999</v>
      </c>
      <c r="AS8" s="16">
        <v>2.6160000000000001</v>
      </c>
      <c r="AT8" s="16">
        <v>2.6190000000000002</v>
      </c>
      <c r="AU8" s="16">
        <v>2.6219999999999999</v>
      </c>
      <c r="AV8" s="16">
        <v>2.63</v>
      </c>
      <c r="AW8" s="16">
        <v>2.6240000000000001</v>
      </c>
      <c r="AX8" s="16">
        <v>2.6259999999999999</v>
      </c>
      <c r="AY8" s="16">
        <v>2.6240000000000001</v>
      </c>
      <c r="AZ8" s="16">
        <v>2.6269999999999998</v>
      </c>
      <c r="BA8" s="16">
        <v>2.6429999999999998</v>
      </c>
      <c r="BB8" s="16">
        <v>2.6669999999999998</v>
      </c>
      <c r="BC8" s="16">
        <v>2.6749999999999998</v>
      </c>
      <c r="BD8" s="16">
        <v>2.6920000000000002</v>
      </c>
      <c r="BE8" s="16">
        <v>2.7130000000000001</v>
      </c>
      <c r="BF8" s="16">
        <v>2.7250000000000001</v>
      </c>
      <c r="BG8" s="16">
        <v>2.7440000000000002</v>
      </c>
      <c r="BH8" s="16">
        <v>2.7639999999999998</v>
      </c>
      <c r="BI8" s="16">
        <v>2.7829999999999999</v>
      </c>
      <c r="BJ8" s="16">
        <v>2.802</v>
      </c>
      <c r="BK8" s="16">
        <v>2.82</v>
      </c>
      <c r="BL8" s="16">
        <v>2.8380000000000001</v>
      </c>
      <c r="BM8" s="16">
        <v>2.8559999999999999</v>
      </c>
      <c r="BN8" s="16">
        <v>2.875</v>
      </c>
      <c r="BO8" s="16">
        <v>2.8940000000000001</v>
      </c>
      <c r="BP8" s="16">
        <v>2.9129999999999998</v>
      </c>
      <c r="BQ8" s="16">
        <v>2.9329999999999998</v>
      </c>
      <c r="BR8" s="16">
        <v>2.9529999999999998</v>
      </c>
      <c r="BS8" s="16">
        <v>2.972</v>
      </c>
      <c r="BT8" s="16">
        <v>2.9929999999999999</v>
      </c>
      <c r="BU8" s="16">
        <v>3.0150000000000001</v>
      </c>
      <c r="BV8" s="16">
        <v>3.0339999999999998</v>
      </c>
    </row>
    <row r="9" spans="1:75" ht="13.5" thickBot="1">
      <c r="A9" s="7" t="s">
        <v>114</v>
      </c>
      <c r="B9" s="7" t="s">
        <v>115</v>
      </c>
      <c r="C9" s="16">
        <v>2.036</v>
      </c>
      <c r="D9" s="16">
        <v>2.0609999999999999</v>
      </c>
      <c r="E9" s="16">
        <v>2.0659999999999998</v>
      </c>
      <c r="F9" s="16">
        <v>2.0880000000000001</v>
      </c>
      <c r="G9" s="16">
        <v>2.105</v>
      </c>
      <c r="H9" s="16">
        <v>2.1160000000000001</v>
      </c>
      <c r="I9" s="16">
        <v>2.15</v>
      </c>
      <c r="J9" s="16">
        <v>2.17</v>
      </c>
      <c r="K9" s="16">
        <v>2.1880000000000002</v>
      </c>
      <c r="L9" s="16">
        <v>2.2149999999999999</v>
      </c>
      <c r="M9" s="16">
        <v>2.2349999999999999</v>
      </c>
      <c r="N9" s="16">
        <v>2.222</v>
      </c>
      <c r="O9" s="16">
        <v>2.2349999999999999</v>
      </c>
      <c r="P9" s="16">
        <v>2.262</v>
      </c>
      <c r="Q9" s="16">
        <v>2.2749999999999999</v>
      </c>
      <c r="R9" s="16">
        <v>2.3029999999999999</v>
      </c>
      <c r="S9" s="16">
        <v>2.3220000000000001</v>
      </c>
      <c r="T9" s="16">
        <v>2.363</v>
      </c>
      <c r="U9" s="16">
        <v>2.403</v>
      </c>
      <c r="V9" s="16">
        <v>2.3519999999999999</v>
      </c>
      <c r="W9" s="16">
        <v>2.3460000000000001</v>
      </c>
      <c r="X9" s="16">
        <v>2.351</v>
      </c>
      <c r="Y9" s="16">
        <v>2.371</v>
      </c>
      <c r="Z9" s="16">
        <v>2.3849999999999998</v>
      </c>
      <c r="AA9" s="16">
        <v>2.3849999999999998</v>
      </c>
      <c r="AB9" s="16">
        <v>2.3860000000000001</v>
      </c>
      <c r="AC9" s="16">
        <v>2.4009999999999998</v>
      </c>
      <c r="AD9" s="16">
        <v>2.4239999999999999</v>
      </c>
      <c r="AE9" s="16">
        <v>2.4369999999999998</v>
      </c>
      <c r="AF9" s="16">
        <v>2.4809999999999999</v>
      </c>
      <c r="AG9" s="16">
        <v>2.492</v>
      </c>
      <c r="AH9" s="16">
        <v>2.4990000000000001</v>
      </c>
      <c r="AI9" s="16">
        <v>2.52</v>
      </c>
      <c r="AJ9" s="16">
        <v>2.524</v>
      </c>
      <c r="AK9" s="16">
        <v>2.5329999999999999</v>
      </c>
      <c r="AL9" s="16">
        <v>2.5499999999999998</v>
      </c>
      <c r="AM9" s="16">
        <v>2.5630000000000002</v>
      </c>
      <c r="AN9" s="16">
        <v>2.5590000000000002</v>
      </c>
      <c r="AO9" s="16">
        <v>2.5750000000000002</v>
      </c>
      <c r="AP9" s="16">
        <v>2.589</v>
      </c>
      <c r="AQ9" s="16">
        <v>2.6059999999999999</v>
      </c>
      <c r="AR9" s="16">
        <v>2.6139999999999999</v>
      </c>
      <c r="AS9" s="478">
        <v>2.6160000000000001</v>
      </c>
      <c r="AT9" s="479">
        <v>2.6190000000000002</v>
      </c>
      <c r="AU9" s="479">
        <v>2.6219999999999999</v>
      </c>
      <c r="AV9" s="480">
        <v>2.63</v>
      </c>
      <c r="AW9" s="16">
        <v>2.6240000000000001</v>
      </c>
      <c r="AX9" s="16">
        <v>2.6259999999999999</v>
      </c>
      <c r="AY9" s="16">
        <v>2.6240000000000001</v>
      </c>
      <c r="AZ9" s="16">
        <v>2.6269999999999998</v>
      </c>
      <c r="BA9" s="16">
        <v>2.6429999999999998</v>
      </c>
      <c r="BB9" s="16">
        <v>2.6669999999999998</v>
      </c>
      <c r="BC9" s="16">
        <v>2.6749999999999998</v>
      </c>
      <c r="BD9" s="16">
        <v>2.6869999999999998</v>
      </c>
      <c r="BE9" s="16">
        <v>2.7069999999999999</v>
      </c>
      <c r="BF9" s="16">
        <v>2.7170000000000001</v>
      </c>
      <c r="BG9" s="16">
        <v>2.7349999999999999</v>
      </c>
      <c r="BH9" s="16">
        <v>2.7509999999999999</v>
      </c>
      <c r="BI9" s="478">
        <v>2.7669999999999999</v>
      </c>
      <c r="BJ9" s="479">
        <v>2.7839999999999998</v>
      </c>
      <c r="BK9" s="479">
        <v>2.7989999999999999</v>
      </c>
      <c r="BL9" s="479">
        <v>2.8140000000000001</v>
      </c>
      <c r="BM9" s="479">
        <v>2.831</v>
      </c>
      <c r="BN9" s="479">
        <v>2.847</v>
      </c>
      <c r="BO9" s="479">
        <v>2.863</v>
      </c>
      <c r="BP9" s="480">
        <v>2.88</v>
      </c>
      <c r="BQ9" s="16">
        <v>2.8969999999999998</v>
      </c>
      <c r="BR9" s="16">
        <v>2.9140000000000001</v>
      </c>
      <c r="BS9" s="16">
        <v>2.9319999999999999</v>
      </c>
      <c r="BT9" s="16">
        <v>2.9510000000000001</v>
      </c>
      <c r="BU9" s="16">
        <v>2.97</v>
      </c>
      <c r="BV9" s="16">
        <v>2.9870000000000001</v>
      </c>
    </row>
    <row r="10" spans="1:75">
      <c r="A10" s="7" t="s">
        <v>116</v>
      </c>
      <c r="B10" s="7" t="s">
        <v>117</v>
      </c>
      <c r="C10" s="16">
        <v>2.036</v>
      </c>
      <c r="D10" s="16">
        <v>2.0609999999999999</v>
      </c>
      <c r="E10" s="16">
        <v>2.0659999999999998</v>
      </c>
      <c r="F10" s="16">
        <v>2.0880000000000001</v>
      </c>
      <c r="G10" s="16">
        <v>2.105</v>
      </c>
      <c r="H10" s="16">
        <v>2.1160000000000001</v>
      </c>
      <c r="I10" s="16">
        <v>2.15</v>
      </c>
      <c r="J10" s="16">
        <v>2.17</v>
      </c>
      <c r="K10" s="16">
        <v>2.1880000000000002</v>
      </c>
      <c r="L10" s="16">
        <v>2.2149999999999999</v>
      </c>
      <c r="M10" s="16">
        <v>2.2349999999999999</v>
      </c>
      <c r="N10" s="16">
        <v>2.222</v>
      </c>
      <c r="O10" s="16">
        <v>2.2349999999999999</v>
      </c>
      <c r="P10" s="16">
        <v>2.262</v>
      </c>
      <c r="Q10" s="16">
        <v>2.2749999999999999</v>
      </c>
      <c r="R10" s="16">
        <v>2.3029999999999999</v>
      </c>
      <c r="S10" s="16">
        <v>2.3220000000000001</v>
      </c>
      <c r="T10" s="16">
        <v>2.363</v>
      </c>
      <c r="U10" s="16">
        <v>2.403</v>
      </c>
      <c r="V10" s="16">
        <v>2.3519999999999999</v>
      </c>
      <c r="W10" s="16">
        <v>2.3460000000000001</v>
      </c>
      <c r="X10" s="16">
        <v>2.351</v>
      </c>
      <c r="Y10" s="16">
        <v>2.371</v>
      </c>
      <c r="Z10" s="16">
        <v>2.3849999999999998</v>
      </c>
      <c r="AA10" s="16">
        <v>2.3849999999999998</v>
      </c>
      <c r="AB10" s="16">
        <v>2.3860000000000001</v>
      </c>
      <c r="AC10" s="16">
        <v>2.4009999999999998</v>
      </c>
      <c r="AD10" s="16">
        <v>2.4239999999999999</v>
      </c>
      <c r="AE10" s="16">
        <v>2.4369999999999998</v>
      </c>
      <c r="AF10" s="16">
        <v>2.4809999999999999</v>
      </c>
      <c r="AG10" s="16">
        <v>2.492</v>
      </c>
      <c r="AH10" s="16">
        <v>2.4990000000000001</v>
      </c>
      <c r="AI10" s="16">
        <v>2.52</v>
      </c>
      <c r="AJ10" s="16">
        <v>2.524</v>
      </c>
      <c r="AK10" s="16">
        <v>2.5329999999999999</v>
      </c>
      <c r="AL10" s="16">
        <v>2.5499999999999998</v>
      </c>
      <c r="AM10" s="16">
        <v>2.5630000000000002</v>
      </c>
      <c r="AN10" s="16">
        <v>2.5590000000000002</v>
      </c>
      <c r="AO10" s="16">
        <v>2.5750000000000002</v>
      </c>
      <c r="AP10" s="16">
        <v>2.589</v>
      </c>
      <c r="AQ10" s="16">
        <v>2.6059999999999999</v>
      </c>
      <c r="AR10" s="16">
        <v>2.6139999999999999</v>
      </c>
      <c r="AS10" s="16">
        <v>2.6160000000000001</v>
      </c>
      <c r="AT10" s="16">
        <v>2.6190000000000002</v>
      </c>
      <c r="AU10" s="16">
        <v>2.6219999999999999</v>
      </c>
      <c r="AV10" s="16">
        <v>2.63</v>
      </c>
      <c r="AW10" s="16">
        <v>2.6240000000000001</v>
      </c>
      <c r="AX10" s="16">
        <v>2.6259999999999999</v>
      </c>
      <c r="AY10" s="16">
        <v>2.6240000000000001</v>
      </c>
      <c r="AZ10" s="16">
        <v>2.6269999999999998</v>
      </c>
      <c r="BA10" s="16">
        <v>2.6429999999999998</v>
      </c>
      <c r="BB10" s="16">
        <v>2.6669999999999998</v>
      </c>
      <c r="BC10" s="16">
        <v>2.6749999999999998</v>
      </c>
      <c r="BD10" s="16">
        <v>2.694</v>
      </c>
      <c r="BE10" s="16">
        <v>2.7170000000000001</v>
      </c>
      <c r="BF10" s="16">
        <v>2.7320000000000002</v>
      </c>
      <c r="BG10" s="16">
        <v>2.7530000000000001</v>
      </c>
      <c r="BH10" s="16">
        <v>2.7770000000000001</v>
      </c>
      <c r="BI10" s="16">
        <v>2.7989999999999999</v>
      </c>
      <c r="BJ10" s="16">
        <v>2.823</v>
      </c>
      <c r="BK10" s="16">
        <v>2.8450000000000002</v>
      </c>
      <c r="BL10" s="16">
        <v>2.8690000000000002</v>
      </c>
      <c r="BM10" s="16">
        <v>2.8929999999999998</v>
      </c>
      <c r="BN10" s="16">
        <v>2.9180000000000001</v>
      </c>
      <c r="BO10" s="16">
        <v>2.9430000000000001</v>
      </c>
      <c r="BP10" s="16">
        <v>2.9689999999999999</v>
      </c>
      <c r="BQ10" s="16">
        <v>2.996</v>
      </c>
      <c r="BR10" s="16">
        <v>3.024</v>
      </c>
      <c r="BS10" s="16">
        <v>3.0510000000000002</v>
      </c>
      <c r="BT10" s="16">
        <v>3.08</v>
      </c>
      <c r="BU10" s="16">
        <v>3.11</v>
      </c>
      <c r="BV10" s="16">
        <v>3.1379999999999999</v>
      </c>
    </row>
    <row r="12" spans="1:75">
      <c r="C12" s="457"/>
      <c r="D12" s="457"/>
      <c r="E12" s="457"/>
      <c r="F12" s="457"/>
      <c r="G12" s="457"/>
      <c r="H12" s="457"/>
      <c r="I12" s="457"/>
      <c r="J12" s="457"/>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7"/>
      <c r="AS12" s="457"/>
      <c r="AT12" s="457"/>
    </row>
    <row r="13" spans="1:75">
      <c r="C13" s="457"/>
      <c r="D13" s="457"/>
      <c r="E13" s="457"/>
      <c r="F13" s="457"/>
      <c r="G13" s="457"/>
      <c r="H13" s="457"/>
      <c r="I13" s="457"/>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row>
    <row r="14" spans="1:75">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row>
    <row r="15" spans="1:75">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row>
    <row r="16" spans="1:75">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row>
    <row r="17" spans="3:73" hidden="1">
      <c r="C17" s="458"/>
      <c r="D17" s="458"/>
      <c r="E17" s="458"/>
      <c r="F17" s="458"/>
      <c r="G17" s="458"/>
      <c r="H17" s="458"/>
      <c r="I17" s="458"/>
      <c r="J17" s="458"/>
      <c r="K17" s="458"/>
      <c r="L17" s="458"/>
      <c r="M17" s="458"/>
      <c r="N17" s="458"/>
      <c r="O17" s="458"/>
      <c r="P17" s="458"/>
      <c r="Q17" s="458"/>
      <c r="R17" s="458"/>
      <c r="S17" s="458"/>
      <c r="T17" s="458"/>
      <c r="U17" s="458"/>
      <c r="V17" s="458"/>
      <c r="W17" s="458"/>
      <c r="X17" s="458"/>
      <c r="Y17" s="458"/>
      <c r="Z17" s="458"/>
      <c r="AA17" s="458"/>
      <c r="AB17" s="458"/>
      <c r="AC17" s="458"/>
      <c r="AD17" s="458"/>
      <c r="AE17" s="458"/>
      <c r="AF17" s="458"/>
      <c r="AG17" s="458"/>
      <c r="AH17" s="458"/>
      <c r="AI17" s="458"/>
      <c r="AJ17" s="458"/>
      <c r="AK17" s="458"/>
      <c r="AL17" s="458"/>
      <c r="AM17" s="458"/>
      <c r="AN17" s="458"/>
      <c r="AO17" s="458"/>
      <c r="AP17" s="458"/>
      <c r="AZ17" s="459" t="s">
        <v>460</v>
      </c>
      <c r="BA17" s="460"/>
      <c r="BB17" s="460"/>
      <c r="BC17" s="461" t="s">
        <v>461</v>
      </c>
      <c r="BD17" s="462"/>
      <c r="BE17" s="462"/>
      <c r="BF17" s="462"/>
      <c r="BG17" s="462"/>
      <c r="BH17" s="462"/>
      <c r="BI17" s="460"/>
      <c r="BJ17" s="460"/>
      <c r="BK17" s="460"/>
    </row>
    <row r="18" spans="3:73" hidden="1">
      <c r="AZ18" s="463"/>
      <c r="BA18" s="464"/>
      <c r="BB18" s="464"/>
      <c r="BC18" s="464"/>
      <c r="BD18" s="464"/>
      <c r="BE18" s="464"/>
      <c r="BF18" s="464"/>
      <c r="BG18" s="464"/>
      <c r="BH18" s="464"/>
      <c r="BI18" s="464"/>
      <c r="BJ18" s="464"/>
      <c r="BK18" s="465"/>
    </row>
    <row r="19" spans="3:73" hidden="1">
      <c r="AZ19" s="466"/>
      <c r="BA19" s="467" t="s">
        <v>462</v>
      </c>
      <c r="BB19" s="460" t="s">
        <v>463</v>
      </c>
      <c r="BC19" s="460"/>
      <c r="BD19" s="460"/>
      <c r="BE19" s="460"/>
      <c r="BF19" s="460"/>
      <c r="BG19" s="460"/>
      <c r="BH19" s="460"/>
      <c r="BI19" s="460"/>
      <c r="BJ19" s="460"/>
      <c r="BK19" s="468"/>
    </row>
    <row r="20" spans="3:73" hidden="1">
      <c r="AZ20" s="466"/>
      <c r="BA20" s="460"/>
      <c r="BB20" s="7" t="s">
        <v>107</v>
      </c>
      <c r="BC20" s="460"/>
      <c r="BD20" s="460"/>
      <c r="BE20" s="460"/>
      <c r="BF20" s="460"/>
      <c r="BG20" s="460"/>
      <c r="BH20" s="460"/>
      <c r="BI20" s="460"/>
      <c r="BJ20" s="460"/>
      <c r="BK20" s="469" t="s">
        <v>385</v>
      </c>
    </row>
    <row r="21" spans="3:73" hidden="1">
      <c r="AZ21" s="466"/>
      <c r="BA21" s="460"/>
      <c r="BB21" s="16">
        <v>2.738</v>
      </c>
      <c r="BC21" s="460"/>
      <c r="BD21" s="460"/>
      <c r="BE21" s="460"/>
      <c r="BF21" s="460"/>
      <c r="BG21" s="460"/>
      <c r="BH21" s="460"/>
      <c r="BI21" s="460"/>
      <c r="BJ21" s="460"/>
      <c r="BK21" s="470">
        <f>BB21</f>
        <v>2.738</v>
      </c>
    </row>
    <row r="22" spans="3:73" hidden="1">
      <c r="AZ22" s="466"/>
      <c r="BA22" s="460"/>
      <c r="BB22" s="460"/>
      <c r="BC22" s="460"/>
      <c r="BD22" s="460"/>
      <c r="BE22" s="460"/>
      <c r="BF22" s="460"/>
      <c r="BG22" s="460"/>
      <c r="BH22" s="460"/>
      <c r="BI22" s="460"/>
      <c r="BJ22" s="460"/>
      <c r="BK22" s="471"/>
    </row>
    <row r="23" spans="3:73" hidden="1">
      <c r="AZ23" s="466"/>
      <c r="BA23" s="467" t="s">
        <v>464</v>
      </c>
      <c r="BB23" s="460" t="s">
        <v>465</v>
      </c>
      <c r="BC23" s="460"/>
      <c r="BD23" s="460"/>
      <c r="BE23" s="460"/>
      <c r="BF23" s="460"/>
      <c r="BG23" s="460"/>
      <c r="BH23" s="460"/>
      <c r="BI23" s="460"/>
      <c r="BJ23" s="460"/>
      <c r="BK23" s="471"/>
    </row>
    <row r="24" spans="3:73" hidden="1">
      <c r="AZ24" s="466"/>
      <c r="BA24" s="460"/>
      <c r="BB24" s="7" t="s">
        <v>108</v>
      </c>
      <c r="BC24" s="7" t="s">
        <v>109</v>
      </c>
      <c r="BD24" s="7" t="s">
        <v>110</v>
      </c>
      <c r="BE24" s="7" t="s">
        <v>111</v>
      </c>
      <c r="BF24" s="7" t="s">
        <v>136</v>
      </c>
      <c r="BG24" s="7" t="s">
        <v>137</v>
      </c>
      <c r="BH24" s="7" t="s">
        <v>138</v>
      </c>
      <c r="BI24" s="7" t="s">
        <v>139</v>
      </c>
      <c r="BJ24" s="460"/>
      <c r="BK24" s="471"/>
    </row>
    <row r="25" spans="3:73" hidden="1">
      <c r="AZ25" s="466"/>
      <c r="BA25" s="460"/>
      <c r="BB25" s="16">
        <f>BH11</f>
        <v>0</v>
      </c>
      <c r="BC25" s="16">
        <f t="shared" ref="BC25:BI25" si="0">BI11</f>
        <v>0</v>
      </c>
      <c r="BD25" s="16">
        <f t="shared" si="0"/>
        <v>0</v>
      </c>
      <c r="BE25" s="16">
        <f t="shared" si="0"/>
        <v>0</v>
      </c>
      <c r="BF25" s="16">
        <f t="shared" si="0"/>
        <v>0</v>
      </c>
      <c r="BG25" s="16">
        <f t="shared" si="0"/>
        <v>0</v>
      </c>
      <c r="BH25" s="16">
        <f t="shared" si="0"/>
        <v>0</v>
      </c>
      <c r="BI25" s="16">
        <f t="shared" si="0"/>
        <v>0</v>
      </c>
      <c r="BJ25" s="460"/>
      <c r="BK25" s="470">
        <f>AVERAGE(BB25:BI25)</f>
        <v>0</v>
      </c>
    </row>
    <row r="26" spans="3:73" hidden="1">
      <c r="AZ26" s="466"/>
      <c r="BA26" s="460"/>
      <c r="BB26" s="460"/>
      <c r="BC26" s="460"/>
      <c r="BD26" s="460"/>
      <c r="BE26" s="460"/>
      <c r="BF26" s="460"/>
      <c r="BG26" s="460"/>
      <c r="BH26" s="460"/>
      <c r="BI26" s="460"/>
      <c r="BJ26" s="460"/>
      <c r="BK26" s="471"/>
    </row>
    <row r="27" spans="3:73" hidden="1">
      <c r="AZ27" s="466"/>
      <c r="BA27" s="460"/>
      <c r="BB27" s="460"/>
      <c r="BC27" s="460"/>
      <c r="BD27" s="460"/>
      <c r="BE27" s="460"/>
      <c r="BF27" s="460"/>
      <c r="BG27" s="460"/>
      <c r="BH27" s="460"/>
      <c r="BI27" s="460"/>
      <c r="BJ27" s="472" t="s">
        <v>26</v>
      </c>
      <c r="BK27" s="473">
        <f>(BK25-BK21)/BK21</f>
        <v>-1</v>
      </c>
    </row>
    <row r="28" spans="3:73" hidden="1">
      <c r="AZ28" s="474"/>
      <c r="BA28" s="475"/>
      <c r="BB28" s="475"/>
      <c r="BC28" s="475"/>
      <c r="BD28" s="475"/>
      <c r="BE28" s="475"/>
      <c r="BF28" s="475"/>
      <c r="BG28" s="475"/>
      <c r="BH28" s="475"/>
      <c r="BI28" s="475"/>
      <c r="BJ28" s="475"/>
      <c r="BK28" s="476"/>
    </row>
    <row r="29" spans="3:73" hidden="1">
      <c r="AZ29" s="460"/>
      <c r="BA29" s="460"/>
      <c r="BB29" s="460"/>
      <c r="BC29" s="460"/>
      <c r="BD29" s="460"/>
      <c r="BE29" s="460"/>
      <c r="BF29" s="460"/>
      <c r="BG29" s="460"/>
      <c r="BH29" s="460"/>
      <c r="BI29" s="460"/>
      <c r="BJ29" s="460"/>
      <c r="BK29" s="460"/>
    </row>
    <row r="30" spans="3:73">
      <c r="BJ30" s="460"/>
      <c r="BK30" s="460"/>
      <c r="BL30" s="460"/>
      <c r="BM30" s="460"/>
      <c r="BN30" s="460"/>
      <c r="BO30" s="460"/>
      <c r="BP30" s="460"/>
      <c r="BQ30" s="460"/>
      <c r="BR30" s="460"/>
      <c r="BS30" s="460"/>
      <c r="BT30" s="460"/>
      <c r="BU30" s="460"/>
    </row>
    <row r="31" spans="3:73">
      <c r="BJ31" s="459" t="s">
        <v>466</v>
      </c>
      <c r="BK31" s="460"/>
      <c r="BL31" s="460"/>
      <c r="BM31" s="461"/>
      <c r="BN31" s="462"/>
      <c r="BO31" s="462"/>
      <c r="BP31" s="462"/>
      <c r="BQ31" s="462"/>
      <c r="BR31" s="462"/>
      <c r="BS31" s="460"/>
      <c r="BT31" s="460"/>
      <c r="BU31" s="460"/>
    </row>
    <row r="32" spans="3:73">
      <c r="BJ32" s="463"/>
      <c r="BK32" s="464"/>
      <c r="BL32" s="464"/>
      <c r="BM32" s="464"/>
      <c r="BN32" s="464"/>
      <c r="BO32" s="464"/>
      <c r="BP32" s="464"/>
      <c r="BQ32" s="464"/>
      <c r="BR32" s="464"/>
      <c r="BS32" s="464"/>
      <c r="BT32" s="464"/>
      <c r="BU32" s="465"/>
    </row>
    <row r="33" spans="62:73">
      <c r="BJ33" s="466"/>
      <c r="BK33" s="467" t="s">
        <v>462</v>
      </c>
      <c r="BL33" s="460" t="s">
        <v>457</v>
      </c>
      <c r="BM33" s="460"/>
      <c r="BN33" s="460"/>
      <c r="BO33" s="460"/>
      <c r="BP33" s="460"/>
      <c r="BQ33" s="460"/>
      <c r="BR33" s="460"/>
      <c r="BS33" s="460"/>
      <c r="BT33" s="460"/>
      <c r="BU33" s="468"/>
    </row>
    <row r="34" spans="62:73">
      <c r="BJ34" s="466"/>
      <c r="BK34" s="460"/>
      <c r="BL34" s="456" t="s">
        <v>94</v>
      </c>
      <c r="BM34" s="456" t="s">
        <v>95</v>
      </c>
      <c r="BN34" s="7" t="s">
        <v>96</v>
      </c>
      <c r="BO34" s="7" t="s">
        <v>97</v>
      </c>
      <c r="BP34" s="460"/>
      <c r="BQ34" s="460"/>
      <c r="BR34" s="460"/>
      <c r="BS34" s="460"/>
      <c r="BT34" s="460"/>
      <c r="BU34" s="469" t="s">
        <v>385</v>
      </c>
    </row>
    <row r="35" spans="62:73">
      <c r="BJ35" s="466"/>
      <c r="BK35" s="460"/>
      <c r="BL35" s="477">
        <f>AS9</f>
        <v>2.6160000000000001</v>
      </c>
      <c r="BM35" s="477">
        <f>AT9</f>
        <v>2.6190000000000002</v>
      </c>
      <c r="BN35" s="477">
        <f>AU9</f>
        <v>2.6219999999999999</v>
      </c>
      <c r="BO35" s="477">
        <f>AV9</f>
        <v>2.63</v>
      </c>
      <c r="BP35" s="460"/>
      <c r="BQ35" s="460"/>
      <c r="BR35" s="460"/>
      <c r="BS35" s="460"/>
      <c r="BT35" s="460"/>
      <c r="BU35" s="470">
        <f>AVERAGE(BL35:BO35)</f>
        <v>2.62175</v>
      </c>
    </row>
    <row r="36" spans="62:73">
      <c r="BJ36" s="466"/>
      <c r="BK36" s="460"/>
      <c r="BL36" s="460"/>
      <c r="BM36" s="460"/>
      <c r="BN36" s="460"/>
      <c r="BO36" s="460"/>
      <c r="BP36" s="460"/>
      <c r="BQ36" s="460"/>
      <c r="BR36" s="460"/>
      <c r="BS36" s="460"/>
      <c r="BT36" s="460"/>
      <c r="BU36" s="471"/>
    </row>
    <row r="37" spans="62:73">
      <c r="BJ37" s="466"/>
      <c r="BK37" s="467" t="s">
        <v>464</v>
      </c>
      <c r="BL37" s="460" t="s">
        <v>467</v>
      </c>
      <c r="BM37" s="460"/>
      <c r="BN37" s="460"/>
      <c r="BO37" s="460"/>
      <c r="BP37" s="460"/>
      <c r="BQ37" s="460"/>
      <c r="BR37" s="460"/>
      <c r="BS37" s="460"/>
      <c r="BT37" s="460"/>
      <c r="BU37" s="471"/>
    </row>
    <row r="38" spans="62:73">
      <c r="BJ38" s="466"/>
      <c r="BK38" s="460"/>
      <c r="BL38" s="7" t="s">
        <v>110</v>
      </c>
      <c r="BM38" s="7" t="s">
        <v>111</v>
      </c>
      <c r="BN38" s="7" t="s">
        <v>136</v>
      </c>
      <c r="BO38" s="7" t="s">
        <v>137</v>
      </c>
      <c r="BP38" s="7" t="s">
        <v>138</v>
      </c>
      <c r="BQ38" s="7" t="s">
        <v>139</v>
      </c>
      <c r="BR38" s="7" t="s">
        <v>319</v>
      </c>
      <c r="BS38" s="7" t="s">
        <v>320</v>
      </c>
      <c r="BT38" s="460"/>
      <c r="BU38" s="471"/>
    </row>
    <row r="39" spans="62:73">
      <c r="BJ39" s="466"/>
      <c r="BK39" s="460"/>
      <c r="BL39" s="477">
        <f>BI9</f>
        <v>2.7669999999999999</v>
      </c>
      <c r="BM39" s="477">
        <f t="shared" ref="BM39:BS39" si="1">BJ9</f>
        <v>2.7839999999999998</v>
      </c>
      <c r="BN39" s="477">
        <f t="shared" si="1"/>
        <v>2.7989999999999999</v>
      </c>
      <c r="BO39" s="477">
        <f t="shared" si="1"/>
        <v>2.8140000000000001</v>
      </c>
      <c r="BP39" s="477">
        <f t="shared" si="1"/>
        <v>2.831</v>
      </c>
      <c r="BQ39" s="477">
        <f t="shared" si="1"/>
        <v>2.847</v>
      </c>
      <c r="BR39" s="477">
        <f t="shared" si="1"/>
        <v>2.863</v>
      </c>
      <c r="BS39" s="477">
        <f t="shared" si="1"/>
        <v>2.88</v>
      </c>
      <c r="BT39" s="460"/>
      <c r="BU39" s="470">
        <f>AVERAGE(BL39:BS39)</f>
        <v>2.8231249999999997</v>
      </c>
    </row>
    <row r="40" spans="62:73">
      <c r="BJ40" s="466"/>
      <c r="BK40" s="460"/>
      <c r="BL40" s="460"/>
      <c r="BM40" s="460"/>
      <c r="BN40" s="460"/>
      <c r="BO40" s="460"/>
      <c r="BP40" s="460"/>
      <c r="BQ40" s="460"/>
      <c r="BR40" s="460"/>
      <c r="BS40" s="460"/>
      <c r="BT40" s="460"/>
      <c r="BU40" s="471"/>
    </row>
    <row r="41" spans="62:73">
      <c r="BJ41" s="466"/>
      <c r="BK41" s="460"/>
      <c r="BL41" s="460"/>
      <c r="BM41" s="460"/>
      <c r="BN41" s="460"/>
      <c r="BO41" s="460"/>
      <c r="BP41" s="460"/>
      <c r="BQ41" s="460"/>
      <c r="BR41" s="460"/>
      <c r="BS41" s="460"/>
      <c r="BT41" s="472" t="s">
        <v>26</v>
      </c>
      <c r="BU41" s="473">
        <f>(BU39-BU35)/BU35</f>
        <v>7.6809383045675458E-2</v>
      </c>
    </row>
    <row r="42" spans="62:73">
      <c r="BJ42" s="474"/>
      <c r="BK42" s="475"/>
      <c r="BL42" s="475"/>
      <c r="BM42" s="475"/>
      <c r="BN42" s="475"/>
      <c r="BO42" s="475"/>
      <c r="BP42" s="475"/>
      <c r="BQ42" s="475"/>
      <c r="BR42" s="475"/>
      <c r="BS42" s="475"/>
      <c r="BT42" s="475"/>
      <c r="BU42" s="476"/>
    </row>
  </sheetData>
  <mergeCells count="3">
    <mergeCell ref="A1:B1"/>
    <mergeCell ref="A2:B2"/>
    <mergeCell ref="A3:B3"/>
  </mergeCells>
  <pageMargins left="0.25" right="0.25" top="1" bottom="1" header="0.5" footer="0.5"/>
  <pageSetup scale="77" orientation="landscape" r:id="rId1"/>
  <headerFooter alignWithMargins="0">
    <oddFooter>&amp;R&amp;P of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X49"/>
  <sheetViews>
    <sheetView zoomScale="140" zoomScaleNormal="140" workbookViewId="0">
      <selection activeCell="F53" sqref="F53"/>
    </sheetView>
  </sheetViews>
  <sheetFormatPr defaultColWidth="8.5703125" defaultRowHeight="15"/>
  <sheetData>
    <row r="1" spans="1:24" s="485" customFormat="1" ht="9" customHeight="1">
      <c r="A1" s="2670" t="s">
        <v>482</v>
      </c>
      <c r="B1" s="2671"/>
      <c r="C1" s="2672"/>
      <c r="D1" s="2645" t="s">
        <v>483</v>
      </c>
      <c r="E1" s="2646"/>
      <c r="F1" s="2646"/>
      <c r="G1" s="2646"/>
      <c r="H1" s="2646"/>
      <c r="I1" s="2646"/>
      <c r="J1" s="2646"/>
      <c r="K1" s="2646"/>
      <c r="L1" s="2646"/>
      <c r="M1" s="2646"/>
      <c r="N1" s="2646"/>
      <c r="O1" s="2646"/>
      <c r="P1" s="2646"/>
      <c r="Q1" s="2646"/>
      <c r="R1" s="2646"/>
      <c r="S1" s="2646"/>
      <c r="T1" s="2646"/>
      <c r="U1" s="2661"/>
    </row>
    <row r="2" spans="1:24" s="485" customFormat="1" ht="9" customHeight="1">
      <c r="A2" s="2673"/>
      <c r="B2" s="2674"/>
      <c r="C2" s="2675"/>
      <c r="D2" s="2645" t="s">
        <v>484</v>
      </c>
      <c r="E2" s="2646"/>
      <c r="F2" s="2661"/>
      <c r="G2" s="2679" t="s">
        <v>485</v>
      </c>
      <c r="H2" s="2680"/>
      <c r="I2" s="2681"/>
      <c r="J2" s="2679" t="s">
        <v>486</v>
      </c>
      <c r="K2" s="2680"/>
      <c r="L2" s="2681"/>
      <c r="M2" s="2679" t="s">
        <v>487</v>
      </c>
      <c r="N2" s="2680"/>
      <c r="O2" s="2681"/>
      <c r="P2" s="2679" t="s">
        <v>488</v>
      </c>
      <c r="Q2" s="2680"/>
      <c r="R2" s="2681"/>
      <c r="S2" s="2679" t="s">
        <v>489</v>
      </c>
      <c r="T2" s="2680"/>
      <c r="U2" s="2681"/>
      <c r="V2" s="2679" t="s">
        <v>490</v>
      </c>
      <c r="W2" s="2680"/>
      <c r="X2" s="2681"/>
    </row>
    <row r="3" spans="1:24" s="485" customFormat="1" ht="9" customHeight="1">
      <c r="A3" s="2676"/>
      <c r="B3" s="2677"/>
      <c r="C3" s="2678"/>
      <c r="D3" s="486" t="s">
        <v>491</v>
      </c>
      <c r="E3" s="487" t="s">
        <v>492</v>
      </c>
      <c r="F3" s="488" t="s">
        <v>493</v>
      </c>
      <c r="G3" s="2682" t="s">
        <v>494</v>
      </c>
      <c r="H3" s="2683"/>
      <c r="I3" s="488" t="s">
        <v>493</v>
      </c>
      <c r="J3" s="2682" t="s">
        <v>494</v>
      </c>
      <c r="K3" s="2683"/>
      <c r="L3" s="489" t="s">
        <v>493</v>
      </c>
      <c r="M3" s="2682" t="s">
        <v>494</v>
      </c>
      <c r="N3" s="2683"/>
      <c r="O3" s="488" t="s">
        <v>493</v>
      </c>
      <c r="P3" s="2682" t="s">
        <v>494</v>
      </c>
      <c r="Q3" s="2683"/>
      <c r="R3" s="488" t="s">
        <v>493</v>
      </c>
      <c r="S3" s="2682" t="s">
        <v>494</v>
      </c>
      <c r="T3" s="2683"/>
      <c r="U3" s="490" t="s">
        <v>493</v>
      </c>
      <c r="V3" s="2682" t="s">
        <v>494</v>
      </c>
      <c r="W3" s="2683"/>
      <c r="X3" s="488" t="s">
        <v>493</v>
      </c>
    </row>
    <row r="4" spans="1:24" s="485" customFormat="1" ht="9" customHeight="1">
      <c r="A4" s="2662">
        <v>15433</v>
      </c>
      <c r="B4" s="2663"/>
      <c r="C4" s="489" t="s">
        <v>495</v>
      </c>
      <c r="D4" s="491"/>
      <c r="E4" s="492">
        <v>103.5</v>
      </c>
      <c r="F4" s="493">
        <v>103.5</v>
      </c>
      <c r="G4" s="491"/>
      <c r="H4" s="492">
        <v>102.4</v>
      </c>
      <c r="I4" s="493">
        <v>102.4</v>
      </c>
      <c r="J4" s="491"/>
      <c r="K4" s="494">
        <v>102.4</v>
      </c>
      <c r="L4" s="495">
        <v>102.4</v>
      </c>
      <c r="M4" s="491"/>
      <c r="N4" s="494">
        <v>103.3</v>
      </c>
      <c r="O4" s="493">
        <v>103.3</v>
      </c>
      <c r="P4" s="491"/>
      <c r="Q4" s="494">
        <v>99.8</v>
      </c>
      <c r="R4" s="493">
        <v>99.8</v>
      </c>
      <c r="S4" s="491"/>
      <c r="T4" s="492">
        <v>101.7</v>
      </c>
      <c r="U4" s="496">
        <v>101.7</v>
      </c>
      <c r="V4" s="491"/>
      <c r="W4" s="492">
        <v>99.8</v>
      </c>
      <c r="X4" s="493">
        <v>99.8</v>
      </c>
    </row>
    <row r="5" spans="1:24" s="485" customFormat="1" ht="9" customHeight="1">
      <c r="A5" s="2645" t="s">
        <v>496</v>
      </c>
      <c r="B5" s="2646"/>
      <c r="C5" s="489" t="s">
        <v>497</v>
      </c>
      <c r="D5" s="497">
        <v>100.8</v>
      </c>
      <c r="E5" s="492">
        <v>104</v>
      </c>
      <c r="F5" s="493">
        <v>103.1</v>
      </c>
      <c r="G5" s="498">
        <v>94.5</v>
      </c>
      <c r="H5" s="492">
        <v>104.5</v>
      </c>
      <c r="I5" s="493">
        <v>101.5</v>
      </c>
      <c r="J5" s="499">
        <v>84.8</v>
      </c>
      <c r="K5" s="494">
        <v>104.5</v>
      </c>
      <c r="L5" s="500">
        <v>98.5</v>
      </c>
      <c r="M5" s="499">
        <v>93.5</v>
      </c>
      <c r="N5" s="494">
        <v>104.6</v>
      </c>
      <c r="O5" s="493">
        <v>101.2</v>
      </c>
      <c r="P5" s="497">
        <v>85.2</v>
      </c>
      <c r="Q5" s="494">
        <v>104.4</v>
      </c>
      <c r="R5" s="493">
        <v>98.6</v>
      </c>
      <c r="S5" s="499">
        <v>81.900000000000006</v>
      </c>
      <c r="T5" s="492">
        <v>104.2</v>
      </c>
      <c r="U5" s="496">
        <v>97.5</v>
      </c>
      <c r="V5" s="497">
        <v>88.8</v>
      </c>
      <c r="W5" s="492">
        <v>103.4</v>
      </c>
      <c r="X5" s="493">
        <v>98.9</v>
      </c>
    </row>
    <row r="6" spans="1:24" s="485" customFormat="1" ht="8.1" customHeight="1">
      <c r="A6" s="2647">
        <v>310</v>
      </c>
      <c r="B6" s="2648"/>
      <c r="C6" s="501" t="s">
        <v>498</v>
      </c>
      <c r="D6" s="502">
        <v>102.6</v>
      </c>
      <c r="E6" s="503">
        <v>140.30000000000001</v>
      </c>
      <c r="F6" s="504">
        <v>135.19999999999999</v>
      </c>
      <c r="G6" s="505">
        <v>100.7</v>
      </c>
      <c r="H6" s="503">
        <v>126.4</v>
      </c>
      <c r="I6" s="504">
        <v>123</v>
      </c>
      <c r="J6" s="506">
        <v>98.2</v>
      </c>
      <c r="K6" s="507">
        <v>126</v>
      </c>
      <c r="L6" s="508">
        <v>122.3</v>
      </c>
      <c r="M6" s="506">
        <v>100.7</v>
      </c>
      <c r="N6" s="507">
        <v>126.3</v>
      </c>
      <c r="O6" s="504">
        <v>122.8</v>
      </c>
      <c r="P6" s="502">
        <v>94.8</v>
      </c>
      <c r="Q6" s="507">
        <v>126.2</v>
      </c>
      <c r="R6" s="504">
        <v>122</v>
      </c>
      <c r="S6" s="506">
        <v>102.6</v>
      </c>
      <c r="T6" s="503">
        <v>126.5</v>
      </c>
      <c r="U6" s="509">
        <v>123.3</v>
      </c>
      <c r="V6" s="502">
        <v>93.1</v>
      </c>
      <c r="W6" s="503">
        <v>112.1</v>
      </c>
      <c r="X6" s="504">
        <v>109.5</v>
      </c>
    </row>
    <row r="7" spans="1:24" s="485" customFormat="1" ht="9" customHeight="1">
      <c r="A7" s="2651">
        <v>320</v>
      </c>
      <c r="B7" s="2652"/>
      <c r="C7" s="510" t="s">
        <v>499</v>
      </c>
      <c r="D7" s="511">
        <v>103.3</v>
      </c>
      <c r="E7" s="512">
        <v>146.69999999999999</v>
      </c>
      <c r="F7" s="513">
        <v>125.4</v>
      </c>
      <c r="G7" s="514">
        <v>102.6</v>
      </c>
      <c r="H7" s="512">
        <v>146</v>
      </c>
      <c r="I7" s="513">
        <v>124.6</v>
      </c>
      <c r="J7" s="515">
        <v>82.3</v>
      </c>
      <c r="K7" s="516">
        <v>123.1</v>
      </c>
      <c r="L7" s="517">
        <v>103</v>
      </c>
      <c r="M7" s="515">
        <v>102.6</v>
      </c>
      <c r="N7" s="516">
        <v>123.2</v>
      </c>
      <c r="O7" s="513">
        <v>113</v>
      </c>
      <c r="P7" s="511">
        <v>86.3</v>
      </c>
      <c r="Q7" s="516">
        <v>145.6</v>
      </c>
      <c r="R7" s="513">
        <v>116.4</v>
      </c>
      <c r="S7" s="515">
        <v>86.3</v>
      </c>
      <c r="T7" s="512">
        <v>146.30000000000001</v>
      </c>
      <c r="U7" s="518">
        <v>116.8</v>
      </c>
      <c r="V7" s="511">
        <v>90</v>
      </c>
      <c r="W7" s="512">
        <v>119.7</v>
      </c>
      <c r="X7" s="513">
        <v>105.1</v>
      </c>
    </row>
    <row r="8" spans="1:24" s="485" customFormat="1" ht="9" customHeight="1">
      <c r="A8" s="2664">
        <v>330</v>
      </c>
      <c r="B8" s="2665"/>
      <c r="C8" s="519" t="s">
        <v>500</v>
      </c>
      <c r="D8" s="520">
        <v>97.1</v>
      </c>
      <c r="E8" s="521">
        <v>141</v>
      </c>
      <c r="F8" s="522">
        <v>113.8</v>
      </c>
      <c r="G8" s="523">
        <v>91.5</v>
      </c>
      <c r="H8" s="521">
        <v>137.5</v>
      </c>
      <c r="I8" s="522">
        <v>109</v>
      </c>
      <c r="J8" s="524">
        <v>76.099999999999994</v>
      </c>
      <c r="K8" s="525">
        <v>137.30000000000001</v>
      </c>
      <c r="L8" s="526">
        <v>99.4</v>
      </c>
      <c r="M8" s="524">
        <v>88.5</v>
      </c>
      <c r="N8" s="525">
        <v>137.80000000000001</v>
      </c>
      <c r="O8" s="522">
        <v>107.3</v>
      </c>
      <c r="P8" s="520">
        <v>79.5</v>
      </c>
      <c r="Q8" s="525">
        <v>137.4</v>
      </c>
      <c r="R8" s="522">
        <v>101.6</v>
      </c>
      <c r="S8" s="524">
        <v>79.5</v>
      </c>
      <c r="T8" s="521">
        <v>137.6</v>
      </c>
      <c r="U8" s="527">
        <v>101.6</v>
      </c>
      <c r="V8" s="520">
        <v>81.7</v>
      </c>
      <c r="W8" s="521">
        <v>126.2</v>
      </c>
      <c r="X8" s="522">
        <v>98.7</v>
      </c>
    </row>
    <row r="9" spans="1:24" s="485" customFormat="1" ht="9" customHeight="1">
      <c r="A9" s="2655">
        <v>3</v>
      </c>
      <c r="B9" s="2656"/>
      <c r="C9" s="489" t="s">
        <v>501</v>
      </c>
      <c r="D9" s="497">
        <v>99.6</v>
      </c>
      <c r="E9" s="492">
        <v>140.9</v>
      </c>
      <c r="F9" s="493">
        <v>118.8</v>
      </c>
      <c r="G9" s="498">
        <v>95</v>
      </c>
      <c r="H9" s="492">
        <v>133.19999999999999</v>
      </c>
      <c r="I9" s="493">
        <v>112.7</v>
      </c>
      <c r="J9" s="499">
        <v>80.5</v>
      </c>
      <c r="K9" s="494">
        <v>128.9</v>
      </c>
      <c r="L9" s="495">
        <v>102.9</v>
      </c>
      <c r="M9" s="499">
        <v>93.6</v>
      </c>
      <c r="N9" s="494">
        <v>129.19999999999999</v>
      </c>
      <c r="O9" s="493">
        <v>110.1</v>
      </c>
      <c r="P9" s="497">
        <v>79.5</v>
      </c>
      <c r="Q9" s="494">
        <v>132.80000000000001</v>
      </c>
      <c r="R9" s="493">
        <v>104.2</v>
      </c>
      <c r="S9" s="499">
        <v>82.1</v>
      </c>
      <c r="T9" s="492">
        <v>133.30000000000001</v>
      </c>
      <c r="U9" s="496">
        <v>105.8</v>
      </c>
      <c r="V9" s="497">
        <v>82.9</v>
      </c>
      <c r="W9" s="492">
        <v>117.9</v>
      </c>
      <c r="X9" s="493">
        <v>99.1</v>
      </c>
    </row>
    <row r="10" spans="1:24" s="485" customFormat="1" ht="8.1" customHeight="1">
      <c r="A10" s="2666">
        <v>4</v>
      </c>
      <c r="B10" s="2667"/>
      <c r="C10" s="528" t="s">
        <v>502</v>
      </c>
      <c r="D10" s="502">
        <v>105.5</v>
      </c>
      <c r="E10" s="503">
        <v>149.1</v>
      </c>
      <c r="F10" s="504">
        <v>132.4</v>
      </c>
      <c r="G10" s="505">
        <v>102.6</v>
      </c>
      <c r="H10" s="503">
        <v>133.6</v>
      </c>
      <c r="I10" s="504">
        <v>121.7</v>
      </c>
      <c r="J10" s="506">
        <v>95.5</v>
      </c>
      <c r="K10" s="507">
        <v>141.30000000000001</v>
      </c>
      <c r="L10" s="508">
        <v>123.7</v>
      </c>
      <c r="M10" s="506">
        <v>103.3</v>
      </c>
      <c r="N10" s="507">
        <v>141.30000000000001</v>
      </c>
      <c r="O10" s="504">
        <v>126.7</v>
      </c>
      <c r="P10" s="502">
        <v>103.3</v>
      </c>
      <c r="Q10" s="507">
        <v>137.80000000000001</v>
      </c>
      <c r="R10" s="504">
        <v>124.6</v>
      </c>
      <c r="S10" s="506">
        <v>110.1</v>
      </c>
      <c r="T10" s="503">
        <v>138.4</v>
      </c>
      <c r="U10" s="509">
        <v>127.5</v>
      </c>
      <c r="V10" s="502">
        <v>108.2</v>
      </c>
      <c r="W10" s="503">
        <v>122.4</v>
      </c>
      <c r="X10" s="504">
        <v>117</v>
      </c>
    </row>
    <row r="11" spans="1:24" s="485" customFormat="1" ht="9" customHeight="1">
      <c r="A11" s="2668">
        <v>5</v>
      </c>
      <c r="B11" s="2669"/>
      <c r="C11" s="529" t="s">
        <v>503</v>
      </c>
      <c r="D11" s="511">
        <v>96.6</v>
      </c>
      <c r="E11" s="512">
        <v>131.69999999999999</v>
      </c>
      <c r="F11" s="513">
        <v>107.3</v>
      </c>
      <c r="G11" s="530">
        <v>93.1</v>
      </c>
      <c r="H11" s="512">
        <v>128.1</v>
      </c>
      <c r="I11" s="513">
        <v>103.8</v>
      </c>
      <c r="J11" s="515">
        <v>88.1</v>
      </c>
      <c r="K11" s="516">
        <v>118.8</v>
      </c>
      <c r="L11" s="531">
        <v>97.5</v>
      </c>
      <c r="M11" s="515">
        <v>93.1</v>
      </c>
      <c r="N11" s="516">
        <v>119.2</v>
      </c>
      <c r="O11" s="513">
        <v>101.1</v>
      </c>
      <c r="P11" s="511">
        <v>90.6</v>
      </c>
      <c r="Q11" s="516">
        <v>124.8</v>
      </c>
      <c r="R11" s="513">
        <v>101.1</v>
      </c>
      <c r="S11" s="515">
        <v>90.6</v>
      </c>
      <c r="T11" s="512">
        <v>128.4</v>
      </c>
      <c r="U11" s="518">
        <v>102.2</v>
      </c>
      <c r="V11" s="511">
        <v>92.9</v>
      </c>
      <c r="W11" s="512">
        <v>110.7</v>
      </c>
      <c r="X11" s="513">
        <v>98.4</v>
      </c>
    </row>
    <row r="12" spans="1:24" s="485" customFormat="1" ht="9" customHeight="1">
      <c r="A12" s="2668">
        <v>6</v>
      </c>
      <c r="B12" s="2669"/>
      <c r="C12" s="529" t="s">
        <v>504</v>
      </c>
      <c r="D12" s="511">
        <v>104.5</v>
      </c>
      <c r="E12" s="512">
        <v>141.19999999999999</v>
      </c>
      <c r="F12" s="513">
        <v>124.6</v>
      </c>
      <c r="G12" s="514">
        <v>103.8</v>
      </c>
      <c r="H12" s="512">
        <v>126</v>
      </c>
      <c r="I12" s="513">
        <v>116</v>
      </c>
      <c r="J12" s="515">
        <v>100.9</v>
      </c>
      <c r="K12" s="516">
        <v>126</v>
      </c>
      <c r="L12" s="517">
        <v>114.7</v>
      </c>
      <c r="M12" s="515">
        <v>103.8</v>
      </c>
      <c r="N12" s="516">
        <v>126.3</v>
      </c>
      <c r="O12" s="513">
        <v>116.2</v>
      </c>
      <c r="P12" s="511">
        <v>100.5</v>
      </c>
      <c r="Q12" s="516">
        <v>126</v>
      </c>
      <c r="R12" s="513">
        <v>114.6</v>
      </c>
      <c r="S12" s="515">
        <v>106.7</v>
      </c>
      <c r="T12" s="512">
        <v>125.8</v>
      </c>
      <c r="U12" s="518">
        <v>117.2</v>
      </c>
      <c r="V12" s="511">
        <v>98.6</v>
      </c>
      <c r="W12" s="512">
        <v>110.5</v>
      </c>
      <c r="X12" s="513">
        <v>105.1</v>
      </c>
    </row>
    <row r="13" spans="1:24" s="485" customFormat="1" ht="9" customHeight="1">
      <c r="A13" s="2668">
        <v>7</v>
      </c>
      <c r="B13" s="2669"/>
      <c r="C13" s="529" t="s">
        <v>505</v>
      </c>
      <c r="D13" s="511">
        <v>99.7</v>
      </c>
      <c r="E13" s="512">
        <v>137.80000000000001</v>
      </c>
      <c r="F13" s="513">
        <v>115.5</v>
      </c>
      <c r="G13" s="514">
        <v>100.5</v>
      </c>
      <c r="H13" s="512">
        <v>129.6</v>
      </c>
      <c r="I13" s="513">
        <v>112.6</v>
      </c>
      <c r="J13" s="515">
        <v>99.4</v>
      </c>
      <c r="K13" s="516">
        <v>129.19999999999999</v>
      </c>
      <c r="L13" s="517">
        <v>111.7</v>
      </c>
      <c r="M13" s="515">
        <v>100.3</v>
      </c>
      <c r="N13" s="516">
        <v>128.5</v>
      </c>
      <c r="O13" s="513">
        <v>112</v>
      </c>
      <c r="P13" s="511">
        <v>99.7</v>
      </c>
      <c r="Q13" s="516">
        <v>125.7</v>
      </c>
      <c r="R13" s="513">
        <v>110.5</v>
      </c>
      <c r="S13" s="515">
        <v>99.8</v>
      </c>
      <c r="T13" s="512">
        <v>130.80000000000001</v>
      </c>
      <c r="U13" s="518">
        <v>112.7</v>
      </c>
      <c r="V13" s="511">
        <v>99.8</v>
      </c>
      <c r="W13" s="512">
        <v>112</v>
      </c>
      <c r="X13" s="513">
        <v>104.8</v>
      </c>
    </row>
    <row r="14" spans="1:24" s="485" customFormat="1" ht="9" customHeight="1">
      <c r="A14" s="2659">
        <v>8</v>
      </c>
      <c r="B14" s="2660"/>
      <c r="C14" s="532" t="s">
        <v>506</v>
      </c>
      <c r="D14" s="520">
        <v>99.9</v>
      </c>
      <c r="E14" s="521">
        <v>145.1</v>
      </c>
      <c r="F14" s="522">
        <v>110.1</v>
      </c>
      <c r="G14" s="523">
        <v>99.6</v>
      </c>
      <c r="H14" s="521">
        <v>134</v>
      </c>
      <c r="I14" s="522">
        <v>107.4</v>
      </c>
      <c r="J14" s="524">
        <v>95.4</v>
      </c>
      <c r="K14" s="525">
        <v>124</v>
      </c>
      <c r="L14" s="533">
        <v>101.9</v>
      </c>
      <c r="M14" s="524">
        <v>99.6</v>
      </c>
      <c r="N14" s="525">
        <v>124.2</v>
      </c>
      <c r="O14" s="522">
        <v>105.1</v>
      </c>
      <c r="P14" s="520">
        <v>100.4</v>
      </c>
      <c r="Q14" s="525">
        <v>133.80000000000001</v>
      </c>
      <c r="R14" s="522">
        <v>108</v>
      </c>
      <c r="S14" s="524">
        <v>91.2</v>
      </c>
      <c r="T14" s="521">
        <v>133.9</v>
      </c>
      <c r="U14" s="527">
        <v>100.8</v>
      </c>
      <c r="V14" s="520">
        <v>100.8</v>
      </c>
      <c r="W14" s="521">
        <v>114.9</v>
      </c>
      <c r="X14" s="522">
        <v>104</v>
      </c>
    </row>
    <row r="15" spans="1:24" s="485" customFormat="1" ht="8.1" customHeight="1">
      <c r="A15" s="2647">
        <v>920</v>
      </c>
      <c r="B15" s="2648"/>
      <c r="C15" s="501" t="s">
        <v>507</v>
      </c>
      <c r="D15" s="502">
        <v>103.5</v>
      </c>
      <c r="E15" s="503">
        <v>142</v>
      </c>
      <c r="F15" s="504">
        <v>129.1</v>
      </c>
      <c r="G15" s="534">
        <v>91.7</v>
      </c>
      <c r="H15" s="503">
        <v>126.3</v>
      </c>
      <c r="I15" s="504">
        <v>114.7</v>
      </c>
      <c r="J15" s="506">
        <v>87.8</v>
      </c>
      <c r="K15" s="507">
        <v>126.3</v>
      </c>
      <c r="L15" s="508">
        <v>113.4</v>
      </c>
      <c r="M15" s="506">
        <v>91.7</v>
      </c>
      <c r="N15" s="507">
        <v>126.3</v>
      </c>
      <c r="O15" s="504">
        <v>114.7</v>
      </c>
      <c r="P15" s="502">
        <v>108.3</v>
      </c>
      <c r="Q15" s="507">
        <v>126.3</v>
      </c>
      <c r="R15" s="504">
        <v>120.3</v>
      </c>
      <c r="S15" s="506">
        <v>111</v>
      </c>
      <c r="T15" s="503">
        <v>126.3</v>
      </c>
      <c r="U15" s="509">
        <v>121.2</v>
      </c>
      <c r="V15" s="502">
        <v>109.3</v>
      </c>
      <c r="W15" s="503">
        <v>110.3</v>
      </c>
      <c r="X15" s="504">
        <v>110</v>
      </c>
    </row>
    <row r="16" spans="1:24" s="485" customFormat="1" ht="9" customHeight="1">
      <c r="A16" s="2649" t="s">
        <v>508</v>
      </c>
      <c r="B16" s="2650"/>
      <c r="C16" s="510" t="s">
        <v>509</v>
      </c>
      <c r="D16" s="511">
        <v>102</v>
      </c>
      <c r="E16" s="512">
        <v>142</v>
      </c>
      <c r="F16" s="513">
        <v>128.6</v>
      </c>
      <c r="G16" s="514">
        <v>104.9</v>
      </c>
      <c r="H16" s="512">
        <v>126.3</v>
      </c>
      <c r="I16" s="513">
        <v>119.1</v>
      </c>
      <c r="J16" s="515">
        <v>91.5</v>
      </c>
      <c r="K16" s="516">
        <v>126.3</v>
      </c>
      <c r="L16" s="517">
        <v>114.7</v>
      </c>
      <c r="M16" s="515">
        <v>104.9</v>
      </c>
      <c r="N16" s="516">
        <v>126.3</v>
      </c>
      <c r="O16" s="513">
        <v>119.1</v>
      </c>
      <c r="P16" s="511">
        <v>90.4</v>
      </c>
      <c r="Q16" s="516">
        <v>126.3</v>
      </c>
      <c r="R16" s="513">
        <v>114.3</v>
      </c>
      <c r="S16" s="515">
        <v>90.4</v>
      </c>
      <c r="T16" s="512">
        <v>126.3</v>
      </c>
      <c r="U16" s="518">
        <v>114.3</v>
      </c>
      <c r="V16" s="511">
        <v>98.9</v>
      </c>
      <c r="W16" s="512">
        <v>110.3</v>
      </c>
      <c r="X16" s="513">
        <v>106.5</v>
      </c>
    </row>
    <row r="17" spans="1:24" s="485" customFormat="1" ht="9" customHeight="1">
      <c r="A17" s="2651">
        <v>960</v>
      </c>
      <c r="B17" s="2652"/>
      <c r="C17" s="510" t="s">
        <v>510</v>
      </c>
      <c r="D17" s="511">
        <v>97.9</v>
      </c>
      <c r="E17" s="512">
        <v>161</v>
      </c>
      <c r="F17" s="513">
        <v>116.2</v>
      </c>
      <c r="G17" s="530">
        <v>95.1</v>
      </c>
      <c r="H17" s="512">
        <v>161</v>
      </c>
      <c r="I17" s="513">
        <v>114.2</v>
      </c>
      <c r="J17" s="515">
        <v>92.9</v>
      </c>
      <c r="K17" s="516">
        <v>161</v>
      </c>
      <c r="L17" s="517">
        <v>112.6</v>
      </c>
      <c r="M17" s="515">
        <v>94.1</v>
      </c>
      <c r="N17" s="516">
        <v>161</v>
      </c>
      <c r="O17" s="513">
        <v>113.5</v>
      </c>
      <c r="P17" s="511">
        <v>91.5</v>
      </c>
      <c r="Q17" s="516">
        <v>161</v>
      </c>
      <c r="R17" s="513">
        <v>111.7</v>
      </c>
      <c r="S17" s="515">
        <v>93.4</v>
      </c>
      <c r="T17" s="512">
        <v>161</v>
      </c>
      <c r="U17" s="518">
        <v>113</v>
      </c>
      <c r="V17" s="511">
        <v>90.7</v>
      </c>
      <c r="W17" s="512">
        <v>133.30000000000001</v>
      </c>
      <c r="X17" s="513">
        <v>103.1</v>
      </c>
    </row>
    <row r="18" spans="1:24" s="485" customFormat="1" ht="9" customHeight="1">
      <c r="A18" s="2653" t="s">
        <v>511</v>
      </c>
      <c r="B18" s="2654"/>
      <c r="C18" s="519" t="s">
        <v>512</v>
      </c>
      <c r="D18" s="520">
        <v>101.8</v>
      </c>
      <c r="E18" s="521">
        <v>156.9</v>
      </c>
      <c r="F18" s="522">
        <v>134.19999999999999</v>
      </c>
      <c r="G18" s="523">
        <v>93.9</v>
      </c>
      <c r="H18" s="521">
        <v>140</v>
      </c>
      <c r="I18" s="522">
        <v>120.9</v>
      </c>
      <c r="J18" s="524">
        <v>93.9</v>
      </c>
      <c r="K18" s="525">
        <v>140</v>
      </c>
      <c r="L18" s="533">
        <v>120.9</v>
      </c>
      <c r="M18" s="524">
        <v>93.9</v>
      </c>
      <c r="N18" s="525">
        <v>140</v>
      </c>
      <c r="O18" s="522">
        <v>120.9</v>
      </c>
      <c r="P18" s="520">
        <v>90.7</v>
      </c>
      <c r="Q18" s="525">
        <v>140</v>
      </c>
      <c r="R18" s="522">
        <v>119.6</v>
      </c>
      <c r="S18" s="524">
        <v>91.6</v>
      </c>
      <c r="T18" s="521">
        <v>140</v>
      </c>
      <c r="U18" s="527">
        <v>120</v>
      </c>
      <c r="V18" s="520">
        <v>90.7</v>
      </c>
      <c r="W18" s="521">
        <v>116.4</v>
      </c>
      <c r="X18" s="522">
        <v>105.8</v>
      </c>
    </row>
    <row r="19" spans="1:24" s="485" customFormat="1" ht="9" customHeight="1">
      <c r="A19" s="2655">
        <v>9</v>
      </c>
      <c r="B19" s="2656"/>
      <c r="C19" s="489" t="s">
        <v>513</v>
      </c>
      <c r="D19" s="497">
        <v>100.4</v>
      </c>
      <c r="E19" s="492">
        <v>146.80000000000001</v>
      </c>
      <c r="F19" s="493">
        <v>125.8</v>
      </c>
      <c r="G19" s="498">
        <v>94.5</v>
      </c>
      <c r="H19" s="492">
        <v>134.9</v>
      </c>
      <c r="I19" s="493">
        <v>116.6</v>
      </c>
      <c r="J19" s="499">
        <v>90</v>
      </c>
      <c r="K19" s="494">
        <v>134.9</v>
      </c>
      <c r="L19" s="495">
        <v>114.5</v>
      </c>
      <c r="M19" s="499">
        <v>94.3</v>
      </c>
      <c r="N19" s="494">
        <v>135.1</v>
      </c>
      <c r="O19" s="493">
        <v>116.5</v>
      </c>
      <c r="P19" s="497">
        <v>89.8</v>
      </c>
      <c r="Q19" s="494">
        <v>134.9</v>
      </c>
      <c r="R19" s="493">
        <v>114.4</v>
      </c>
      <c r="S19" s="499">
        <v>90.5</v>
      </c>
      <c r="T19" s="492">
        <v>134.69999999999999</v>
      </c>
      <c r="U19" s="496">
        <v>114.7</v>
      </c>
      <c r="V19" s="497">
        <v>91.7</v>
      </c>
      <c r="W19" s="492">
        <v>116.7</v>
      </c>
      <c r="X19" s="493">
        <v>105.4</v>
      </c>
    </row>
    <row r="20" spans="1:24" s="485" customFormat="1" ht="8.1" customHeight="1">
      <c r="A20" s="2657" t="s">
        <v>514</v>
      </c>
      <c r="B20" s="2658"/>
      <c r="C20" s="528" t="s">
        <v>515</v>
      </c>
      <c r="D20" s="502">
        <v>100</v>
      </c>
      <c r="E20" s="503">
        <v>117.2</v>
      </c>
      <c r="F20" s="504">
        <v>103.9</v>
      </c>
      <c r="G20" s="505">
        <v>100</v>
      </c>
      <c r="H20" s="503">
        <v>114</v>
      </c>
      <c r="I20" s="504">
        <v>103.2</v>
      </c>
      <c r="J20" s="506">
        <v>100</v>
      </c>
      <c r="K20" s="507">
        <v>114</v>
      </c>
      <c r="L20" s="508">
        <v>103.2</v>
      </c>
      <c r="M20" s="506">
        <v>100</v>
      </c>
      <c r="N20" s="507">
        <v>114.6</v>
      </c>
      <c r="O20" s="504">
        <v>103.3</v>
      </c>
      <c r="P20" s="502">
        <v>100</v>
      </c>
      <c r="Q20" s="507">
        <v>108.6</v>
      </c>
      <c r="R20" s="504">
        <v>102</v>
      </c>
      <c r="S20" s="506">
        <v>100</v>
      </c>
      <c r="T20" s="503">
        <v>113.6</v>
      </c>
      <c r="U20" s="509">
        <v>103.1</v>
      </c>
      <c r="V20" s="502">
        <v>100</v>
      </c>
      <c r="W20" s="503">
        <v>106</v>
      </c>
      <c r="X20" s="504">
        <v>101.4</v>
      </c>
    </row>
    <row r="21" spans="1:24" s="485" customFormat="1" ht="9" customHeight="1">
      <c r="A21" s="2641" t="s">
        <v>516</v>
      </c>
      <c r="B21" s="2642"/>
      <c r="C21" s="529" t="s">
        <v>517</v>
      </c>
      <c r="D21" s="511">
        <v>100.1</v>
      </c>
      <c r="E21" s="512">
        <v>126.4</v>
      </c>
      <c r="F21" s="513">
        <v>111.7</v>
      </c>
      <c r="G21" s="514">
        <v>100.3</v>
      </c>
      <c r="H21" s="512">
        <v>107.6</v>
      </c>
      <c r="I21" s="513">
        <v>103.6</v>
      </c>
      <c r="J21" s="515">
        <v>96.8</v>
      </c>
      <c r="K21" s="516">
        <v>107.4</v>
      </c>
      <c r="L21" s="517">
        <v>101.5</v>
      </c>
      <c r="M21" s="515">
        <v>100.3</v>
      </c>
      <c r="N21" s="516">
        <v>107.4</v>
      </c>
      <c r="O21" s="513">
        <v>103.5</v>
      </c>
      <c r="P21" s="511">
        <v>96.9</v>
      </c>
      <c r="Q21" s="516">
        <v>108.6</v>
      </c>
      <c r="R21" s="513">
        <v>102.1</v>
      </c>
      <c r="S21" s="515">
        <v>96.9</v>
      </c>
      <c r="T21" s="512">
        <v>121.6</v>
      </c>
      <c r="U21" s="518">
        <v>107.9</v>
      </c>
      <c r="V21" s="511">
        <v>96.9</v>
      </c>
      <c r="W21" s="512">
        <v>100.5</v>
      </c>
      <c r="X21" s="513">
        <v>98.5</v>
      </c>
    </row>
    <row r="22" spans="1:24" s="485" customFormat="1" ht="9" customHeight="1">
      <c r="A22" s="2643" t="s">
        <v>518</v>
      </c>
      <c r="B22" s="2644"/>
      <c r="C22" s="532" t="s">
        <v>519</v>
      </c>
      <c r="D22" s="520">
        <v>101.3</v>
      </c>
      <c r="E22" s="521">
        <v>129.4</v>
      </c>
      <c r="F22" s="522">
        <v>116.2</v>
      </c>
      <c r="G22" s="523">
        <v>99.8</v>
      </c>
      <c r="H22" s="521">
        <v>103</v>
      </c>
      <c r="I22" s="522">
        <v>101.5</v>
      </c>
      <c r="J22" s="524">
        <v>97</v>
      </c>
      <c r="K22" s="525">
        <v>103</v>
      </c>
      <c r="L22" s="533">
        <v>100.2</v>
      </c>
      <c r="M22" s="524">
        <v>99.7</v>
      </c>
      <c r="N22" s="525">
        <v>103</v>
      </c>
      <c r="O22" s="522">
        <v>101.4</v>
      </c>
      <c r="P22" s="520">
        <v>100</v>
      </c>
      <c r="Q22" s="525">
        <v>100.7</v>
      </c>
      <c r="R22" s="522">
        <v>100.4</v>
      </c>
      <c r="S22" s="524">
        <v>96.6</v>
      </c>
      <c r="T22" s="521">
        <v>122.2</v>
      </c>
      <c r="U22" s="527">
        <v>110.2</v>
      </c>
      <c r="V22" s="520">
        <v>100</v>
      </c>
      <c r="W22" s="521">
        <v>97.7</v>
      </c>
      <c r="X22" s="522">
        <v>98.8</v>
      </c>
    </row>
    <row r="23" spans="1:24" s="485" customFormat="1" ht="10.35" customHeight="1">
      <c r="A23" s="2645" t="s">
        <v>520</v>
      </c>
      <c r="B23" s="2646"/>
      <c r="C23" s="489" t="s">
        <v>521</v>
      </c>
      <c r="D23" s="497">
        <v>99.9</v>
      </c>
      <c r="E23" s="492">
        <v>133.4</v>
      </c>
      <c r="F23" s="493">
        <v>114.7</v>
      </c>
      <c r="G23" s="498">
        <v>97.8</v>
      </c>
      <c r="H23" s="492">
        <v>120.3</v>
      </c>
      <c r="I23" s="493">
        <v>107.7</v>
      </c>
      <c r="J23" s="499">
        <v>92.6</v>
      </c>
      <c r="K23" s="494">
        <v>119.2</v>
      </c>
      <c r="L23" s="495">
        <v>104.3</v>
      </c>
      <c r="M23" s="499">
        <v>97.6</v>
      </c>
      <c r="N23" s="494">
        <v>119.3</v>
      </c>
      <c r="O23" s="493">
        <v>107.2</v>
      </c>
      <c r="P23" s="497">
        <v>94.2</v>
      </c>
      <c r="Q23" s="494">
        <v>120</v>
      </c>
      <c r="R23" s="493">
        <v>105.6</v>
      </c>
      <c r="S23" s="499">
        <v>93.5</v>
      </c>
      <c r="T23" s="492">
        <v>126.5</v>
      </c>
      <c r="U23" s="496">
        <v>108.1</v>
      </c>
      <c r="V23" s="497">
        <v>95.5</v>
      </c>
      <c r="W23" s="492">
        <v>109.1</v>
      </c>
      <c r="X23" s="493">
        <v>101.5</v>
      </c>
    </row>
    <row r="24" spans="1:24" s="485" customFormat="1" ht="10.35" customHeight="1">
      <c r="A24" s="2670" t="s">
        <v>482</v>
      </c>
      <c r="B24" s="2671"/>
      <c r="C24" s="2672"/>
      <c r="D24" s="2645" t="s">
        <v>483</v>
      </c>
      <c r="E24" s="2646"/>
      <c r="F24" s="2646"/>
      <c r="G24" s="2646"/>
      <c r="H24" s="2646"/>
      <c r="I24" s="2646"/>
      <c r="J24" s="2646"/>
      <c r="K24" s="2646"/>
      <c r="L24" s="2646"/>
      <c r="M24" s="2646"/>
      <c r="N24" s="2646"/>
      <c r="O24" s="2646"/>
      <c r="P24" s="2646"/>
      <c r="Q24" s="2646"/>
      <c r="R24" s="2646"/>
      <c r="S24" s="2646"/>
      <c r="T24" s="2646"/>
      <c r="U24" s="2661"/>
    </row>
    <row r="25" spans="1:24" s="485" customFormat="1" ht="9" customHeight="1">
      <c r="A25" s="2673"/>
      <c r="B25" s="2674"/>
      <c r="C25" s="2675"/>
      <c r="D25" s="2645" t="s">
        <v>522</v>
      </c>
      <c r="E25" s="2646"/>
      <c r="F25" s="2661"/>
      <c r="G25" s="2679" t="s">
        <v>523</v>
      </c>
      <c r="H25" s="2680"/>
      <c r="I25" s="2681"/>
      <c r="J25" s="2645" t="s">
        <v>524</v>
      </c>
      <c r="K25" s="2646"/>
      <c r="L25" s="2661"/>
      <c r="M25" s="2679" t="s">
        <v>525</v>
      </c>
      <c r="N25" s="2680"/>
      <c r="O25" s="2681"/>
      <c r="P25" s="2679" t="s">
        <v>526</v>
      </c>
      <c r="Q25" s="2680"/>
      <c r="R25" s="2681"/>
      <c r="S25" s="2679" t="s">
        <v>527</v>
      </c>
      <c r="T25" s="2680"/>
      <c r="U25" s="2681"/>
      <c r="V25" s="2645" t="s">
        <v>528</v>
      </c>
      <c r="W25" s="2646"/>
      <c r="X25" s="2661"/>
    </row>
    <row r="26" spans="1:24" s="485" customFormat="1" ht="9" customHeight="1">
      <c r="A26" s="2676"/>
      <c r="B26" s="2677"/>
      <c r="C26" s="2678"/>
      <c r="D26" s="535" t="s">
        <v>491</v>
      </c>
      <c r="E26" s="487" t="s">
        <v>492</v>
      </c>
      <c r="F26" s="488" t="s">
        <v>493</v>
      </c>
      <c r="G26" s="536" t="s">
        <v>491</v>
      </c>
      <c r="H26" s="537" t="s">
        <v>492</v>
      </c>
      <c r="I26" s="489" t="s">
        <v>493</v>
      </c>
      <c r="J26" s="536" t="s">
        <v>491</v>
      </c>
      <c r="K26" s="537" t="s">
        <v>492</v>
      </c>
      <c r="L26" s="488" t="s">
        <v>493</v>
      </c>
      <c r="M26" s="486" t="s">
        <v>491</v>
      </c>
      <c r="N26" s="537" t="s">
        <v>492</v>
      </c>
      <c r="O26" s="488" t="s">
        <v>493</v>
      </c>
      <c r="P26" s="536" t="s">
        <v>491</v>
      </c>
      <c r="Q26" s="487" t="s">
        <v>492</v>
      </c>
      <c r="R26" s="490" t="s">
        <v>493</v>
      </c>
      <c r="S26" s="486" t="s">
        <v>491</v>
      </c>
      <c r="T26" s="487" t="s">
        <v>492</v>
      </c>
      <c r="U26" s="488" t="s">
        <v>493</v>
      </c>
      <c r="V26" s="535" t="s">
        <v>491</v>
      </c>
      <c r="W26" s="487" t="s">
        <v>492</v>
      </c>
      <c r="X26" s="488" t="s">
        <v>493</v>
      </c>
    </row>
    <row r="27" spans="1:24" s="485" customFormat="1" ht="9" customHeight="1">
      <c r="A27" s="2662">
        <v>15433</v>
      </c>
      <c r="B27" s="2663"/>
      <c r="C27" s="489" t="s">
        <v>495</v>
      </c>
      <c r="D27" s="491"/>
      <c r="E27" s="492">
        <v>102.4</v>
      </c>
      <c r="F27" s="493">
        <v>102.4</v>
      </c>
      <c r="G27" s="491"/>
      <c r="H27" s="494">
        <v>102.4</v>
      </c>
      <c r="I27" s="495">
        <v>102.4</v>
      </c>
      <c r="J27" s="491"/>
      <c r="K27" s="494">
        <v>99.8</v>
      </c>
      <c r="L27" s="493">
        <v>99.8</v>
      </c>
      <c r="M27" s="491"/>
      <c r="N27" s="494">
        <v>103.3</v>
      </c>
      <c r="O27" s="493">
        <v>103.3</v>
      </c>
      <c r="P27" s="491"/>
      <c r="Q27" s="492">
        <v>99.8</v>
      </c>
      <c r="R27" s="496">
        <v>99.8</v>
      </c>
      <c r="S27" s="491"/>
      <c r="T27" s="492">
        <v>99.8</v>
      </c>
      <c r="U27" s="493">
        <v>99.8</v>
      </c>
      <c r="V27" s="491"/>
      <c r="W27" s="492">
        <v>99.8</v>
      </c>
      <c r="X27" s="493">
        <v>99.8</v>
      </c>
    </row>
    <row r="28" spans="1:24" s="485" customFormat="1" ht="9" customHeight="1">
      <c r="A28" s="2645" t="s">
        <v>496</v>
      </c>
      <c r="B28" s="2646"/>
      <c r="C28" s="489" t="s">
        <v>497</v>
      </c>
      <c r="D28" s="498">
        <v>90.9</v>
      </c>
      <c r="E28" s="492">
        <v>104.5</v>
      </c>
      <c r="F28" s="493">
        <v>100.4</v>
      </c>
      <c r="G28" s="499">
        <v>94</v>
      </c>
      <c r="H28" s="494">
        <v>104.5</v>
      </c>
      <c r="I28" s="495">
        <v>101.3</v>
      </c>
      <c r="J28" s="499">
        <v>92.9</v>
      </c>
      <c r="K28" s="494">
        <v>104.4</v>
      </c>
      <c r="L28" s="493">
        <v>100.9</v>
      </c>
      <c r="M28" s="497">
        <v>92</v>
      </c>
      <c r="N28" s="494">
        <v>104.6</v>
      </c>
      <c r="O28" s="493">
        <v>100.8</v>
      </c>
      <c r="P28" s="499">
        <v>93.9</v>
      </c>
      <c r="Q28" s="492">
        <v>103</v>
      </c>
      <c r="R28" s="496">
        <v>100.2</v>
      </c>
      <c r="S28" s="497">
        <v>93.3</v>
      </c>
      <c r="T28" s="492">
        <v>103.4</v>
      </c>
      <c r="U28" s="493">
        <v>100.3</v>
      </c>
      <c r="V28" s="498">
        <v>93.3</v>
      </c>
      <c r="W28" s="492">
        <v>104.4</v>
      </c>
      <c r="X28" s="493">
        <v>101</v>
      </c>
    </row>
    <row r="29" spans="1:24" s="485" customFormat="1" ht="8.1" customHeight="1">
      <c r="A29" s="2647">
        <v>310</v>
      </c>
      <c r="B29" s="2648"/>
      <c r="C29" s="501" t="s">
        <v>498</v>
      </c>
      <c r="D29" s="534">
        <v>92.4</v>
      </c>
      <c r="E29" s="503">
        <v>126</v>
      </c>
      <c r="F29" s="504">
        <v>121.5</v>
      </c>
      <c r="G29" s="506">
        <v>103.9</v>
      </c>
      <c r="H29" s="507">
        <v>126.9</v>
      </c>
      <c r="I29" s="508">
        <v>123.8</v>
      </c>
      <c r="J29" s="506">
        <v>100.2</v>
      </c>
      <c r="K29" s="507">
        <v>126.8</v>
      </c>
      <c r="L29" s="504">
        <v>123.2</v>
      </c>
      <c r="M29" s="502">
        <v>100.7</v>
      </c>
      <c r="N29" s="507">
        <v>126.3</v>
      </c>
      <c r="O29" s="504">
        <v>122.8</v>
      </c>
      <c r="P29" s="506">
        <v>100.2</v>
      </c>
      <c r="Q29" s="503">
        <v>109.7</v>
      </c>
      <c r="R29" s="509">
        <v>108.5</v>
      </c>
      <c r="S29" s="502">
        <v>100.4</v>
      </c>
      <c r="T29" s="503">
        <v>112.1</v>
      </c>
      <c r="U29" s="504">
        <v>110.5</v>
      </c>
      <c r="V29" s="505">
        <v>100.8</v>
      </c>
      <c r="W29" s="503">
        <v>126.2</v>
      </c>
      <c r="X29" s="504">
        <v>122.8</v>
      </c>
    </row>
    <row r="30" spans="1:24" s="485" customFormat="1" ht="9" customHeight="1">
      <c r="A30" s="2651">
        <v>320</v>
      </c>
      <c r="B30" s="2652"/>
      <c r="C30" s="510" t="s">
        <v>499</v>
      </c>
      <c r="D30" s="530">
        <v>82.3</v>
      </c>
      <c r="E30" s="512">
        <v>123.1</v>
      </c>
      <c r="F30" s="513">
        <v>103</v>
      </c>
      <c r="G30" s="515">
        <v>106.8</v>
      </c>
      <c r="H30" s="516">
        <v>138</v>
      </c>
      <c r="I30" s="517">
        <v>122.6</v>
      </c>
      <c r="J30" s="515">
        <v>107.7</v>
      </c>
      <c r="K30" s="516">
        <v>137.80000000000001</v>
      </c>
      <c r="L30" s="513">
        <v>123</v>
      </c>
      <c r="M30" s="511">
        <v>102.6</v>
      </c>
      <c r="N30" s="516">
        <v>123.2</v>
      </c>
      <c r="O30" s="513">
        <v>113</v>
      </c>
      <c r="P30" s="515">
        <v>89.4</v>
      </c>
      <c r="Q30" s="512">
        <v>121.9</v>
      </c>
      <c r="R30" s="518">
        <v>105.9</v>
      </c>
      <c r="S30" s="511">
        <v>107.7</v>
      </c>
      <c r="T30" s="512">
        <v>119.7</v>
      </c>
      <c r="U30" s="513">
        <v>113.8</v>
      </c>
      <c r="V30" s="514">
        <v>107.7</v>
      </c>
      <c r="W30" s="512">
        <v>145.6</v>
      </c>
      <c r="X30" s="513">
        <v>127</v>
      </c>
    </row>
    <row r="31" spans="1:24" s="485" customFormat="1" ht="9" customHeight="1">
      <c r="A31" s="2664">
        <v>330</v>
      </c>
      <c r="B31" s="2665"/>
      <c r="C31" s="519" t="s">
        <v>500</v>
      </c>
      <c r="D31" s="523">
        <v>83.5</v>
      </c>
      <c r="E31" s="521">
        <v>137.30000000000001</v>
      </c>
      <c r="F31" s="522">
        <v>104</v>
      </c>
      <c r="G31" s="524">
        <v>92</v>
      </c>
      <c r="H31" s="525">
        <v>137.6</v>
      </c>
      <c r="I31" s="533">
        <v>109.4</v>
      </c>
      <c r="J31" s="524">
        <v>83.7</v>
      </c>
      <c r="K31" s="525">
        <v>137.6</v>
      </c>
      <c r="L31" s="522">
        <v>104.2</v>
      </c>
      <c r="M31" s="520">
        <v>78</v>
      </c>
      <c r="N31" s="525">
        <v>137.80000000000001</v>
      </c>
      <c r="O31" s="522">
        <v>100.8</v>
      </c>
      <c r="P31" s="524">
        <v>91.3</v>
      </c>
      <c r="Q31" s="521">
        <v>118.3</v>
      </c>
      <c r="R31" s="527">
        <v>101.6</v>
      </c>
      <c r="S31" s="520">
        <v>87.1</v>
      </c>
      <c r="T31" s="521">
        <v>126.2</v>
      </c>
      <c r="U31" s="522">
        <v>102</v>
      </c>
      <c r="V31" s="523">
        <v>86.6</v>
      </c>
      <c r="W31" s="521">
        <v>137.4</v>
      </c>
      <c r="X31" s="522">
        <v>105.9</v>
      </c>
    </row>
    <row r="32" spans="1:24" s="485" customFormat="1" ht="9" customHeight="1">
      <c r="A32" s="2655">
        <v>3</v>
      </c>
      <c r="B32" s="2656"/>
      <c r="C32" s="489" t="s">
        <v>501</v>
      </c>
      <c r="D32" s="498">
        <v>86.5</v>
      </c>
      <c r="E32" s="492">
        <v>128.9</v>
      </c>
      <c r="F32" s="493">
        <v>106.2</v>
      </c>
      <c r="G32" s="499">
        <v>95.9</v>
      </c>
      <c r="H32" s="494">
        <v>132</v>
      </c>
      <c r="I32" s="495">
        <v>112.7</v>
      </c>
      <c r="J32" s="499">
        <v>87.9</v>
      </c>
      <c r="K32" s="494">
        <v>131.69999999999999</v>
      </c>
      <c r="L32" s="493">
        <v>108.2</v>
      </c>
      <c r="M32" s="497">
        <v>88.5</v>
      </c>
      <c r="N32" s="494">
        <v>129.19999999999999</v>
      </c>
      <c r="O32" s="493">
        <v>107.4</v>
      </c>
      <c r="P32" s="499">
        <v>89.1</v>
      </c>
      <c r="Q32" s="492">
        <v>114.5</v>
      </c>
      <c r="R32" s="496">
        <v>100.9</v>
      </c>
      <c r="S32" s="497">
        <v>89.5</v>
      </c>
      <c r="T32" s="492">
        <v>117.9</v>
      </c>
      <c r="U32" s="493">
        <v>102.7</v>
      </c>
      <c r="V32" s="498">
        <v>89.3</v>
      </c>
      <c r="W32" s="492">
        <v>132.69999999999999</v>
      </c>
      <c r="X32" s="493">
        <v>109.4</v>
      </c>
    </row>
    <row r="33" spans="1:24" s="485" customFormat="1" ht="8.1" customHeight="1">
      <c r="A33" s="2666">
        <v>4</v>
      </c>
      <c r="B33" s="2667"/>
      <c r="C33" s="528" t="s">
        <v>502</v>
      </c>
      <c r="D33" s="505">
        <v>101.5</v>
      </c>
      <c r="E33" s="503">
        <v>141.30000000000001</v>
      </c>
      <c r="F33" s="504">
        <v>126</v>
      </c>
      <c r="G33" s="506">
        <v>116.1</v>
      </c>
      <c r="H33" s="507">
        <v>141.30000000000001</v>
      </c>
      <c r="I33" s="508">
        <v>131.6</v>
      </c>
      <c r="J33" s="506">
        <v>102.2</v>
      </c>
      <c r="K33" s="507">
        <v>137.80000000000001</v>
      </c>
      <c r="L33" s="504">
        <v>124.1</v>
      </c>
      <c r="M33" s="502">
        <v>101.5</v>
      </c>
      <c r="N33" s="507">
        <v>141.30000000000001</v>
      </c>
      <c r="O33" s="504">
        <v>126</v>
      </c>
      <c r="P33" s="506">
        <v>102.8</v>
      </c>
      <c r="Q33" s="503">
        <v>116.5</v>
      </c>
      <c r="R33" s="509">
        <v>111.2</v>
      </c>
      <c r="S33" s="502">
        <v>102.4</v>
      </c>
      <c r="T33" s="503">
        <v>122.4</v>
      </c>
      <c r="U33" s="504">
        <v>114.7</v>
      </c>
      <c r="V33" s="505">
        <v>102</v>
      </c>
      <c r="W33" s="503">
        <v>137.80000000000001</v>
      </c>
      <c r="X33" s="504">
        <v>124.1</v>
      </c>
    </row>
    <row r="34" spans="1:24" s="485" customFormat="1" ht="9" customHeight="1">
      <c r="A34" s="2668">
        <v>5</v>
      </c>
      <c r="B34" s="2669"/>
      <c r="C34" s="529" t="s">
        <v>503</v>
      </c>
      <c r="D34" s="530">
        <v>89.6</v>
      </c>
      <c r="E34" s="512">
        <v>118.8</v>
      </c>
      <c r="F34" s="513">
        <v>98.5</v>
      </c>
      <c r="G34" s="515">
        <v>93.3</v>
      </c>
      <c r="H34" s="516">
        <v>125.6</v>
      </c>
      <c r="I34" s="517">
        <v>103.2</v>
      </c>
      <c r="J34" s="515">
        <v>93.3</v>
      </c>
      <c r="K34" s="516">
        <v>122.1</v>
      </c>
      <c r="L34" s="513">
        <v>102.1</v>
      </c>
      <c r="M34" s="511">
        <v>93.1</v>
      </c>
      <c r="N34" s="516">
        <v>119.2</v>
      </c>
      <c r="O34" s="513">
        <v>101.1</v>
      </c>
      <c r="P34" s="515">
        <v>93.1</v>
      </c>
      <c r="Q34" s="512">
        <v>111.5</v>
      </c>
      <c r="R34" s="518">
        <v>98.7</v>
      </c>
      <c r="S34" s="511">
        <v>95.9</v>
      </c>
      <c r="T34" s="512">
        <v>110.7</v>
      </c>
      <c r="U34" s="513">
        <v>100.4</v>
      </c>
      <c r="V34" s="530">
        <v>96</v>
      </c>
      <c r="W34" s="512">
        <v>124.7</v>
      </c>
      <c r="X34" s="513">
        <v>104.8</v>
      </c>
    </row>
    <row r="35" spans="1:24" s="485" customFormat="1" ht="9" customHeight="1">
      <c r="A35" s="2668">
        <v>6</v>
      </c>
      <c r="B35" s="2669"/>
      <c r="C35" s="529" t="s">
        <v>504</v>
      </c>
      <c r="D35" s="530">
        <v>94.5</v>
      </c>
      <c r="E35" s="512">
        <v>126</v>
      </c>
      <c r="F35" s="513">
        <v>111.8</v>
      </c>
      <c r="G35" s="515">
        <v>106.9</v>
      </c>
      <c r="H35" s="516">
        <v>126</v>
      </c>
      <c r="I35" s="517">
        <v>117.4</v>
      </c>
      <c r="J35" s="515">
        <v>106.4</v>
      </c>
      <c r="K35" s="516">
        <v>126</v>
      </c>
      <c r="L35" s="513">
        <v>117.2</v>
      </c>
      <c r="M35" s="511">
        <v>103.8</v>
      </c>
      <c r="N35" s="516">
        <v>126.3</v>
      </c>
      <c r="O35" s="513">
        <v>116.2</v>
      </c>
      <c r="P35" s="515">
        <v>106.4</v>
      </c>
      <c r="Q35" s="512">
        <v>110.5</v>
      </c>
      <c r="R35" s="518">
        <v>108.6</v>
      </c>
      <c r="S35" s="511">
        <v>106.4</v>
      </c>
      <c r="T35" s="512">
        <v>110.5</v>
      </c>
      <c r="U35" s="513">
        <v>108.6</v>
      </c>
      <c r="V35" s="514">
        <v>106.9</v>
      </c>
      <c r="W35" s="512">
        <v>126</v>
      </c>
      <c r="X35" s="513">
        <v>117.4</v>
      </c>
    </row>
    <row r="36" spans="1:24" s="485" customFormat="1" ht="9" customHeight="1">
      <c r="A36" s="2668">
        <v>7</v>
      </c>
      <c r="B36" s="2669"/>
      <c r="C36" s="529" t="s">
        <v>505</v>
      </c>
      <c r="D36" s="530">
        <v>99.9</v>
      </c>
      <c r="E36" s="512">
        <v>129.19999999999999</v>
      </c>
      <c r="F36" s="513">
        <v>112</v>
      </c>
      <c r="G36" s="515">
        <v>100.4</v>
      </c>
      <c r="H36" s="516">
        <v>131.80000000000001</v>
      </c>
      <c r="I36" s="517">
        <v>113.4</v>
      </c>
      <c r="J36" s="515">
        <v>100.2</v>
      </c>
      <c r="K36" s="516">
        <v>130.80000000000001</v>
      </c>
      <c r="L36" s="513">
        <v>112.9</v>
      </c>
      <c r="M36" s="511">
        <v>100.3</v>
      </c>
      <c r="N36" s="516">
        <v>128.5</v>
      </c>
      <c r="O36" s="513">
        <v>112</v>
      </c>
      <c r="P36" s="515">
        <v>100.3</v>
      </c>
      <c r="Q36" s="512">
        <v>108.6</v>
      </c>
      <c r="R36" s="518">
        <v>103.7</v>
      </c>
      <c r="S36" s="511">
        <v>100.2</v>
      </c>
      <c r="T36" s="512">
        <v>112</v>
      </c>
      <c r="U36" s="513">
        <v>105.1</v>
      </c>
      <c r="V36" s="514">
        <v>100.2</v>
      </c>
      <c r="W36" s="512">
        <v>125.7</v>
      </c>
      <c r="X36" s="513">
        <v>110.8</v>
      </c>
    </row>
    <row r="37" spans="1:24" s="485" customFormat="1" ht="9" customHeight="1">
      <c r="A37" s="2659">
        <v>8</v>
      </c>
      <c r="B37" s="2660"/>
      <c r="C37" s="532" t="s">
        <v>506</v>
      </c>
      <c r="D37" s="523">
        <v>95.9</v>
      </c>
      <c r="E37" s="521">
        <v>124</v>
      </c>
      <c r="F37" s="522">
        <v>102.3</v>
      </c>
      <c r="G37" s="524">
        <v>95</v>
      </c>
      <c r="H37" s="525">
        <v>131.6</v>
      </c>
      <c r="I37" s="533">
        <v>103.3</v>
      </c>
      <c r="J37" s="524">
        <v>101.9</v>
      </c>
      <c r="K37" s="525">
        <v>131.6</v>
      </c>
      <c r="L37" s="522">
        <v>108.6</v>
      </c>
      <c r="M37" s="520">
        <v>99.6</v>
      </c>
      <c r="N37" s="525">
        <v>124.2</v>
      </c>
      <c r="O37" s="522">
        <v>105.1</v>
      </c>
      <c r="P37" s="524">
        <v>101.9</v>
      </c>
      <c r="Q37" s="521">
        <v>115.5</v>
      </c>
      <c r="R37" s="527">
        <v>105</v>
      </c>
      <c r="S37" s="520">
        <v>101.9</v>
      </c>
      <c r="T37" s="521">
        <v>114.9</v>
      </c>
      <c r="U37" s="522">
        <v>104.8</v>
      </c>
      <c r="V37" s="538">
        <v>101.9</v>
      </c>
      <c r="W37" s="521">
        <v>133.80000000000001</v>
      </c>
      <c r="X37" s="522">
        <v>109.1</v>
      </c>
    </row>
    <row r="38" spans="1:24" s="485" customFormat="1" ht="8.1" customHeight="1">
      <c r="A38" s="2647">
        <v>920</v>
      </c>
      <c r="B38" s="2648"/>
      <c r="C38" s="501" t="s">
        <v>507</v>
      </c>
      <c r="D38" s="534">
        <v>83.5</v>
      </c>
      <c r="E38" s="503">
        <v>126.3</v>
      </c>
      <c r="F38" s="504">
        <v>112</v>
      </c>
      <c r="G38" s="506">
        <v>113.6</v>
      </c>
      <c r="H38" s="507">
        <v>126.3</v>
      </c>
      <c r="I38" s="508">
        <v>122</v>
      </c>
      <c r="J38" s="506">
        <v>113.6</v>
      </c>
      <c r="K38" s="507">
        <v>126.3</v>
      </c>
      <c r="L38" s="504">
        <v>122</v>
      </c>
      <c r="M38" s="502">
        <v>91.7</v>
      </c>
      <c r="N38" s="507">
        <v>126.3</v>
      </c>
      <c r="O38" s="504">
        <v>114.7</v>
      </c>
      <c r="P38" s="506">
        <v>113.6</v>
      </c>
      <c r="Q38" s="503">
        <v>110.3</v>
      </c>
      <c r="R38" s="509">
        <v>111.4</v>
      </c>
      <c r="S38" s="502">
        <v>113.6</v>
      </c>
      <c r="T38" s="503">
        <v>110.3</v>
      </c>
      <c r="U38" s="504">
        <v>111.4</v>
      </c>
      <c r="V38" s="505">
        <v>113.6</v>
      </c>
      <c r="W38" s="503">
        <v>126.3</v>
      </c>
      <c r="X38" s="504">
        <v>122</v>
      </c>
    </row>
    <row r="39" spans="1:24" s="485" customFormat="1" ht="9" customHeight="1">
      <c r="A39" s="2649" t="s">
        <v>508</v>
      </c>
      <c r="B39" s="2650"/>
      <c r="C39" s="510" t="s">
        <v>509</v>
      </c>
      <c r="D39" s="530">
        <v>98.1</v>
      </c>
      <c r="E39" s="512">
        <v>126.3</v>
      </c>
      <c r="F39" s="513">
        <v>116.9</v>
      </c>
      <c r="G39" s="515">
        <v>100.8</v>
      </c>
      <c r="H39" s="516">
        <v>126.3</v>
      </c>
      <c r="I39" s="517">
        <v>117.8</v>
      </c>
      <c r="J39" s="515">
        <v>100.8</v>
      </c>
      <c r="K39" s="516">
        <v>126.3</v>
      </c>
      <c r="L39" s="513">
        <v>117.8</v>
      </c>
      <c r="M39" s="511">
        <v>104.9</v>
      </c>
      <c r="N39" s="516">
        <v>126.3</v>
      </c>
      <c r="O39" s="513">
        <v>119.1</v>
      </c>
      <c r="P39" s="515">
        <v>100.8</v>
      </c>
      <c r="Q39" s="512">
        <v>110.3</v>
      </c>
      <c r="R39" s="518">
        <v>107.1</v>
      </c>
      <c r="S39" s="511">
        <v>100.8</v>
      </c>
      <c r="T39" s="512">
        <v>110.3</v>
      </c>
      <c r="U39" s="513">
        <v>107.1</v>
      </c>
      <c r="V39" s="514">
        <v>100.8</v>
      </c>
      <c r="W39" s="512">
        <v>126.3</v>
      </c>
      <c r="X39" s="513">
        <v>117.8</v>
      </c>
    </row>
    <row r="40" spans="1:24" s="485" customFormat="1" ht="9" customHeight="1">
      <c r="A40" s="2651">
        <v>960</v>
      </c>
      <c r="B40" s="2652"/>
      <c r="C40" s="510" t="s">
        <v>510</v>
      </c>
      <c r="D40" s="530">
        <v>90.1</v>
      </c>
      <c r="E40" s="512">
        <v>161</v>
      </c>
      <c r="F40" s="513">
        <v>110.7</v>
      </c>
      <c r="G40" s="515">
        <v>93.8</v>
      </c>
      <c r="H40" s="516">
        <v>161</v>
      </c>
      <c r="I40" s="517">
        <v>113.3</v>
      </c>
      <c r="J40" s="515">
        <v>93.8</v>
      </c>
      <c r="K40" s="516">
        <v>161</v>
      </c>
      <c r="L40" s="513">
        <v>113.3</v>
      </c>
      <c r="M40" s="511">
        <v>94.1</v>
      </c>
      <c r="N40" s="516">
        <v>161</v>
      </c>
      <c r="O40" s="513">
        <v>113.5</v>
      </c>
      <c r="P40" s="515">
        <v>94.3</v>
      </c>
      <c r="Q40" s="512">
        <v>133.30000000000001</v>
      </c>
      <c r="R40" s="518">
        <v>105.6</v>
      </c>
      <c r="S40" s="511">
        <v>93.3</v>
      </c>
      <c r="T40" s="512">
        <v>133.30000000000001</v>
      </c>
      <c r="U40" s="513">
        <v>104.9</v>
      </c>
      <c r="V40" s="530">
        <v>93.8</v>
      </c>
      <c r="W40" s="512">
        <v>153.30000000000001</v>
      </c>
      <c r="X40" s="513">
        <v>111.1</v>
      </c>
    </row>
    <row r="41" spans="1:24" s="485" customFormat="1" ht="9" customHeight="1">
      <c r="A41" s="2653" t="s">
        <v>511</v>
      </c>
      <c r="B41" s="2654"/>
      <c r="C41" s="519" t="s">
        <v>512</v>
      </c>
      <c r="D41" s="523">
        <v>93.9</v>
      </c>
      <c r="E41" s="521">
        <v>140</v>
      </c>
      <c r="F41" s="522">
        <v>120.9</v>
      </c>
      <c r="G41" s="524">
        <v>90.8</v>
      </c>
      <c r="H41" s="525">
        <v>140</v>
      </c>
      <c r="I41" s="533">
        <v>119.7</v>
      </c>
      <c r="J41" s="524">
        <v>90.7</v>
      </c>
      <c r="K41" s="525">
        <v>140</v>
      </c>
      <c r="L41" s="522">
        <v>119.6</v>
      </c>
      <c r="M41" s="520">
        <v>93.9</v>
      </c>
      <c r="N41" s="525">
        <v>140</v>
      </c>
      <c r="O41" s="522">
        <v>120.9</v>
      </c>
      <c r="P41" s="524">
        <v>90.7</v>
      </c>
      <c r="Q41" s="521">
        <v>116.4</v>
      </c>
      <c r="R41" s="527">
        <v>105.8</v>
      </c>
      <c r="S41" s="520">
        <v>91.9</v>
      </c>
      <c r="T41" s="521">
        <v>116.4</v>
      </c>
      <c r="U41" s="522">
        <v>106.3</v>
      </c>
      <c r="V41" s="523">
        <v>90.7</v>
      </c>
      <c r="W41" s="521">
        <v>140</v>
      </c>
      <c r="X41" s="522">
        <v>119.6</v>
      </c>
    </row>
    <row r="42" spans="1:24" s="485" customFormat="1" ht="9" customHeight="1">
      <c r="A42" s="2655">
        <v>9</v>
      </c>
      <c r="B42" s="2656"/>
      <c r="C42" s="489" t="s">
        <v>513</v>
      </c>
      <c r="D42" s="498">
        <v>90.3</v>
      </c>
      <c r="E42" s="492">
        <v>134.9</v>
      </c>
      <c r="F42" s="493">
        <v>114.6</v>
      </c>
      <c r="G42" s="499">
        <v>93.8</v>
      </c>
      <c r="H42" s="494">
        <v>134.9</v>
      </c>
      <c r="I42" s="495">
        <v>116.3</v>
      </c>
      <c r="J42" s="499">
        <v>93.8</v>
      </c>
      <c r="K42" s="494">
        <v>134.9</v>
      </c>
      <c r="L42" s="493">
        <v>116.2</v>
      </c>
      <c r="M42" s="497">
        <v>94.1</v>
      </c>
      <c r="N42" s="494">
        <v>135.1</v>
      </c>
      <c r="O42" s="493">
        <v>116.5</v>
      </c>
      <c r="P42" s="499">
        <v>94</v>
      </c>
      <c r="Q42" s="492">
        <v>115.2</v>
      </c>
      <c r="R42" s="496">
        <v>105.6</v>
      </c>
      <c r="S42" s="497">
        <v>93.7</v>
      </c>
      <c r="T42" s="492">
        <v>116.7</v>
      </c>
      <c r="U42" s="493">
        <v>106.3</v>
      </c>
      <c r="V42" s="498">
        <v>93.8</v>
      </c>
      <c r="W42" s="492">
        <v>133.30000000000001</v>
      </c>
      <c r="X42" s="493">
        <v>115.4</v>
      </c>
    </row>
    <row r="43" spans="1:24" s="485" customFormat="1" ht="8.1" customHeight="1">
      <c r="A43" s="2657" t="s">
        <v>514</v>
      </c>
      <c r="B43" s="2658"/>
      <c r="C43" s="528" t="s">
        <v>515</v>
      </c>
      <c r="D43" s="505">
        <v>100</v>
      </c>
      <c r="E43" s="503">
        <v>114</v>
      </c>
      <c r="F43" s="504">
        <v>103.2</v>
      </c>
      <c r="G43" s="506">
        <v>100</v>
      </c>
      <c r="H43" s="507">
        <v>114.1</v>
      </c>
      <c r="I43" s="508">
        <v>103.2</v>
      </c>
      <c r="J43" s="506">
        <v>100</v>
      </c>
      <c r="K43" s="507">
        <v>114.1</v>
      </c>
      <c r="L43" s="504">
        <v>103.2</v>
      </c>
      <c r="M43" s="502">
        <v>100</v>
      </c>
      <c r="N43" s="507">
        <v>114.6</v>
      </c>
      <c r="O43" s="504">
        <v>103.3</v>
      </c>
      <c r="P43" s="506">
        <v>100</v>
      </c>
      <c r="Q43" s="503">
        <v>104</v>
      </c>
      <c r="R43" s="509">
        <v>100.9</v>
      </c>
      <c r="S43" s="502">
        <v>100</v>
      </c>
      <c r="T43" s="503">
        <v>106</v>
      </c>
      <c r="U43" s="504">
        <v>101.4</v>
      </c>
      <c r="V43" s="505">
        <v>100</v>
      </c>
      <c r="W43" s="503">
        <v>108.7</v>
      </c>
      <c r="X43" s="504">
        <v>102</v>
      </c>
    </row>
    <row r="44" spans="1:24" s="485" customFormat="1" ht="9" customHeight="1">
      <c r="A44" s="2641" t="s">
        <v>516</v>
      </c>
      <c r="B44" s="2642"/>
      <c r="C44" s="529" t="s">
        <v>517</v>
      </c>
      <c r="D44" s="514">
        <v>100.3</v>
      </c>
      <c r="E44" s="512">
        <v>107.4</v>
      </c>
      <c r="F44" s="513">
        <v>103.4</v>
      </c>
      <c r="G44" s="515">
        <v>100.1</v>
      </c>
      <c r="H44" s="516">
        <v>124.1</v>
      </c>
      <c r="I44" s="517">
        <v>110.7</v>
      </c>
      <c r="J44" s="515">
        <v>100.1</v>
      </c>
      <c r="K44" s="516">
        <v>124.1</v>
      </c>
      <c r="L44" s="513">
        <v>110.7</v>
      </c>
      <c r="M44" s="511">
        <v>100.3</v>
      </c>
      <c r="N44" s="516">
        <v>107.4</v>
      </c>
      <c r="O44" s="513">
        <v>103.5</v>
      </c>
      <c r="P44" s="515">
        <v>100.1</v>
      </c>
      <c r="Q44" s="512">
        <v>97.5</v>
      </c>
      <c r="R44" s="518">
        <v>98.9</v>
      </c>
      <c r="S44" s="511">
        <v>100.1</v>
      </c>
      <c r="T44" s="512">
        <v>100.5</v>
      </c>
      <c r="U44" s="513">
        <v>100.3</v>
      </c>
      <c r="V44" s="514">
        <v>100.1</v>
      </c>
      <c r="W44" s="512">
        <v>108.6</v>
      </c>
      <c r="X44" s="513">
        <v>103.8</v>
      </c>
    </row>
    <row r="45" spans="1:24" s="485" customFormat="1" ht="9" customHeight="1">
      <c r="A45" s="2643" t="s">
        <v>518</v>
      </c>
      <c r="B45" s="2644"/>
      <c r="C45" s="532" t="s">
        <v>519</v>
      </c>
      <c r="D45" s="523">
        <v>97.4</v>
      </c>
      <c r="E45" s="521">
        <v>103</v>
      </c>
      <c r="F45" s="522">
        <v>100.4</v>
      </c>
      <c r="G45" s="524">
        <v>99.1</v>
      </c>
      <c r="H45" s="525">
        <v>127.6</v>
      </c>
      <c r="I45" s="533">
        <v>114.2</v>
      </c>
      <c r="J45" s="524">
        <v>99.6</v>
      </c>
      <c r="K45" s="525">
        <v>122.1</v>
      </c>
      <c r="L45" s="522">
        <v>111.5</v>
      </c>
      <c r="M45" s="520">
        <v>100.6</v>
      </c>
      <c r="N45" s="525">
        <v>103</v>
      </c>
      <c r="O45" s="522">
        <v>101.8</v>
      </c>
      <c r="P45" s="524">
        <v>99.6</v>
      </c>
      <c r="Q45" s="521">
        <v>97.7</v>
      </c>
      <c r="R45" s="527">
        <v>98.6</v>
      </c>
      <c r="S45" s="520">
        <v>99.6</v>
      </c>
      <c r="T45" s="521">
        <v>97.7</v>
      </c>
      <c r="U45" s="522">
        <v>98.6</v>
      </c>
      <c r="V45" s="523">
        <v>99.6</v>
      </c>
      <c r="W45" s="521">
        <v>105.2</v>
      </c>
      <c r="X45" s="522">
        <v>102.5</v>
      </c>
    </row>
    <row r="46" spans="1:24" s="485" customFormat="1" ht="10.35" customHeight="1">
      <c r="A46" s="2645" t="s">
        <v>520</v>
      </c>
      <c r="B46" s="2646"/>
      <c r="C46" s="489" t="s">
        <v>521</v>
      </c>
      <c r="D46" s="498">
        <v>94.9</v>
      </c>
      <c r="E46" s="492">
        <v>119.2</v>
      </c>
      <c r="F46" s="493">
        <v>105.6</v>
      </c>
      <c r="G46" s="499">
        <v>97.9</v>
      </c>
      <c r="H46" s="494">
        <v>127.6</v>
      </c>
      <c r="I46" s="495">
        <v>111.1</v>
      </c>
      <c r="J46" s="499">
        <v>97</v>
      </c>
      <c r="K46" s="494">
        <v>126.1</v>
      </c>
      <c r="L46" s="493">
        <v>109.9</v>
      </c>
      <c r="M46" s="497">
        <v>96.9</v>
      </c>
      <c r="N46" s="494">
        <v>119.3</v>
      </c>
      <c r="O46" s="493">
        <v>106.8</v>
      </c>
      <c r="P46" s="499">
        <v>97.2</v>
      </c>
      <c r="Q46" s="492">
        <v>107.1</v>
      </c>
      <c r="R46" s="496">
        <v>101.6</v>
      </c>
      <c r="S46" s="497">
        <v>97.7</v>
      </c>
      <c r="T46" s="492">
        <v>109.1</v>
      </c>
      <c r="U46" s="493">
        <v>102.7</v>
      </c>
      <c r="V46" s="498">
        <v>97.7</v>
      </c>
      <c r="W46" s="492">
        <v>120.4</v>
      </c>
      <c r="X46" s="493">
        <v>107.7</v>
      </c>
    </row>
    <row r="49" spans="4:4">
      <c r="D49">
        <f>(F23+I23+L23+O23+R23+U23+X23+X46+U46+R46+O46+L46+I46+F46)/14</f>
        <v>106.75</v>
      </c>
    </row>
  </sheetData>
  <mergeCells count="64">
    <mergeCell ref="A9:B9"/>
    <mergeCell ref="V2:X2"/>
    <mergeCell ref="G3:H3"/>
    <mergeCell ref="J3:K3"/>
    <mergeCell ref="M3:N3"/>
    <mergeCell ref="P3:Q3"/>
    <mergeCell ref="S3:T3"/>
    <mergeCell ref="V3:W3"/>
    <mergeCell ref="A1:C3"/>
    <mergeCell ref="D1:U1"/>
    <mergeCell ref="D2:F2"/>
    <mergeCell ref="G2:I2"/>
    <mergeCell ref="J2:L2"/>
    <mergeCell ref="M2:O2"/>
    <mergeCell ref="P2:R2"/>
    <mergeCell ref="S2:U2"/>
    <mergeCell ref="A4:B4"/>
    <mergeCell ref="A5:B5"/>
    <mergeCell ref="A6:B6"/>
    <mergeCell ref="A7:B7"/>
    <mergeCell ref="A8:B8"/>
    <mergeCell ref="A21:B21"/>
    <mergeCell ref="A10:B10"/>
    <mergeCell ref="A11:B11"/>
    <mergeCell ref="A12:B12"/>
    <mergeCell ref="A13:B13"/>
    <mergeCell ref="A14:B14"/>
    <mergeCell ref="A15:B15"/>
    <mergeCell ref="A16:B16"/>
    <mergeCell ref="A17:B17"/>
    <mergeCell ref="A18:B18"/>
    <mergeCell ref="A19:B19"/>
    <mergeCell ref="A20:B20"/>
    <mergeCell ref="A22:B22"/>
    <mergeCell ref="A23:B23"/>
    <mergeCell ref="A24:C26"/>
    <mergeCell ref="D24:U24"/>
    <mergeCell ref="D25:F25"/>
    <mergeCell ref="G25:I25"/>
    <mergeCell ref="J25:L25"/>
    <mergeCell ref="M25:O25"/>
    <mergeCell ref="P25:R25"/>
    <mergeCell ref="S25:U25"/>
    <mergeCell ref="A37:B37"/>
    <mergeCell ref="V25:X25"/>
    <mergeCell ref="A27:B27"/>
    <mergeCell ref="A28:B28"/>
    <mergeCell ref="A29:B29"/>
    <mergeCell ref="A30:B30"/>
    <mergeCell ref="A31:B31"/>
    <mergeCell ref="A32:B32"/>
    <mergeCell ref="A33:B33"/>
    <mergeCell ref="A34:B34"/>
    <mergeCell ref="A35:B35"/>
    <mergeCell ref="A36:B36"/>
    <mergeCell ref="A44:B44"/>
    <mergeCell ref="A45:B45"/>
    <mergeCell ref="A46:B46"/>
    <mergeCell ref="A38:B38"/>
    <mergeCell ref="A39:B39"/>
    <mergeCell ref="A40:B40"/>
    <mergeCell ref="A41:B41"/>
    <mergeCell ref="A42:B42"/>
    <mergeCell ref="A43:B43"/>
  </mergeCells>
  <pageMargins left="0.7" right="0.7" top="0.75" bottom="0.75" header="0.3" footer="0.3"/>
  <pageSetup scale="76" orientation="landscape" r:id="rId1"/>
  <headerFooter>
    <oddFooter>&amp;R&amp;P of &amp;N</oddFooter>
  </headerFooter>
  <colBreaks count="1" manualBreakCount="1">
    <brk id="15" max="4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C18"/>
  <sheetViews>
    <sheetView zoomScale="130" zoomScaleNormal="130" workbookViewId="0">
      <selection activeCell="C8" sqref="C8"/>
    </sheetView>
  </sheetViews>
  <sheetFormatPr defaultColWidth="8.5703125" defaultRowHeight="15"/>
  <cols>
    <col min="1" max="1" width="17.5703125" customWidth="1"/>
    <col min="2" max="2" width="13.5703125" bestFit="1" customWidth="1"/>
    <col min="3" max="3" width="13.42578125" customWidth="1"/>
  </cols>
  <sheetData>
    <row r="1" spans="1:3">
      <c r="A1" t="s">
        <v>529</v>
      </c>
    </row>
    <row r="2" spans="1:3">
      <c r="A2" t="s">
        <v>548</v>
      </c>
      <c r="B2" t="s">
        <v>549</v>
      </c>
      <c r="C2" t="s">
        <v>530</v>
      </c>
    </row>
    <row r="3" spans="1:3">
      <c r="A3" t="s">
        <v>531</v>
      </c>
      <c r="B3">
        <v>114.7</v>
      </c>
      <c r="C3" s="539">
        <f>B3/$B$18</f>
        <v>1.0744730679156909</v>
      </c>
    </row>
    <row r="4" spans="1:3">
      <c r="A4" t="s">
        <v>347</v>
      </c>
      <c r="B4">
        <v>107.7</v>
      </c>
      <c r="C4" s="539">
        <f t="shared" ref="C4:C16" si="0">B4/$B$18</f>
        <v>1.0088992974238875</v>
      </c>
    </row>
    <row r="5" spans="1:3">
      <c r="A5" t="s">
        <v>532</v>
      </c>
      <c r="B5">
        <v>104.3</v>
      </c>
      <c r="C5" s="539">
        <f t="shared" si="0"/>
        <v>0.9770491803278688</v>
      </c>
    </row>
    <row r="6" spans="1:3">
      <c r="A6" t="s">
        <v>533</v>
      </c>
      <c r="B6">
        <v>107.2</v>
      </c>
      <c r="C6" s="539">
        <f t="shared" si="0"/>
        <v>1.004215456674473</v>
      </c>
    </row>
    <row r="7" spans="1:3">
      <c r="A7" t="s">
        <v>534</v>
      </c>
      <c r="B7">
        <v>105.6</v>
      </c>
      <c r="C7" s="539">
        <f t="shared" si="0"/>
        <v>0.98922716627634655</v>
      </c>
    </row>
    <row r="8" spans="1:3">
      <c r="A8" t="s">
        <v>535</v>
      </c>
      <c r="B8">
        <v>108.1</v>
      </c>
      <c r="C8" s="539">
        <f t="shared" si="0"/>
        <v>1.0126463700234192</v>
      </c>
    </row>
    <row r="9" spans="1:3">
      <c r="A9" t="s">
        <v>536</v>
      </c>
      <c r="B9">
        <v>101.5</v>
      </c>
      <c r="C9" s="539">
        <f t="shared" si="0"/>
        <v>0.95081967213114749</v>
      </c>
    </row>
    <row r="10" spans="1:3">
      <c r="A10" t="s">
        <v>537</v>
      </c>
      <c r="B10">
        <v>105.6</v>
      </c>
      <c r="C10" s="539">
        <f t="shared" si="0"/>
        <v>0.98922716627634655</v>
      </c>
    </row>
    <row r="11" spans="1:3">
      <c r="A11" t="s">
        <v>538</v>
      </c>
      <c r="B11">
        <v>111.1</v>
      </c>
      <c r="C11" s="539">
        <f t="shared" si="0"/>
        <v>1.0407494145199063</v>
      </c>
    </row>
    <row r="12" spans="1:3">
      <c r="A12" t="s">
        <v>539</v>
      </c>
      <c r="B12">
        <v>109.9</v>
      </c>
      <c r="C12" s="539">
        <f t="shared" si="0"/>
        <v>1.0295081967213116</v>
      </c>
    </row>
    <row r="13" spans="1:3">
      <c r="A13" t="s">
        <v>540</v>
      </c>
      <c r="B13">
        <v>106.8</v>
      </c>
      <c r="C13" s="539">
        <f t="shared" si="0"/>
        <v>1.0004683840749413</v>
      </c>
    </row>
    <row r="14" spans="1:3">
      <c r="A14" t="s">
        <v>541</v>
      </c>
      <c r="B14">
        <v>101.6</v>
      </c>
      <c r="C14" s="539">
        <f t="shared" si="0"/>
        <v>0.95175644028103035</v>
      </c>
    </row>
    <row r="15" spans="1:3">
      <c r="A15" t="s">
        <v>542</v>
      </c>
      <c r="B15">
        <v>102.7</v>
      </c>
      <c r="C15" s="539">
        <f t="shared" si="0"/>
        <v>0.96206088992974237</v>
      </c>
    </row>
    <row r="16" spans="1:3">
      <c r="A16" t="s">
        <v>543</v>
      </c>
      <c r="B16">
        <v>107.7</v>
      </c>
      <c r="C16" s="539">
        <f t="shared" si="0"/>
        <v>1.0088992974238875</v>
      </c>
    </row>
    <row r="18" spans="1:2">
      <c r="A18" t="s">
        <v>544</v>
      </c>
      <c r="B18">
        <v>106.75</v>
      </c>
    </row>
  </sheetData>
  <pageMargins left="0.7" right="0.7" top="0.75" bottom="0.75" header="0.3" footer="0.3"/>
  <pageSetup orientation="portrait" r:id="rId1"/>
  <headerFooter>
    <oddFooter>&amp;R&amp;P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L25"/>
  <sheetViews>
    <sheetView topLeftCell="BL1" workbookViewId="0">
      <selection activeCell="BP24" sqref="BP24"/>
    </sheetView>
  </sheetViews>
  <sheetFormatPr defaultRowHeight="12.75"/>
  <cols>
    <col min="1" max="1" width="39.5703125" style="1687" customWidth="1"/>
    <col min="2" max="2" width="13.42578125" style="1696" customWidth="1"/>
    <col min="3" max="70" width="7.85546875" style="1687" customWidth="1"/>
    <col min="71" max="71" width="10.140625" style="1687" customWidth="1"/>
    <col min="72" max="82" width="7.85546875" style="1687" customWidth="1"/>
    <col min="83" max="256" width="9.140625" style="1687"/>
    <col min="257" max="257" width="39.5703125" style="1687" customWidth="1"/>
    <col min="258" max="258" width="13.42578125" style="1687" customWidth="1"/>
    <col min="259" max="326" width="7.85546875" style="1687" customWidth="1"/>
    <col min="327" max="327" width="10.140625" style="1687" customWidth="1"/>
    <col min="328" max="338" width="7.85546875" style="1687" customWidth="1"/>
    <col min="339" max="512" width="9.140625" style="1687"/>
    <col min="513" max="513" width="39.5703125" style="1687" customWidth="1"/>
    <col min="514" max="514" width="13.42578125" style="1687" customWidth="1"/>
    <col min="515" max="582" width="7.85546875" style="1687" customWidth="1"/>
    <col min="583" max="583" width="10.140625" style="1687" customWidth="1"/>
    <col min="584" max="594" width="7.85546875" style="1687" customWidth="1"/>
    <col min="595" max="768" width="9.140625" style="1687"/>
    <col min="769" max="769" width="39.5703125" style="1687" customWidth="1"/>
    <col min="770" max="770" width="13.42578125" style="1687" customWidth="1"/>
    <col min="771" max="838" width="7.85546875" style="1687" customWidth="1"/>
    <col min="839" max="839" width="10.140625" style="1687" customWidth="1"/>
    <col min="840" max="850" width="7.85546875" style="1687" customWidth="1"/>
    <col min="851" max="1024" width="9.140625" style="1687"/>
    <col min="1025" max="1025" width="39.5703125" style="1687" customWidth="1"/>
    <col min="1026" max="1026" width="13.42578125" style="1687" customWidth="1"/>
    <col min="1027" max="1094" width="7.85546875" style="1687" customWidth="1"/>
    <col min="1095" max="1095" width="10.140625" style="1687" customWidth="1"/>
    <col min="1096" max="1106" width="7.85546875" style="1687" customWidth="1"/>
    <col min="1107" max="1280" width="9.140625" style="1687"/>
    <col min="1281" max="1281" width="39.5703125" style="1687" customWidth="1"/>
    <col min="1282" max="1282" width="13.42578125" style="1687" customWidth="1"/>
    <col min="1283" max="1350" width="7.85546875" style="1687" customWidth="1"/>
    <col min="1351" max="1351" width="10.140625" style="1687" customWidth="1"/>
    <col min="1352" max="1362" width="7.85546875" style="1687" customWidth="1"/>
    <col min="1363" max="1536" width="9.140625" style="1687"/>
    <col min="1537" max="1537" width="39.5703125" style="1687" customWidth="1"/>
    <col min="1538" max="1538" width="13.42578125" style="1687" customWidth="1"/>
    <col min="1539" max="1606" width="7.85546875" style="1687" customWidth="1"/>
    <col min="1607" max="1607" width="10.140625" style="1687" customWidth="1"/>
    <col min="1608" max="1618" width="7.85546875" style="1687" customWidth="1"/>
    <col min="1619" max="1792" width="9.140625" style="1687"/>
    <col min="1793" max="1793" width="39.5703125" style="1687" customWidth="1"/>
    <col min="1794" max="1794" width="13.42578125" style="1687" customWidth="1"/>
    <col min="1795" max="1862" width="7.85546875" style="1687" customWidth="1"/>
    <col min="1863" max="1863" width="10.140625" style="1687" customWidth="1"/>
    <col min="1864" max="1874" width="7.85546875" style="1687" customWidth="1"/>
    <col min="1875" max="2048" width="9.140625" style="1687"/>
    <col min="2049" max="2049" width="39.5703125" style="1687" customWidth="1"/>
    <col min="2050" max="2050" width="13.42578125" style="1687" customWidth="1"/>
    <col min="2051" max="2118" width="7.85546875" style="1687" customWidth="1"/>
    <col min="2119" max="2119" width="10.140625" style="1687" customWidth="1"/>
    <col min="2120" max="2130" width="7.85546875" style="1687" customWidth="1"/>
    <col min="2131" max="2304" width="9.140625" style="1687"/>
    <col min="2305" max="2305" width="39.5703125" style="1687" customWidth="1"/>
    <col min="2306" max="2306" width="13.42578125" style="1687" customWidth="1"/>
    <col min="2307" max="2374" width="7.85546875" style="1687" customWidth="1"/>
    <col min="2375" max="2375" width="10.140625" style="1687" customWidth="1"/>
    <col min="2376" max="2386" width="7.85546875" style="1687" customWidth="1"/>
    <col min="2387" max="2560" width="9.140625" style="1687"/>
    <col min="2561" max="2561" width="39.5703125" style="1687" customWidth="1"/>
    <col min="2562" max="2562" width="13.42578125" style="1687" customWidth="1"/>
    <col min="2563" max="2630" width="7.85546875" style="1687" customWidth="1"/>
    <col min="2631" max="2631" width="10.140625" style="1687" customWidth="1"/>
    <col min="2632" max="2642" width="7.85546875" style="1687" customWidth="1"/>
    <col min="2643" max="2816" width="9.140625" style="1687"/>
    <col min="2817" max="2817" width="39.5703125" style="1687" customWidth="1"/>
    <col min="2818" max="2818" width="13.42578125" style="1687" customWidth="1"/>
    <col min="2819" max="2886" width="7.85546875" style="1687" customWidth="1"/>
    <col min="2887" max="2887" width="10.140625" style="1687" customWidth="1"/>
    <col min="2888" max="2898" width="7.85546875" style="1687" customWidth="1"/>
    <col min="2899" max="3072" width="9.140625" style="1687"/>
    <col min="3073" max="3073" width="39.5703125" style="1687" customWidth="1"/>
    <col min="3074" max="3074" width="13.42578125" style="1687" customWidth="1"/>
    <col min="3075" max="3142" width="7.85546875" style="1687" customWidth="1"/>
    <col min="3143" max="3143" width="10.140625" style="1687" customWidth="1"/>
    <col min="3144" max="3154" width="7.85546875" style="1687" customWidth="1"/>
    <col min="3155" max="3328" width="9.140625" style="1687"/>
    <col min="3329" max="3329" width="39.5703125" style="1687" customWidth="1"/>
    <col min="3330" max="3330" width="13.42578125" style="1687" customWidth="1"/>
    <col min="3331" max="3398" width="7.85546875" style="1687" customWidth="1"/>
    <col min="3399" max="3399" width="10.140625" style="1687" customWidth="1"/>
    <col min="3400" max="3410" width="7.85546875" style="1687" customWidth="1"/>
    <col min="3411" max="3584" width="9.140625" style="1687"/>
    <col min="3585" max="3585" width="39.5703125" style="1687" customWidth="1"/>
    <col min="3586" max="3586" width="13.42578125" style="1687" customWidth="1"/>
    <col min="3587" max="3654" width="7.85546875" style="1687" customWidth="1"/>
    <col min="3655" max="3655" width="10.140625" style="1687" customWidth="1"/>
    <col min="3656" max="3666" width="7.85546875" style="1687" customWidth="1"/>
    <col min="3667" max="3840" width="9.140625" style="1687"/>
    <col min="3841" max="3841" width="39.5703125" style="1687" customWidth="1"/>
    <col min="3842" max="3842" width="13.42578125" style="1687" customWidth="1"/>
    <col min="3843" max="3910" width="7.85546875" style="1687" customWidth="1"/>
    <col min="3911" max="3911" width="10.140625" style="1687" customWidth="1"/>
    <col min="3912" max="3922" width="7.85546875" style="1687" customWidth="1"/>
    <col min="3923" max="4096" width="9.140625" style="1687"/>
    <col min="4097" max="4097" width="39.5703125" style="1687" customWidth="1"/>
    <col min="4098" max="4098" width="13.42578125" style="1687" customWidth="1"/>
    <col min="4099" max="4166" width="7.85546875" style="1687" customWidth="1"/>
    <col min="4167" max="4167" width="10.140625" style="1687" customWidth="1"/>
    <col min="4168" max="4178" width="7.85546875" style="1687" customWidth="1"/>
    <col min="4179" max="4352" width="9.140625" style="1687"/>
    <col min="4353" max="4353" width="39.5703125" style="1687" customWidth="1"/>
    <col min="4354" max="4354" width="13.42578125" style="1687" customWidth="1"/>
    <col min="4355" max="4422" width="7.85546875" style="1687" customWidth="1"/>
    <col min="4423" max="4423" width="10.140625" style="1687" customWidth="1"/>
    <col min="4424" max="4434" width="7.85546875" style="1687" customWidth="1"/>
    <col min="4435" max="4608" width="9.140625" style="1687"/>
    <col min="4609" max="4609" width="39.5703125" style="1687" customWidth="1"/>
    <col min="4610" max="4610" width="13.42578125" style="1687" customWidth="1"/>
    <col min="4611" max="4678" width="7.85546875" style="1687" customWidth="1"/>
    <col min="4679" max="4679" width="10.140625" style="1687" customWidth="1"/>
    <col min="4680" max="4690" width="7.85546875" style="1687" customWidth="1"/>
    <col min="4691" max="4864" width="9.140625" style="1687"/>
    <col min="4865" max="4865" width="39.5703125" style="1687" customWidth="1"/>
    <col min="4866" max="4866" width="13.42578125" style="1687" customWidth="1"/>
    <col min="4867" max="4934" width="7.85546875" style="1687" customWidth="1"/>
    <col min="4935" max="4935" width="10.140625" style="1687" customWidth="1"/>
    <col min="4936" max="4946" width="7.85546875" style="1687" customWidth="1"/>
    <col min="4947" max="5120" width="9.140625" style="1687"/>
    <col min="5121" max="5121" width="39.5703125" style="1687" customWidth="1"/>
    <col min="5122" max="5122" width="13.42578125" style="1687" customWidth="1"/>
    <col min="5123" max="5190" width="7.85546875" style="1687" customWidth="1"/>
    <col min="5191" max="5191" width="10.140625" style="1687" customWidth="1"/>
    <col min="5192" max="5202" width="7.85546875" style="1687" customWidth="1"/>
    <col min="5203" max="5376" width="9.140625" style="1687"/>
    <col min="5377" max="5377" width="39.5703125" style="1687" customWidth="1"/>
    <col min="5378" max="5378" width="13.42578125" style="1687" customWidth="1"/>
    <col min="5379" max="5446" width="7.85546875" style="1687" customWidth="1"/>
    <col min="5447" max="5447" width="10.140625" style="1687" customWidth="1"/>
    <col min="5448" max="5458" width="7.85546875" style="1687" customWidth="1"/>
    <col min="5459" max="5632" width="9.140625" style="1687"/>
    <col min="5633" max="5633" width="39.5703125" style="1687" customWidth="1"/>
    <col min="5634" max="5634" width="13.42578125" style="1687" customWidth="1"/>
    <col min="5635" max="5702" width="7.85546875" style="1687" customWidth="1"/>
    <col min="5703" max="5703" width="10.140625" style="1687" customWidth="1"/>
    <col min="5704" max="5714" width="7.85546875" style="1687" customWidth="1"/>
    <col min="5715" max="5888" width="9.140625" style="1687"/>
    <col min="5889" max="5889" width="39.5703125" style="1687" customWidth="1"/>
    <col min="5890" max="5890" width="13.42578125" style="1687" customWidth="1"/>
    <col min="5891" max="5958" width="7.85546875" style="1687" customWidth="1"/>
    <col min="5959" max="5959" width="10.140625" style="1687" customWidth="1"/>
    <col min="5960" max="5970" width="7.85546875" style="1687" customWidth="1"/>
    <col min="5971" max="6144" width="9.140625" style="1687"/>
    <col min="6145" max="6145" width="39.5703125" style="1687" customWidth="1"/>
    <col min="6146" max="6146" width="13.42578125" style="1687" customWidth="1"/>
    <col min="6147" max="6214" width="7.85546875" style="1687" customWidth="1"/>
    <col min="6215" max="6215" width="10.140625" style="1687" customWidth="1"/>
    <col min="6216" max="6226" width="7.85546875" style="1687" customWidth="1"/>
    <col min="6227" max="6400" width="9.140625" style="1687"/>
    <col min="6401" max="6401" width="39.5703125" style="1687" customWidth="1"/>
    <col min="6402" max="6402" width="13.42578125" style="1687" customWidth="1"/>
    <col min="6403" max="6470" width="7.85546875" style="1687" customWidth="1"/>
    <col min="6471" max="6471" width="10.140625" style="1687" customWidth="1"/>
    <col min="6472" max="6482" width="7.85546875" style="1687" customWidth="1"/>
    <col min="6483" max="6656" width="9.140625" style="1687"/>
    <col min="6657" max="6657" width="39.5703125" style="1687" customWidth="1"/>
    <col min="6658" max="6658" width="13.42578125" style="1687" customWidth="1"/>
    <col min="6659" max="6726" width="7.85546875" style="1687" customWidth="1"/>
    <col min="6727" max="6727" width="10.140625" style="1687" customWidth="1"/>
    <col min="6728" max="6738" width="7.85546875" style="1687" customWidth="1"/>
    <col min="6739" max="6912" width="9.140625" style="1687"/>
    <col min="6913" max="6913" width="39.5703125" style="1687" customWidth="1"/>
    <col min="6914" max="6914" width="13.42578125" style="1687" customWidth="1"/>
    <col min="6915" max="6982" width="7.85546875" style="1687" customWidth="1"/>
    <col min="6983" max="6983" width="10.140625" style="1687" customWidth="1"/>
    <col min="6984" max="6994" width="7.85546875" style="1687" customWidth="1"/>
    <col min="6995" max="7168" width="9.140625" style="1687"/>
    <col min="7169" max="7169" width="39.5703125" style="1687" customWidth="1"/>
    <col min="7170" max="7170" width="13.42578125" style="1687" customWidth="1"/>
    <col min="7171" max="7238" width="7.85546875" style="1687" customWidth="1"/>
    <col min="7239" max="7239" width="10.140625" style="1687" customWidth="1"/>
    <col min="7240" max="7250" width="7.85546875" style="1687" customWidth="1"/>
    <col min="7251" max="7424" width="9.140625" style="1687"/>
    <col min="7425" max="7425" width="39.5703125" style="1687" customWidth="1"/>
    <col min="7426" max="7426" width="13.42578125" style="1687" customWidth="1"/>
    <col min="7427" max="7494" width="7.85546875" style="1687" customWidth="1"/>
    <col min="7495" max="7495" width="10.140625" style="1687" customWidth="1"/>
    <col min="7496" max="7506" width="7.85546875" style="1687" customWidth="1"/>
    <col min="7507" max="7680" width="9.140625" style="1687"/>
    <col min="7681" max="7681" width="39.5703125" style="1687" customWidth="1"/>
    <col min="7682" max="7682" width="13.42578125" style="1687" customWidth="1"/>
    <col min="7683" max="7750" width="7.85546875" style="1687" customWidth="1"/>
    <col min="7751" max="7751" width="10.140625" style="1687" customWidth="1"/>
    <col min="7752" max="7762" width="7.85546875" style="1687" customWidth="1"/>
    <col min="7763" max="7936" width="9.140625" style="1687"/>
    <col min="7937" max="7937" width="39.5703125" style="1687" customWidth="1"/>
    <col min="7938" max="7938" width="13.42578125" style="1687" customWidth="1"/>
    <col min="7939" max="8006" width="7.85546875" style="1687" customWidth="1"/>
    <col min="8007" max="8007" width="10.140625" style="1687" customWidth="1"/>
    <col min="8008" max="8018" width="7.85546875" style="1687" customWidth="1"/>
    <col min="8019" max="8192" width="9.140625" style="1687"/>
    <col min="8193" max="8193" width="39.5703125" style="1687" customWidth="1"/>
    <col min="8194" max="8194" width="13.42578125" style="1687" customWidth="1"/>
    <col min="8195" max="8262" width="7.85546875" style="1687" customWidth="1"/>
    <col min="8263" max="8263" width="10.140625" style="1687" customWidth="1"/>
    <col min="8264" max="8274" width="7.85546875" style="1687" customWidth="1"/>
    <col min="8275" max="8448" width="9.140625" style="1687"/>
    <col min="8449" max="8449" width="39.5703125" style="1687" customWidth="1"/>
    <col min="8450" max="8450" width="13.42578125" style="1687" customWidth="1"/>
    <col min="8451" max="8518" width="7.85546875" style="1687" customWidth="1"/>
    <col min="8519" max="8519" width="10.140625" style="1687" customWidth="1"/>
    <col min="8520" max="8530" width="7.85546875" style="1687" customWidth="1"/>
    <col min="8531" max="8704" width="9.140625" style="1687"/>
    <col min="8705" max="8705" width="39.5703125" style="1687" customWidth="1"/>
    <col min="8706" max="8706" width="13.42578125" style="1687" customWidth="1"/>
    <col min="8707" max="8774" width="7.85546875" style="1687" customWidth="1"/>
    <col min="8775" max="8775" width="10.140625" style="1687" customWidth="1"/>
    <col min="8776" max="8786" width="7.85546875" style="1687" customWidth="1"/>
    <col min="8787" max="8960" width="9.140625" style="1687"/>
    <col min="8961" max="8961" width="39.5703125" style="1687" customWidth="1"/>
    <col min="8962" max="8962" width="13.42578125" style="1687" customWidth="1"/>
    <col min="8963" max="9030" width="7.85546875" style="1687" customWidth="1"/>
    <col min="9031" max="9031" width="10.140625" style="1687" customWidth="1"/>
    <col min="9032" max="9042" width="7.85546875" style="1687" customWidth="1"/>
    <col min="9043" max="9216" width="9.140625" style="1687"/>
    <col min="9217" max="9217" width="39.5703125" style="1687" customWidth="1"/>
    <col min="9218" max="9218" width="13.42578125" style="1687" customWidth="1"/>
    <col min="9219" max="9286" width="7.85546875" style="1687" customWidth="1"/>
    <col min="9287" max="9287" width="10.140625" style="1687" customWidth="1"/>
    <col min="9288" max="9298" width="7.85546875" style="1687" customWidth="1"/>
    <col min="9299" max="9472" width="9.140625" style="1687"/>
    <col min="9473" max="9473" width="39.5703125" style="1687" customWidth="1"/>
    <col min="9474" max="9474" width="13.42578125" style="1687" customWidth="1"/>
    <col min="9475" max="9542" width="7.85546875" style="1687" customWidth="1"/>
    <col min="9543" max="9543" width="10.140625" style="1687" customWidth="1"/>
    <col min="9544" max="9554" width="7.85546875" style="1687" customWidth="1"/>
    <col min="9555" max="9728" width="9.140625" style="1687"/>
    <col min="9729" max="9729" width="39.5703125" style="1687" customWidth="1"/>
    <col min="9730" max="9730" width="13.42578125" style="1687" customWidth="1"/>
    <col min="9731" max="9798" width="7.85546875" style="1687" customWidth="1"/>
    <col min="9799" max="9799" width="10.140625" style="1687" customWidth="1"/>
    <col min="9800" max="9810" width="7.85546875" style="1687" customWidth="1"/>
    <col min="9811" max="9984" width="9.140625" style="1687"/>
    <col min="9985" max="9985" width="39.5703125" style="1687" customWidth="1"/>
    <col min="9986" max="9986" width="13.42578125" style="1687" customWidth="1"/>
    <col min="9987" max="10054" width="7.85546875" style="1687" customWidth="1"/>
    <col min="10055" max="10055" width="10.140625" style="1687" customWidth="1"/>
    <col min="10056" max="10066" width="7.85546875" style="1687" customWidth="1"/>
    <col min="10067" max="10240" width="9.140625" style="1687"/>
    <col min="10241" max="10241" width="39.5703125" style="1687" customWidth="1"/>
    <col min="10242" max="10242" width="13.42578125" style="1687" customWidth="1"/>
    <col min="10243" max="10310" width="7.85546875" style="1687" customWidth="1"/>
    <col min="10311" max="10311" width="10.140625" style="1687" customWidth="1"/>
    <col min="10312" max="10322" width="7.85546875" style="1687" customWidth="1"/>
    <col min="10323" max="10496" width="9.140625" style="1687"/>
    <col min="10497" max="10497" width="39.5703125" style="1687" customWidth="1"/>
    <col min="10498" max="10498" width="13.42578125" style="1687" customWidth="1"/>
    <col min="10499" max="10566" width="7.85546875" style="1687" customWidth="1"/>
    <col min="10567" max="10567" width="10.140625" style="1687" customWidth="1"/>
    <col min="10568" max="10578" width="7.85546875" style="1687" customWidth="1"/>
    <col min="10579" max="10752" width="9.140625" style="1687"/>
    <col min="10753" max="10753" width="39.5703125" style="1687" customWidth="1"/>
    <col min="10754" max="10754" width="13.42578125" style="1687" customWidth="1"/>
    <col min="10755" max="10822" width="7.85546875" style="1687" customWidth="1"/>
    <col min="10823" max="10823" width="10.140625" style="1687" customWidth="1"/>
    <col min="10824" max="10834" width="7.85546875" style="1687" customWidth="1"/>
    <col min="10835" max="11008" width="9.140625" style="1687"/>
    <col min="11009" max="11009" width="39.5703125" style="1687" customWidth="1"/>
    <col min="11010" max="11010" width="13.42578125" style="1687" customWidth="1"/>
    <col min="11011" max="11078" width="7.85546875" style="1687" customWidth="1"/>
    <col min="11079" max="11079" width="10.140625" style="1687" customWidth="1"/>
    <col min="11080" max="11090" width="7.85546875" style="1687" customWidth="1"/>
    <col min="11091" max="11264" width="9.140625" style="1687"/>
    <col min="11265" max="11265" width="39.5703125" style="1687" customWidth="1"/>
    <col min="11266" max="11266" width="13.42578125" style="1687" customWidth="1"/>
    <col min="11267" max="11334" width="7.85546875" style="1687" customWidth="1"/>
    <col min="11335" max="11335" width="10.140625" style="1687" customWidth="1"/>
    <col min="11336" max="11346" width="7.85546875" style="1687" customWidth="1"/>
    <col min="11347" max="11520" width="9.140625" style="1687"/>
    <col min="11521" max="11521" width="39.5703125" style="1687" customWidth="1"/>
    <col min="11522" max="11522" width="13.42578125" style="1687" customWidth="1"/>
    <col min="11523" max="11590" width="7.85546875" style="1687" customWidth="1"/>
    <col min="11591" max="11591" width="10.140625" style="1687" customWidth="1"/>
    <col min="11592" max="11602" width="7.85546875" style="1687" customWidth="1"/>
    <col min="11603" max="11776" width="9.140625" style="1687"/>
    <col min="11777" max="11777" width="39.5703125" style="1687" customWidth="1"/>
    <col min="11778" max="11778" width="13.42578125" style="1687" customWidth="1"/>
    <col min="11779" max="11846" width="7.85546875" style="1687" customWidth="1"/>
    <col min="11847" max="11847" width="10.140625" style="1687" customWidth="1"/>
    <col min="11848" max="11858" width="7.85546875" style="1687" customWidth="1"/>
    <col min="11859" max="12032" width="9.140625" style="1687"/>
    <col min="12033" max="12033" width="39.5703125" style="1687" customWidth="1"/>
    <col min="12034" max="12034" width="13.42578125" style="1687" customWidth="1"/>
    <col min="12035" max="12102" width="7.85546875" style="1687" customWidth="1"/>
    <col min="12103" max="12103" width="10.140625" style="1687" customWidth="1"/>
    <col min="12104" max="12114" width="7.85546875" style="1687" customWidth="1"/>
    <col min="12115" max="12288" width="9.140625" style="1687"/>
    <col min="12289" max="12289" width="39.5703125" style="1687" customWidth="1"/>
    <col min="12290" max="12290" width="13.42578125" style="1687" customWidth="1"/>
    <col min="12291" max="12358" width="7.85546875" style="1687" customWidth="1"/>
    <col min="12359" max="12359" width="10.140625" style="1687" customWidth="1"/>
    <col min="12360" max="12370" width="7.85546875" style="1687" customWidth="1"/>
    <col min="12371" max="12544" width="9.140625" style="1687"/>
    <col min="12545" max="12545" width="39.5703125" style="1687" customWidth="1"/>
    <col min="12546" max="12546" width="13.42578125" style="1687" customWidth="1"/>
    <col min="12547" max="12614" width="7.85546875" style="1687" customWidth="1"/>
    <col min="12615" max="12615" width="10.140625" style="1687" customWidth="1"/>
    <col min="12616" max="12626" width="7.85546875" style="1687" customWidth="1"/>
    <col min="12627" max="12800" width="9.140625" style="1687"/>
    <col min="12801" max="12801" width="39.5703125" style="1687" customWidth="1"/>
    <col min="12802" max="12802" width="13.42578125" style="1687" customWidth="1"/>
    <col min="12803" max="12870" width="7.85546875" style="1687" customWidth="1"/>
    <col min="12871" max="12871" width="10.140625" style="1687" customWidth="1"/>
    <col min="12872" max="12882" width="7.85546875" style="1687" customWidth="1"/>
    <col min="12883" max="13056" width="9.140625" style="1687"/>
    <col min="13057" max="13057" width="39.5703125" style="1687" customWidth="1"/>
    <col min="13058" max="13058" width="13.42578125" style="1687" customWidth="1"/>
    <col min="13059" max="13126" width="7.85546875" style="1687" customWidth="1"/>
    <col min="13127" max="13127" width="10.140625" style="1687" customWidth="1"/>
    <col min="13128" max="13138" width="7.85546875" style="1687" customWidth="1"/>
    <col min="13139" max="13312" width="9.140625" style="1687"/>
    <col min="13313" max="13313" width="39.5703125" style="1687" customWidth="1"/>
    <col min="13314" max="13314" width="13.42578125" style="1687" customWidth="1"/>
    <col min="13315" max="13382" width="7.85546875" style="1687" customWidth="1"/>
    <col min="13383" max="13383" width="10.140625" style="1687" customWidth="1"/>
    <col min="13384" max="13394" width="7.85546875" style="1687" customWidth="1"/>
    <col min="13395" max="13568" width="9.140625" style="1687"/>
    <col min="13569" max="13569" width="39.5703125" style="1687" customWidth="1"/>
    <col min="13570" max="13570" width="13.42578125" style="1687" customWidth="1"/>
    <col min="13571" max="13638" width="7.85546875" style="1687" customWidth="1"/>
    <col min="13639" max="13639" width="10.140625" style="1687" customWidth="1"/>
    <col min="13640" max="13650" width="7.85546875" style="1687" customWidth="1"/>
    <col min="13651" max="13824" width="9.140625" style="1687"/>
    <col min="13825" max="13825" width="39.5703125" style="1687" customWidth="1"/>
    <col min="13826" max="13826" width="13.42578125" style="1687" customWidth="1"/>
    <col min="13827" max="13894" width="7.85546875" style="1687" customWidth="1"/>
    <col min="13895" max="13895" width="10.140625" style="1687" customWidth="1"/>
    <col min="13896" max="13906" width="7.85546875" style="1687" customWidth="1"/>
    <col min="13907" max="14080" width="9.140625" style="1687"/>
    <col min="14081" max="14081" width="39.5703125" style="1687" customWidth="1"/>
    <col min="14082" max="14082" width="13.42578125" style="1687" customWidth="1"/>
    <col min="14083" max="14150" width="7.85546875" style="1687" customWidth="1"/>
    <col min="14151" max="14151" width="10.140625" style="1687" customWidth="1"/>
    <col min="14152" max="14162" width="7.85546875" style="1687" customWidth="1"/>
    <col min="14163" max="14336" width="9.140625" style="1687"/>
    <col min="14337" max="14337" width="39.5703125" style="1687" customWidth="1"/>
    <col min="14338" max="14338" width="13.42578125" style="1687" customWidth="1"/>
    <col min="14339" max="14406" width="7.85546875" style="1687" customWidth="1"/>
    <col min="14407" max="14407" width="10.140625" style="1687" customWidth="1"/>
    <col min="14408" max="14418" width="7.85546875" style="1687" customWidth="1"/>
    <col min="14419" max="14592" width="9.140625" style="1687"/>
    <col min="14593" max="14593" width="39.5703125" style="1687" customWidth="1"/>
    <col min="14594" max="14594" width="13.42578125" style="1687" customWidth="1"/>
    <col min="14595" max="14662" width="7.85546875" style="1687" customWidth="1"/>
    <col min="14663" max="14663" width="10.140625" style="1687" customWidth="1"/>
    <col min="14664" max="14674" width="7.85546875" style="1687" customWidth="1"/>
    <col min="14675" max="14848" width="9.140625" style="1687"/>
    <col min="14849" max="14849" width="39.5703125" style="1687" customWidth="1"/>
    <col min="14850" max="14850" width="13.42578125" style="1687" customWidth="1"/>
    <col min="14851" max="14918" width="7.85546875" style="1687" customWidth="1"/>
    <col min="14919" max="14919" width="10.140625" style="1687" customWidth="1"/>
    <col min="14920" max="14930" width="7.85546875" style="1687" customWidth="1"/>
    <col min="14931" max="15104" width="9.140625" style="1687"/>
    <col min="15105" max="15105" width="39.5703125" style="1687" customWidth="1"/>
    <col min="15106" max="15106" width="13.42578125" style="1687" customWidth="1"/>
    <col min="15107" max="15174" width="7.85546875" style="1687" customWidth="1"/>
    <col min="15175" max="15175" width="10.140625" style="1687" customWidth="1"/>
    <col min="15176" max="15186" width="7.85546875" style="1687" customWidth="1"/>
    <col min="15187" max="15360" width="9.140625" style="1687"/>
    <col min="15361" max="15361" width="39.5703125" style="1687" customWidth="1"/>
    <col min="15362" max="15362" width="13.42578125" style="1687" customWidth="1"/>
    <col min="15363" max="15430" width="7.85546875" style="1687" customWidth="1"/>
    <col min="15431" max="15431" width="10.140625" style="1687" customWidth="1"/>
    <col min="15432" max="15442" width="7.85546875" style="1687" customWidth="1"/>
    <col min="15443" max="15616" width="9.140625" style="1687"/>
    <col min="15617" max="15617" width="39.5703125" style="1687" customWidth="1"/>
    <col min="15618" max="15618" width="13.42578125" style="1687" customWidth="1"/>
    <col min="15619" max="15686" width="7.85546875" style="1687" customWidth="1"/>
    <col min="15687" max="15687" width="10.140625" style="1687" customWidth="1"/>
    <col min="15688" max="15698" width="7.85546875" style="1687" customWidth="1"/>
    <col min="15699" max="15872" width="9.140625" style="1687"/>
    <col min="15873" max="15873" width="39.5703125" style="1687" customWidth="1"/>
    <col min="15874" max="15874" width="13.42578125" style="1687" customWidth="1"/>
    <col min="15875" max="15942" width="7.85546875" style="1687" customWidth="1"/>
    <col min="15943" max="15943" width="10.140625" style="1687" customWidth="1"/>
    <col min="15944" max="15954" width="7.85546875" style="1687" customWidth="1"/>
    <col min="15955" max="16128" width="9.140625" style="1687"/>
    <col min="16129" max="16129" width="39.5703125" style="1687" customWidth="1"/>
    <col min="16130" max="16130" width="13.42578125" style="1687" customWidth="1"/>
    <col min="16131" max="16198" width="7.85546875" style="1687" customWidth="1"/>
    <col min="16199" max="16199" width="10.140625" style="1687" customWidth="1"/>
    <col min="16200" max="16210" width="7.85546875" style="1687" customWidth="1"/>
    <col min="16211" max="16384" width="9.140625" style="1687"/>
  </cols>
  <sheetData>
    <row r="1" spans="1:90" ht="18">
      <c r="A1" s="1762" t="s">
        <v>50</v>
      </c>
      <c r="B1" s="1763"/>
    </row>
    <row r="2" spans="1:90" ht="15.75">
      <c r="A2" s="1764" t="s">
        <v>1075</v>
      </c>
      <c r="B2" s="1765"/>
    </row>
    <row r="3" spans="1:90" ht="15.75" thickBot="1">
      <c r="A3" s="1766" t="s">
        <v>314</v>
      </c>
      <c r="B3" s="1767"/>
    </row>
    <row r="6" spans="1:90">
      <c r="BM6" s="454" t="s">
        <v>458</v>
      </c>
      <c r="BN6" s="454" t="s">
        <v>458</v>
      </c>
      <c r="BO6" s="454" t="s">
        <v>458</v>
      </c>
      <c r="BP6" s="454" t="s">
        <v>458</v>
      </c>
      <c r="BQ6" s="455" t="s">
        <v>459</v>
      </c>
      <c r="BR6" s="455" t="s">
        <v>459</v>
      </c>
      <c r="BS6" s="455" t="s">
        <v>459</v>
      </c>
      <c r="BT6" s="455" t="s">
        <v>459</v>
      </c>
      <c r="BU6" s="451" t="s">
        <v>796</v>
      </c>
      <c r="BV6" s="451" t="s">
        <v>796</v>
      </c>
      <c r="BW6" s="451" t="s">
        <v>796</v>
      </c>
      <c r="BX6" s="451" t="s">
        <v>796</v>
      </c>
      <c r="BY6" s="918" t="s">
        <v>797</v>
      </c>
      <c r="BZ6" s="918" t="s">
        <v>797</v>
      </c>
      <c r="CA6" s="918" t="s">
        <v>797</v>
      </c>
      <c r="CB6" s="918" t="s">
        <v>797</v>
      </c>
      <c r="CC6" s="1768" t="s">
        <v>1076</v>
      </c>
      <c r="CD6" s="1768" t="s">
        <v>1076</v>
      </c>
      <c r="CE6" s="1768" t="s">
        <v>1076</v>
      </c>
      <c r="CF6" s="1768" t="s">
        <v>1076</v>
      </c>
    </row>
    <row r="7" spans="1:90" s="1696" customFormat="1">
      <c r="B7" s="1696" t="s">
        <v>51</v>
      </c>
      <c r="C7" s="1769" t="s">
        <v>52</v>
      </c>
      <c r="D7" s="1769" t="s">
        <v>53</v>
      </c>
      <c r="E7" s="1769" t="s">
        <v>54</v>
      </c>
      <c r="F7" s="1769" t="s">
        <v>55</v>
      </c>
      <c r="G7" s="1769" t="s">
        <v>56</v>
      </c>
      <c r="H7" s="1769" t="s">
        <v>57</v>
      </c>
      <c r="I7" s="1769" t="s">
        <v>58</v>
      </c>
      <c r="J7" s="1769" t="s">
        <v>59</v>
      </c>
      <c r="K7" s="1769" t="s">
        <v>60</v>
      </c>
      <c r="L7" s="1769" t="s">
        <v>61</v>
      </c>
      <c r="M7" s="1769" t="s">
        <v>62</v>
      </c>
      <c r="N7" s="1769" t="s">
        <v>63</v>
      </c>
      <c r="O7" s="1769" t="s">
        <v>64</v>
      </c>
      <c r="P7" s="1769" t="s">
        <v>65</v>
      </c>
      <c r="Q7" s="1769" t="s">
        <v>66</v>
      </c>
      <c r="R7" s="1769" t="s">
        <v>67</v>
      </c>
      <c r="S7" s="1769" t="s">
        <v>68</v>
      </c>
      <c r="T7" s="1769" t="s">
        <v>69</v>
      </c>
      <c r="U7" s="1769" t="s">
        <v>70</v>
      </c>
      <c r="V7" s="1769" t="s">
        <v>71</v>
      </c>
      <c r="W7" s="1769" t="s">
        <v>72</v>
      </c>
      <c r="X7" s="1769" t="s">
        <v>73</v>
      </c>
      <c r="Y7" s="1769" t="s">
        <v>74</v>
      </c>
      <c r="Z7" s="1769" t="s">
        <v>75</v>
      </c>
      <c r="AA7" s="1769" t="s">
        <v>76</v>
      </c>
      <c r="AB7" s="1769" t="s">
        <v>77</v>
      </c>
      <c r="AC7" s="1769" t="s">
        <v>78</v>
      </c>
      <c r="AD7" s="1769" t="s">
        <v>79</v>
      </c>
      <c r="AE7" s="1769" t="s">
        <v>80</v>
      </c>
      <c r="AF7" s="1769" t="s">
        <v>81</v>
      </c>
      <c r="AG7" s="1769" t="s">
        <v>82</v>
      </c>
      <c r="AH7" s="1769" t="s">
        <v>83</v>
      </c>
      <c r="AI7" s="1769" t="s">
        <v>84</v>
      </c>
      <c r="AJ7" s="1769" t="s">
        <v>85</v>
      </c>
      <c r="AK7" s="1769" t="s">
        <v>86</v>
      </c>
      <c r="AL7" s="1769" t="s">
        <v>87</v>
      </c>
      <c r="AM7" s="1769" t="s">
        <v>88</v>
      </c>
      <c r="AN7" s="1769" t="s">
        <v>89</v>
      </c>
      <c r="AO7" s="1769" t="s">
        <v>90</v>
      </c>
      <c r="AP7" s="1769" t="s">
        <v>91</v>
      </c>
      <c r="AQ7" s="1769" t="s">
        <v>92</v>
      </c>
      <c r="AR7" s="1769" t="s">
        <v>93</v>
      </c>
      <c r="AS7" s="1769" t="s">
        <v>94</v>
      </c>
      <c r="AT7" s="1769" t="s">
        <v>95</v>
      </c>
      <c r="AU7" s="1696" t="s">
        <v>96</v>
      </c>
      <c r="AV7" s="1696" t="s">
        <v>97</v>
      </c>
      <c r="AW7" s="1696" t="s">
        <v>98</v>
      </c>
      <c r="AX7" s="1696" t="s">
        <v>99</v>
      </c>
      <c r="AY7" s="1696" t="s">
        <v>100</v>
      </c>
      <c r="AZ7" s="1696" t="s">
        <v>101</v>
      </c>
      <c r="BA7" s="1696" t="s">
        <v>102</v>
      </c>
      <c r="BB7" s="1696" t="s">
        <v>103</v>
      </c>
      <c r="BC7" s="1696" t="s">
        <v>104</v>
      </c>
      <c r="BD7" s="1696" t="s">
        <v>105</v>
      </c>
      <c r="BE7" s="1696" t="s">
        <v>106</v>
      </c>
      <c r="BF7" s="1696" t="s">
        <v>107</v>
      </c>
      <c r="BG7" s="1696" t="s">
        <v>108</v>
      </c>
      <c r="BH7" s="1696" t="s">
        <v>109</v>
      </c>
      <c r="BI7" s="1696" t="s">
        <v>110</v>
      </c>
      <c r="BJ7" s="1696" t="s">
        <v>111</v>
      </c>
      <c r="BK7" s="1696" t="s">
        <v>136</v>
      </c>
      <c r="BL7" s="1696" t="s">
        <v>137</v>
      </c>
      <c r="BM7" s="1696" t="s">
        <v>138</v>
      </c>
      <c r="BN7" s="1696" t="s">
        <v>139</v>
      </c>
      <c r="BO7" s="1696" t="s">
        <v>319</v>
      </c>
      <c r="BP7" s="1696" t="s">
        <v>320</v>
      </c>
      <c r="BQ7" s="1696" t="s">
        <v>321</v>
      </c>
      <c r="BR7" s="1696" t="s">
        <v>322</v>
      </c>
      <c r="BS7" s="1696" t="s">
        <v>323</v>
      </c>
      <c r="BT7" s="1696" t="s">
        <v>324</v>
      </c>
      <c r="BU7" s="1696" t="s">
        <v>325</v>
      </c>
      <c r="BV7" s="1696" t="s">
        <v>326</v>
      </c>
      <c r="BW7" s="1696" t="s">
        <v>798</v>
      </c>
      <c r="BX7" s="1696" t="s">
        <v>799</v>
      </c>
      <c r="BY7" s="1696" t="s">
        <v>800</v>
      </c>
      <c r="BZ7" s="1696" t="s">
        <v>801</v>
      </c>
      <c r="CA7" s="1696" t="s">
        <v>802</v>
      </c>
      <c r="CB7" s="1696" t="s">
        <v>803</v>
      </c>
      <c r="CC7" s="1696" t="s">
        <v>804</v>
      </c>
      <c r="CD7" s="1696" t="s">
        <v>805</v>
      </c>
      <c r="CE7" s="1696" t="s">
        <v>806</v>
      </c>
      <c r="CF7" s="1696" t="s">
        <v>807</v>
      </c>
      <c r="CG7" s="1696" t="s">
        <v>808</v>
      </c>
      <c r="CH7" s="1696" t="s">
        <v>809</v>
      </c>
      <c r="CI7" s="1696" t="s">
        <v>1077</v>
      </c>
      <c r="CJ7" s="1696" t="s">
        <v>1078</v>
      </c>
      <c r="CK7" s="1696" t="s">
        <v>1079</v>
      </c>
      <c r="CL7" s="1696" t="s">
        <v>1080</v>
      </c>
    </row>
    <row r="8" spans="1:90">
      <c r="A8" s="1696" t="s">
        <v>112</v>
      </c>
      <c r="B8" s="1696" t="s">
        <v>113</v>
      </c>
      <c r="C8" s="1770">
        <v>2.0346113976543099</v>
      </c>
      <c r="D8" s="1770">
        <v>2.0596500771746999</v>
      </c>
      <c r="E8" s="1770">
        <v>2.0647060372238499</v>
      </c>
      <c r="F8" s="1770">
        <v>2.08676028581668</v>
      </c>
      <c r="G8" s="1770">
        <v>2.10441481814272</v>
      </c>
      <c r="H8" s="1770">
        <v>2.1147152065649601</v>
      </c>
      <c r="I8" s="1770">
        <v>2.1510993425276599</v>
      </c>
      <c r="J8" s="1770">
        <v>2.1700303556901499</v>
      </c>
      <c r="K8" s="1770">
        <v>2.1872092233455001</v>
      </c>
      <c r="L8" s="1770">
        <v>2.2125396282877201</v>
      </c>
      <c r="M8" s="1770">
        <v>2.2351374505046602</v>
      </c>
      <c r="N8" s="1770">
        <v>2.2204817980336999</v>
      </c>
      <c r="O8" s="1770">
        <v>2.2320116226990798</v>
      </c>
      <c r="P8" s="1770">
        <v>2.2583096838239101</v>
      </c>
      <c r="Q8" s="1770">
        <v>2.27564540872048</v>
      </c>
      <c r="R8" s="1770">
        <v>2.30212674606845</v>
      </c>
      <c r="S8" s="1770">
        <v>2.31936770794078</v>
      </c>
      <c r="T8" s="1770">
        <v>2.3630887075886</v>
      </c>
      <c r="U8" s="1770">
        <v>2.40401775208483</v>
      </c>
      <c r="V8" s="1770">
        <v>2.3508872068266702</v>
      </c>
      <c r="W8" s="1770">
        <v>2.3397884211161499</v>
      </c>
      <c r="X8" s="1770">
        <v>2.3463315593326199</v>
      </c>
      <c r="Y8" s="1770">
        <v>2.3660251530796899</v>
      </c>
      <c r="Z8" s="1770">
        <v>2.38072574928248</v>
      </c>
      <c r="AA8" s="1770">
        <v>2.3786733941980902</v>
      </c>
      <c r="AB8" s="1770">
        <v>2.3833613783132601</v>
      </c>
      <c r="AC8" s="1770">
        <v>2.3978430594132099</v>
      </c>
      <c r="AD8" s="1770">
        <v>2.42168970868748</v>
      </c>
      <c r="AE8" s="1770">
        <v>2.4317072324959299</v>
      </c>
      <c r="AF8" s="1770">
        <v>2.47695645025907</v>
      </c>
      <c r="AG8" s="1770">
        <v>2.4885116546577</v>
      </c>
      <c r="AH8" s="1770">
        <v>2.4969754819522398</v>
      </c>
      <c r="AI8" s="1770">
        <v>2.5130795409255899</v>
      </c>
      <c r="AJ8" s="1770">
        <v>2.5194466142060299</v>
      </c>
      <c r="AK8" s="1770">
        <v>2.52963857685537</v>
      </c>
      <c r="AL8" s="1770">
        <v>2.5501989464999602</v>
      </c>
      <c r="AM8" s="1770">
        <v>2.55712003670995</v>
      </c>
      <c r="AN8" s="1770">
        <v>2.5546952042684001</v>
      </c>
      <c r="AO8" s="1770">
        <v>2.57375608575328</v>
      </c>
      <c r="AP8" s="1770">
        <v>2.5883411608511002</v>
      </c>
      <c r="AQ8" s="1770">
        <v>2.5966793575059901</v>
      </c>
      <c r="AR8" s="1770">
        <v>2.6079522450453201</v>
      </c>
      <c r="AS8" s="1770">
        <v>2.6142540104276799</v>
      </c>
      <c r="AT8" s="1770">
        <v>2.6167589769378798</v>
      </c>
      <c r="AU8" s="1770">
        <v>2.6115923571662201</v>
      </c>
      <c r="AV8" s="1770">
        <v>2.62275484000673</v>
      </c>
      <c r="AW8" s="1770">
        <v>2.6191293013400601</v>
      </c>
      <c r="AX8" s="1770">
        <v>2.62627714923654</v>
      </c>
      <c r="AY8" s="1770">
        <v>2.6194265314110301</v>
      </c>
      <c r="AZ8" s="1770">
        <v>2.6415043138832401</v>
      </c>
      <c r="BA8" s="1770">
        <v>2.662062301288</v>
      </c>
      <c r="BB8" s="1770">
        <v>2.67729020882655</v>
      </c>
      <c r="BC8" s="1770">
        <v>2.6907954146946098</v>
      </c>
      <c r="BD8" s="1770">
        <v>2.6947387967675498</v>
      </c>
      <c r="BE8" s="1770">
        <v>2.7066859028113202</v>
      </c>
      <c r="BF8" s="1770">
        <v>2.72054827789868</v>
      </c>
      <c r="BG8" s="1770">
        <v>2.7569640168604699</v>
      </c>
      <c r="BH8" s="1770">
        <v>2.7703563734588399</v>
      </c>
      <c r="BI8" s="1770">
        <v>2.7758420471732599</v>
      </c>
      <c r="BJ8" s="1770">
        <v>2.78863899429814</v>
      </c>
      <c r="BK8" s="1770">
        <v>2.80152864366993</v>
      </c>
      <c r="BL8" s="1770">
        <v>2.8145299240305102</v>
      </c>
      <c r="BM8" s="1770">
        <v>2.8281189721556101</v>
      </c>
      <c r="BN8" s="1770">
        <v>2.8436922082042799</v>
      </c>
      <c r="BO8" s="1770">
        <v>2.8613737788287201</v>
      </c>
      <c r="BP8" s="1770">
        <v>2.8656515498241899</v>
      </c>
      <c r="BQ8" s="1770">
        <v>2.9040288860327399</v>
      </c>
      <c r="BR8" s="1770">
        <v>2.91977882121695</v>
      </c>
      <c r="BS8" s="1770">
        <v>2.9464370701018501</v>
      </c>
      <c r="BT8" s="1770">
        <v>2.9589294578946199</v>
      </c>
      <c r="BU8" s="1770">
        <v>2.97189873674176</v>
      </c>
      <c r="BV8" s="1770">
        <v>2.9829478069661901</v>
      </c>
      <c r="BW8" s="1770">
        <v>2.9928349173184801</v>
      </c>
      <c r="BX8" s="1770">
        <v>3.0011510520439701</v>
      </c>
      <c r="BY8" s="1770">
        <v>3.0123165476192302</v>
      </c>
      <c r="BZ8" s="1770">
        <v>3.0264172103607101</v>
      </c>
      <c r="CA8" s="1770">
        <v>3.04102720494719</v>
      </c>
      <c r="CB8" s="1770">
        <v>3.0557517454736498</v>
      </c>
      <c r="CC8" s="1770">
        <v>3.0703423561476799</v>
      </c>
      <c r="CD8" s="1770">
        <v>3.0863416069355298</v>
      </c>
      <c r="CE8" s="1770">
        <v>3.1037466512716798</v>
      </c>
      <c r="CF8" s="1770">
        <v>3.1213737203310101</v>
      </c>
      <c r="CG8" s="1770">
        <v>3.1392007261444701</v>
      </c>
      <c r="CH8" s="1770">
        <v>3.1576332495661199</v>
      </c>
      <c r="CI8" s="1770">
        <v>3.1766693953545801</v>
      </c>
      <c r="CJ8" s="1770">
        <v>3.19571076133162</v>
      </c>
      <c r="CK8" s="1770">
        <v>3.2156927648001301</v>
      </c>
      <c r="CL8" s="1770">
        <v>3.2357367391781899</v>
      </c>
    </row>
    <row r="9" spans="1:90">
      <c r="A9" s="1696" t="s">
        <v>114</v>
      </c>
      <c r="B9" s="1696" t="s">
        <v>115</v>
      </c>
      <c r="C9" s="1770">
        <v>2.0346113976543099</v>
      </c>
      <c r="D9" s="1770">
        <v>2.0596500771746999</v>
      </c>
      <c r="E9" s="1770">
        <v>2.0647060372238499</v>
      </c>
      <c r="F9" s="1770">
        <v>2.08676028581668</v>
      </c>
      <c r="G9" s="1770">
        <v>2.10441481814272</v>
      </c>
      <c r="H9" s="1770">
        <v>2.1147152065649601</v>
      </c>
      <c r="I9" s="1770">
        <v>2.1510993425276599</v>
      </c>
      <c r="J9" s="1770">
        <v>2.1700303556901499</v>
      </c>
      <c r="K9" s="1770">
        <v>2.1872092233455001</v>
      </c>
      <c r="L9" s="1770">
        <v>2.2125396282877201</v>
      </c>
      <c r="M9" s="1770">
        <v>2.2351374505046602</v>
      </c>
      <c r="N9" s="1770">
        <v>2.2204817980336999</v>
      </c>
      <c r="O9" s="1770">
        <v>2.2320116226990798</v>
      </c>
      <c r="P9" s="1770">
        <v>2.2583096838239101</v>
      </c>
      <c r="Q9" s="1770">
        <v>2.27564540872048</v>
      </c>
      <c r="R9" s="1770">
        <v>2.30212674606845</v>
      </c>
      <c r="S9" s="1770">
        <v>2.31936770794078</v>
      </c>
      <c r="T9" s="1770">
        <v>2.3630887075886</v>
      </c>
      <c r="U9" s="1770">
        <v>2.40401775208483</v>
      </c>
      <c r="V9" s="1770">
        <v>2.3508872068266702</v>
      </c>
      <c r="W9" s="1770">
        <v>2.3397884211161499</v>
      </c>
      <c r="X9" s="1770">
        <v>2.3463315593326199</v>
      </c>
      <c r="Y9" s="1770">
        <v>2.3660251530796899</v>
      </c>
      <c r="Z9" s="1770">
        <v>2.38072574928248</v>
      </c>
      <c r="AA9" s="1770">
        <v>2.3786733941980902</v>
      </c>
      <c r="AB9" s="1770">
        <v>2.3833613783132601</v>
      </c>
      <c r="AC9" s="1770">
        <v>2.3978430594132099</v>
      </c>
      <c r="AD9" s="1770">
        <v>2.42168970868748</v>
      </c>
      <c r="AE9" s="1770">
        <v>2.4317072324959299</v>
      </c>
      <c r="AF9" s="1770">
        <v>2.47695645025907</v>
      </c>
      <c r="AG9" s="1770">
        <v>2.4885116546577</v>
      </c>
      <c r="AH9" s="1770">
        <v>2.4969754819522398</v>
      </c>
      <c r="AI9" s="1770">
        <v>2.5130795409255899</v>
      </c>
      <c r="AJ9" s="1770">
        <v>2.5194466142060299</v>
      </c>
      <c r="AK9" s="1770">
        <v>2.52963857685537</v>
      </c>
      <c r="AL9" s="1770">
        <v>2.5501989464999602</v>
      </c>
      <c r="AM9" s="1770">
        <v>2.55712003670995</v>
      </c>
      <c r="AN9" s="1770">
        <v>2.5546952042684001</v>
      </c>
      <c r="AO9" s="1770">
        <v>2.57375608575328</v>
      </c>
      <c r="AP9" s="1770">
        <v>2.5883411608511002</v>
      </c>
      <c r="AQ9" s="1770">
        <v>2.5966793575059901</v>
      </c>
      <c r="AR9" s="1770">
        <v>2.6079522450453201</v>
      </c>
      <c r="AS9" s="1770">
        <v>2.6142540104276799</v>
      </c>
      <c r="AT9" s="1770">
        <v>2.6167589769378798</v>
      </c>
      <c r="AU9" s="1770">
        <v>2.6115923571662201</v>
      </c>
      <c r="AV9" s="1770">
        <v>2.62275484000673</v>
      </c>
      <c r="AW9" s="1770">
        <v>2.6191293013400601</v>
      </c>
      <c r="AX9" s="1770">
        <v>2.62627714923654</v>
      </c>
      <c r="AY9" s="1770">
        <v>2.6194265314110301</v>
      </c>
      <c r="AZ9" s="1770">
        <v>2.6415043138832401</v>
      </c>
      <c r="BA9" s="1770">
        <v>2.662062301288</v>
      </c>
      <c r="BB9" s="1770">
        <v>2.67729020882655</v>
      </c>
      <c r="BC9" s="1770">
        <v>2.6907954146946098</v>
      </c>
      <c r="BD9" s="1770">
        <v>2.6947387967675498</v>
      </c>
      <c r="BE9" s="1770">
        <v>2.7066859028113202</v>
      </c>
      <c r="BF9" s="1770">
        <v>2.72054827789868</v>
      </c>
      <c r="BG9" s="1770">
        <v>2.7569640168604699</v>
      </c>
      <c r="BH9" s="1770">
        <v>2.7703563734588399</v>
      </c>
      <c r="BI9" s="1770">
        <v>2.7758420471732599</v>
      </c>
      <c r="BJ9" s="1770">
        <v>2.78863899429814</v>
      </c>
      <c r="BK9" s="1770">
        <v>2.80152864366993</v>
      </c>
      <c r="BL9" s="1770">
        <v>2.8145299240305102</v>
      </c>
      <c r="BM9" s="1770">
        <v>2.8281189721556101</v>
      </c>
      <c r="BN9" s="1770">
        <v>2.8436922082042799</v>
      </c>
      <c r="BO9" s="1770">
        <v>2.8613737788287201</v>
      </c>
      <c r="BP9" s="1770">
        <v>2.8656515498241899</v>
      </c>
      <c r="BQ9" s="1770">
        <v>2.9040288860327399</v>
      </c>
      <c r="BR9" s="1770">
        <v>2.91977882121695</v>
      </c>
      <c r="BS9" s="1770">
        <v>2.9464370701018501</v>
      </c>
      <c r="BT9" s="1770">
        <v>2.95511533454368</v>
      </c>
      <c r="BU9" s="1770">
        <v>2.9638765060418102</v>
      </c>
      <c r="BV9" s="1770">
        <v>2.9698163013374201</v>
      </c>
      <c r="BW9" s="1770">
        <v>2.9753604593545</v>
      </c>
      <c r="BX9" s="1770">
        <v>2.9793716061765601</v>
      </c>
      <c r="BY9" s="1770">
        <v>2.9854598446299301</v>
      </c>
      <c r="BZ9" s="1770">
        <v>2.9937116931399901</v>
      </c>
      <c r="CA9" s="1770">
        <v>3.0031799942022999</v>
      </c>
      <c r="CB9" s="1770">
        <v>3.0136579769843599</v>
      </c>
      <c r="CC9" s="1770">
        <v>3.0239642811323</v>
      </c>
      <c r="CD9" s="1770">
        <v>3.0364681428712199</v>
      </c>
      <c r="CE9" s="1770">
        <v>3.0499959763401501</v>
      </c>
      <c r="CF9" s="1770">
        <v>3.0639337550737702</v>
      </c>
      <c r="CG9" s="1770">
        <v>3.07817158353035</v>
      </c>
      <c r="CH9" s="1770">
        <v>3.0927586969804399</v>
      </c>
      <c r="CI9" s="1770">
        <v>3.10814439123192</v>
      </c>
      <c r="CJ9" s="1770">
        <v>3.1236609001015601</v>
      </c>
      <c r="CK9" s="1770">
        <v>3.1401708688163001</v>
      </c>
      <c r="CL9" s="1770">
        <v>3.15683073631816</v>
      </c>
    </row>
    <row r="10" spans="1:90">
      <c r="A10" s="1696" t="s">
        <v>116</v>
      </c>
      <c r="B10" s="1696" t="s">
        <v>117</v>
      </c>
      <c r="C10" s="1770">
        <v>2.0346113976543099</v>
      </c>
      <c r="D10" s="1770">
        <v>2.0596500771746999</v>
      </c>
      <c r="E10" s="1770">
        <v>2.0647060372238499</v>
      </c>
      <c r="F10" s="1770">
        <v>2.08676028581668</v>
      </c>
      <c r="G10" s="1770">
        <v>2.10441481814272</v>
      </c>
      <c r="H10" s="1770">
        <v>2.1147152065649601</v>
      </c>
      <c r="I10" s="1770">
        <v>2.1510993425276599</v>
      </c>
      <c r="J10" s="1770">
        <v>2.1700303556901499</v>
      </c>
      <c r="K10" s="1770">
        <v>2.1872092233455001</v>
      </c>
      <c r="L10" s="1770">
        <v>2.2125396282877201</v>
      </c>
      <c r="M10" s="1770">
        <v>2.2351374505046602</v>
      </c>
      <c r="N10" s="1770">
        <v>2.2204817980336999</v>
      </c>
      <c r="O10" s="1770">
        <v>2.2320116226990798</v>
      </c>
      <c r="P10" s="1770">
        <v>2.2583096838239101</v>
      </c>
      <c r="Q10" s="1770">
        <v>2.27564540872048</v>
      </c>
      <c r="R10" s="1770">
        <v>2.30212674606845</v>
      </c>
      <c r="S10" s="1770">
        <v>2.31936770794078</v>
      </c>
      <c r="T10" s="1770">
        <v>2.3630887075886</v>
      </c>
      <c r="U10" s="1770">
        <v>2.40401775208483</v>
      </c>
      <c r="V10" s="1770">
        <v>2.3508872068266702</v>
      </c>
      <c r="W10" s="1770">
        <v>2.3397884211161499</v>
      </c>
      <c r="X10" s="1770">
        <v>2.3463315593326199</v>
      </c>
      <c r="Y10" s="1770">
        <v>2.3660251530796899</v>
      </c>
      <c r="Z10" s="1770">
        <v>2.38072574928248</v>
      </c>
      <c r="AA10" s="1770">
        <v>2.3786733941980902</v>
      </c>
      <c r="AB10" s="1770">
        <v>2.3833613783132601</v>
      </c>
      <c r="AC10" s="1770">
        <v>2.3978430594132099</v>
      </c>
      <c r="AD10" s="1770">
        <v>2.42168970868748</v>
      </c>
      <c r="AE10" s="1770">
        <v>2.4317072324959299</v>
      </c>
      <c r="AF10" s="1770">
        <v>2.47695645025907</v>
      </c>
      <c r="AG10" s="1770">
        <v>2.4885116546577</v>
      </c>
      <c r="AH10" s="1770">
        <v>2.4969754819522398</v>
      </c>
      <c r="AI10" s="1770">
        <v>2.5130795409255899</v>
      </c>
      <c r="AJ10" s="1770">
        <v>2.5194466142060299</v>
      </c>
      <c r="AK10" s="1770">
        <v>2.52963857685537</v>
      </c>
      <c r="AL10" s="1770">
        <v>2.5501989464999602</v>
      </c>
      <c r="AM10" s="1770">
        <v>2.55712003670995</v>
      </c>
      <c r="AN10" s="1770">
        <v>2.5546952042684001</v>
      </c>
      <c r="AO10" s="1770">
        <v>2.57375608575328</v>
      </c>
      <c r="AP10" s="1770">
        <v>2.5883411608511002</v>
      </c>
      <c r="AQ10" s="1770">
        <v>2.5966793575059901</v>
      </c>
      <c r="AR10" s="1770">
        <v>2.6079522450453201</v>
      </c>
      <c r="AS10" s="1770">
        <v>2.6142540104276799</v>
      </c>
      <c r="AT10" s="1770">
        <v>2.6167589769378798</v>
      </c>
      <c r="AU10" s="1770">
        <v>2.6115923571662201</v>
      </c>
      <c r="AV10" s="1770">
        <v>2.62275484000673</v>
      </c>
      <c r="AW10" s="1770">
        <v>2.6191293013400601</v>
      </c>
      <c r="AX10" s="1770">
        <v>2.62627714923654</v>
      </c>
      <c r="AY10" s="1770">
        <v>2.6194265314110301</v>
      </c>
      <c r="AZ10" s="1770">
        <v>2.6415043138832401</v>
      </c>
      <c r="BA10" s="1770">
        <v>2.662062301288</v>
      </c>
      <c r="BB10" s="1770">
        <v>2.67729020882655</v>
      </c>
      <c r="BC10" s="1770">
        <v>2.6907954146946098</v>
      </c>
      <c r="BD10" s="1770">
        <v>2.6947387967675498</v>
      </c>
      <c r="BE10" s="1770">
        <v>2.7066859028113202</v>
      </c>
      <c r="BF10" s="1770">
        <v>2.72054827789868</v>
      </c>
      <c r="BG10" s="1770">
        <v>2.7569640168604699</v>
      </c>
      <c r="BH10" s="1770">
        <v>2.7703563734588399</v>
      </c>
      <c r="BI10" s="1770">
        <v>2.7758420471732599</v>
      </c>
      <c r="BJ10" s="1770">
        <v>2.78863899429814</v>
      </c>
      <c r="BK10" s="1770">
        <v>2.80152864366993</v>
      </c>
      <c r="BL10" s="1770">
        <v>2.8145299240305102</v>
      </c>
      <c r="BM10" s="1770">
        <v>2.8281189721556101</v>
      </c>
      <c r="BN10" s="1770">
        <v>2.8436922082042799</v>
      </c>
      <c r="BO10" s="1770">
        <v>2.8613737788287201</v>
      </c>
      <c r="BP10" s="1770">
        <v>2.8656515498241899</v>
      </c>
      <c r="BQ10" s="1770">
        <v>2.9040288860327399</v>
      </c>
      <c r="BR10" s="1770">
        <v>2.91977882121695</v>
      </c>
      <c r="BS10" s="1770">
        <v>2.9464370701018501</v>
      </c>
      <c r="BT10" s="1770">
        <v>2.96269458407148</v>
      </c>
      <c r="BU10" s="1770">
        <v>2.9807541213125002</v>
      </c>
      <c r="BV10" s="1770">
        <v>2.99658795646052</v>
      </c>
      <c r="BW10" s="1770">
        <v>3.0110305165974398</v>
      </c>
      <c r="BX10" s="1770">
        <v>3.0251789215529699</v>
      </c>
      <c r="BY10" s="1770">
        <v>3.0424244120073598</v>
      </c>
      <c r="BZ10" s="1770">
        <v>3.06286045858206</v>
      </c>
      <c r="CA10" s="1770">
        <v>3.0839246923475101</v>
      </c>
      <c r="CB10" s="1770">
        <v>3.1053048533962899</v>
      </c>
      <c r="CC10" s="1770">
        <v>3.12661677328683</v>
      </c>
      <c r="CD10" s="1770">
        <v>3.1494007912967001</v>
      </c>
      <c r="CE10" s="1770">
        <v>3.1736605325829501</v>
      </c>
      <c r="CF10" s="1770">
        <v>3.1983282778621001</v>
      </c>
      <c r="CG10" s="1770">
        <v>3.2234712778750301</v>
      </c>
      <c r="CH10" s="1770">
        <v>3.2494717459189402</v>
      </c>
      <c r="CI10" s="1770">
        <v>3.2764372271331501</v>
      </c>
      <c r="CJ10" s="1770">
        <v>3.3038111516300899</v>
      </c>
      <c r="CK10" s="1770">
        <v>3.3325559225318302</v>
      </c>
      <c r="CL10" s="1770">
        <v>3.3617850989081299</v>
      </c>
    </row>
    <row r="12" spans="1:90">
      <c r="C12" s="1771"/>
      <c r="D12" s="1771"/>
      <c r="E12" s="1771"/>
      <c r="F12" s="1771"/>
      <c r="G12" s="1771"/>
      <c r="H12" s="1771"/>
      <c r="I12" s="1771"/>
      <c r="J12" s="1771"/>
      <c r="K12" s="1771"/>
      <c r="L12" s="1771"/>
      <c r="M12" s="1771"/>
      <c r="N12" s="1771"/>
      <c r="O12" s="1771"/>
      <c r="P12" s="1771"/>
      <c r="Q12" s="1771"/>
      <c r="R12" s="1771"/>
      <c r="S12" s="1771"/>
      <c r="T12" s="1771"/>
      <c r="U12" s="1771"/>
      <c r="V12" s="1771"/>
      <c r="W12" s="1771"/>
      <c r="X12" s="1771"/>
      <c r="Y12" s="1771"/>
      <c r="Z12" s="1771"/>
      <c r="AA12" s="1771"/>
      <c r="AB12" s="1771"/>
      <c r="AC12" s="1771"/>
      <c r="AD12" s="1771"/>
      <c r="AE12" s="1771"/>
      <c r="AF12" s="1771"/>
      <c r="AG12" s="1771"/>
      <c r="AH12" s="1771"/>
      <c r="AI12" s="1771"/>
      <c r="AJ12" s="1771"/>
      <c r="AK12" s="1771"/>
      <c r="AL12" s="1771"/>
      <c r="AM12" s="1771"/>
      <c r="AN12" s="1771"/>
      <c r="AO12" s="1771"/>
      <c r="AP12" s="1771"/>
      <c r="AQ12" s="1771"/>
      <c r="AR12" s="1771"/>
      <c r="AS12" s="1771"/>
      <c r="AT12" s="1771"/>
    </row>
    <row r="13" spans="1:90">
      <c r="C13" s="1771"/>
      <c r="D13" s="1771"/>
      <c r="E13" s="1771"/>
      <c r="F13" s="1771"/>
      <c r="G13" s="1771"/>
      <c r="H13" s="1771"/>
      <c r="I13" s="1771"/>
      <c r="J13" s="1771"/>
      <c r="K13" s="1771"/>
      <c r="L13" s="1771"/>
      <c r="M13" s="1771"/>
      <c r="N13" s="1771"/>
      <c r="O13" s="1771"/>
      <c r="P13" s="1771"/>
      <c r="Q13" s="1771"/>
      <c r="R13" s="1771"/>
      <c r="S13" s="1771"/>
      <c r="T13" s="1771"/>
      <c r="U13" s="1771"/>
      <c r="V13" s="1771"/>
      <c r="W13" s="1771"/>
      <c r="X13" s="1771"/>
      <c r="Y13" s="1771"/>
      <c r="Z13" s="1771"/>
      <c r="AA13" s="1771"/>
      <c r="AB13" s="1771"/>
      <c r="AC13" s="1771"/>
      <c r="AD13" s="1771"/>
      <c r="AE13" s="1771"/>
      <c r="AF13" s="1771"/>
      <c r="AG13" s="1771"/>
      <c r="AH13" s="1771"/>
      <c r="AI13" s="1771"/>
      <c r="AJ13" s="1771"/>
      <c r="AK13" s="1771"/>
      <c r="AL13" s="1771"/>
      <c r="AM13" s="1771"/>
      <c r="AN13" s="1771"/>
      <c r="AO13" s="1771"/>
      <c r="AP13" s="1771"/>
      <c r="AQ13" s="1771"/>
      <c r="AR13" s="1771"/>
      <c r="AS13" s="1771"/>
      <c r="AT13" s="1771"/>
    </row>
    <row r="14" spans="1:90">
      <c r="C14" s="1770"/>
      <c r="D14" s="1770"/>
      <c r="E14" s="1770"/>
      <c r="F14" s="1770"/>
      <c r="G14" s="1770"/>
      <c r="H14" s="1770"/>
      <c r="I14" s="1770"/>
      <c r="J14" s="1770"/>
      <c r="K14" s="1770"/>
      <c r="L14" s="1770"/>
      <c r="M14" s="1770"/>
      <c r="N14" s="1770"/>
      <c r="O14" s="1770"/>
      <c r="P14" s="1770"/>
      <c r="Q14" s="1770"/>
      <c r="R14" s="1770"/>
      <c r="S14" s="1770"/>
      <c r="T14" s="1770"/>
      <c r="U14" s="1770"/>
      <c r="V14" s="1770"/>
      <c r="W14" s="1770"/>
      <c r="X14" s="1770"/>
      <c r="Y14" s="1770"/>
      <c r="Z14" s="1770"/>
      <c r="AA14" s="1770"/>
      <c r="AB14" s="1770"/>
      <c r="AC14" s="1770"/>
      <c r="AD14" s="1770"/>
      <c r="AE14" s="1770"/>
      <c r="AF14" s="1770"/>
      <c r="AG14" s="1770"/>
      <c r="AH14" s="1770"/>
      <c r="AI14" s="1770"/>
      <c r="AJ14" s="1770"/>
      <c r="AK14" s="1770"/>
      <c r="AL14" s="1770"/>
      <c r="AM14" s="1770"/>
      <c r="AN14" s="1770"/>
      <c r="AO14" s="1770"/>
      <c r="AP14" s="1770"/>
      <c r="AQ14" s="1770"/>
      <c r="AR14" s="1770"/>
      <c r="AS14" s="1770"/>
      <c r="AT14" s="1770"/>
      <c r="BQ14" s="459" t="s">
        <v>460</v>
      </c>
      <c r="BR14" s="460"/>
      <c r="BS14" s="460"/>
      <c r="BT14" s="461" t="s">
        <v>1081</v>
      </c>
      <c r="BU14" s="462"/>
      <c r="BV14" s="462"/>
      <c r="BW14" s="462"/>
      <c r="BX14" s="462"/>
      <c r="BY14" s="462"/>
      <c r="BZ14" s="460"/>
      <c r="CA14" s="460"/>
      <c r="CB14" s="460"/>
    </row>
    <row r="15" spans="1:90">
      <c r="C15" s="1770"/>
      <c r="D15" s="1770"/>
      <c r="E15" s="1770"/>
      <c r="F15" s="1770"/>
      <c r="G15" s="1770"/>
      <c r="H15" s="1770"/>
      <c r="I15" s="1770"/>
      <c r="J15" s="1770"/>
      <c r="K15" s="1770"/>
      <c r="L15" s="1770"/>
      <c r="M15" s="1770"/>
      <c r="N15" s="1770"/>
      <c r="O15" s="1770"/>
      <c r="P15" s="1770"/>
      <c r="Q15" s="1770"/>
      <c r="R15" s="1770"/>
      <c r="S15" s="1770"/>
      <c r="T15" s="1770"/>
      <c r="U15" s="1770"/>
      <c r="V15" s="1770"/>
      <c r="W15" s="1770"/>
      <c r="X15" s="1770"/>
      <c r="Y15" s="1770"/>
      <c r="Z15" s="1770"/>
      <c r="AA15" s="1770"/>
      <c r="AB15" s="1770"/>
      <c r="AC15" s="1770"/>
      <c r="AD15" s="1770"/>
      <c r="AE15" s="1770"/>
      <c r="AF15" s="1770"/>
      <c r="AG15" s="1770"/>
      <c r="AH15" s="1770"/>
      <c r="AI15" s="1770"/>
      <c r="AJ15" s="1770"/>
      <c r="AK15" s="1770"/>
      <c r="AL15" s="1770"/>
      <c r="AM15" s="1770"/>
      <c r="AN15" s="1770"/>
      <c r="AO15" s="1770"/>
      <c r="AP15" s="1770"/>
      <c r="AQ15" s="1770"/>
      <c r="AR15" s="1770"/>
      <c r="AS15" s="1770"/>
      <c r="AT15" s="1770"/>
      <c r="BQ15" s="463"/>
      <c r="BR15" s="464"/>
      <c r="BS15" s="464"/>
      <c r="BT15" s="464"/>
      <c r="BU15" s="464"/>
      <c r="BV15" s="464"/>
      <c r="BW15" s="464"/>
      <c r="BX15" s="464"/>
      <c r="BY15" s="464"/>
      <c r="BZ15" s="464"/>
      <c r="CA15" s="464"/>
      <c r="CB15" s="465"/>
    </row>
    <row r="16" spans="1:90">
      <c r="C16" s="1770"/>
      <c r="D16" s="1770"/>
      <c r="E16" s="1770"/>
      <c r="F16" s="1770"/>
      <c r="G16" s="1770"/>
      <c r="H16" s="1770"/>
      <c r="I16" s="1770"/>
      <c r="J16" s="1770"/>
      <c r="K16" s="1770"/>
      <c r="L16" s="1770"/>
      <c r="M16" s="1770"/>
      <c r="N16" s="1770"/>
      <c r="O16" s="1770"/>
      <c r="P16" s="1770"/>
      <c r="Q16" s="1770"/>
      <c r="R16" s="1770"/>
      <c r="S16" s="1770"/>
      <c r="T16" s="1770"/>
      <c r="U16" s="1770"/>
      <c r="V16" s="1770"/>
      <c r="W16" s="1770"/>
      <c r="X16" s="1770"/>
      <c r="Y16" s="1770"/>
      <c r="Z16" s="1770"/>
      <c r="AA16" s="1770"/>
      <c r="AB16" s="1770"/>
      <c r="AC16" s="1770"/>
      <c r="AD16" s="1770"/>
      <c r="AE16" s="1770"/>
      <c r="AF16" s="1770"/>
      <c r="AG16" s="1770"/>
      <c r="AH16" s="1770"/>
      <c r="AI16" s="1770"/>
      <c r="AJ16" s="1770"/>
      <c r="AK16" s="1770"/>
      <c r="AL16" s="1770"/>
      <c r="AM16" s="1770"/>
      <c r="AN16" s="1770"/>
      <c r="AO16" s="1770"/>
      <c r="AP16" s="1770"/>
      <c r="AQ16" s="1770"/>
      <c r="AR16" s="1770"/>
      <c r="AS16" s="1770"/>
      <c r="AT16" s="1770"/>
      <c r="BQ16" s="466"/>
      <c r="BR16" s="467" t="s">
        <v>462</v>
      </c>
      <c r="BS16" s="460" t="s">
        <v>1082</v>
      </c>
      <c r="BT16" s="460"/>
      <c r="BU16" s="460"/>
      <c r="BV16" s="460"/>
      <c r="BW16" s="460"/>
      <c r="BX16" s="460"/>
      <c r="BY16" s="460"/>
      <c r="BZ16" s="460"/>
      <c r="CA16" s="460"/>
      <c r="CB16" s="468"/>
    </row>
    <row r="17" spans="3:80">
      <c r="C17" s="1772"/>
      <c r="D17" s="1772"/>
      <c r="E17" s="1772"/>
      <c r="F17" s="1772"/>
      <c r="G17" s="1772"/>
      <c r="H17" s="1772"/>
      <c r="I17" s="1772"/>
      <c r="J17" s="1772"/>
      <c r="K17" s="1772"/>
      <c r="L17" s="1772"/>
      <c r="M17" s="1772"/>
      <c r="N17" s="1772"/>
      <c r="O17" s="1772"/>
      <c r="P17" s="1772"/>
      <c r="Q17" s="1772"/>
      <c r="R17" s="1772"/>
      <c r="S17" s="1772"/>
      <c r="T17" s="1772"/>
      <c r="U17" s="1772"/>
      <c r="V17" s="1772"/>
      <c r="W17" s="1772"/>
      <c r="X17" s="1772"/>
      <c r="Y17" s="1772"/>
      <c r="Z17" s="1772"/>
      <c r="AA17" s="1772"/>
      <c r="AB17" s="1772"/>
      <c r="AC17" s="1772"/>
      <c r="AD17" s="1772"/>
      <c r="AE17" s="1772"/>
      <c r="AF17" s="1772"/>
      <c r="AG17" s="1772"/>
      <c r="AH17" s="1772"/>
      <c r="AI17" s="1772"/>
      <c r="AJ17" s="1772"/>
      <c r="AK17" s="1772"/>
      <c r="AL17" s="1772"/>
      <c r="AM17" s="1772"/>
      <c r="AN17" s="1772"/>
      <c r="AO17" s="1772"/>
      <c r="AP17" s="1772"/>
      <c r="BQ17" s="466"/>
      <c r="BR17" s="460"/>
      <c r="BS17" s="1769" t="str">
        <f>BV7</f>
        <v>2021Q4</v>
      </c>
      <c r="BT17" s="460"/>
      <c r="BU17" s="460"/>
      <c r="BV17" s="460"/>
      <c r="BW17" s="460"/>
      <c r="BX17" s="460"/>
      <c r="BY17" s="460"/>
      <c r="BZ17" s="460"/>
      <c r="CA17" s="460"/>
      <c r="CB17" s="469" t="s">
        <v>385</v>
      </c>
    </row>
    <row r="18" spans="3:80">
      <c r="BQ18" s="466"/>
      <c r="BR18" s="460"/>
      <c r="BS18" s="1773">
        <f>BV9</f>
        <v>2.9698163013374201</v>
      </c>
      <c r="BT18" s="924"/>
      <c r="BU18" s="460"/>
      <c r="BV18" s="460"/>
      <c r="BW18" s="460"/>
      <c r="BX18" s="460"/>
      <c r="BY18" s="460"/>
      <c r="BZ18" s="460"/>
      <c r="CA18" s="460"/>
      <c r="CB18" s="470">
        <f>BS18</f>
        <v>2.9698163013374201</v>
      </c>
    </row>
    <row r="19" spans="3:80">
      <c r="BQ19" s="466"/>
      <c r="BR19" s="460"/>
      <c r="BS19" s="460"/>
      <c r="BT19" s="460"/>
      <c r="BU19" s="460"/>
      <c r="BV19" s="460"/>
      <c r="BW19" s="460"/>
      <c r="BX19" s="460"/>
      <c r="BY19" s="460"/>
      <c r="BZ19" s="460"/>
      <c r="CA19" s="460"/>
      <c r="CB19" s="471"/>
    </row>
    <row r="20" spans="3:80">
      <c r="BQ20" s="2479" t="s">
        <v>464</v>
      </c>
      <c r="BR20" s="2480"/>
      <c r="BS20" s="2480"/>
      <c r="BT20" s="460" t="s">
        <v>1083</v>
      </c>
      <c r="BU20" s="460"/>
      <c r="BV20" s="460"/>
      <c r="BW20" s="460"/>
      <c r="BX20" s="460"/>
      <c r="BY20" s="460"/>
      <c r="BZ20" s="460"/>
      <c r="CA20" s="460"/>
      <c r="CB20" s="471"/>
    </row>
    <row r="21" spans="3:80">
      <c r="BQ21" s="466"/>
      <c r="BR21" s="460"/>
      <c r="BS21" s="1696" t="str">
        <f>BW7</f>
        <v>2022Q1</v>
      </c>
      <c r="BT21" s="1696" t="str">
        <f t="shared" ref="BT21:BZ21" si="0">BX7</f>
        <v>2022Q2</v>
      </c>
      <c r="BU21" s="1696" t="str">
        <f t="shared" si="0"/>
        <v>2022Q3</v>
      </c>
      <c r="BV21" s="1696" t="str">
        <f t="shared" si="0"/>
        <v>2022Q4</v>
      </c>
      <c r="BW21" s="1696" t="str">
        <f t="shared" si="0"/>
        <v>2023Q1</v>
      </c>
      <c r="BX21" s="1696" t="str">
        <f t="shared" si="0"/>
        <v>2023Q2</v>
      </c>
      <c r="BY21" s="1696" t="str">
        <f t="shared" si="0"/>
        <v>2023Q3</v>
      </c>
      <c r="BZ21" s="1696" t="str">
        <f t="shared" si="0"/>
        <v>2023Q4</v>
      </c>
      <c r="CA21" s="460"/>
      <c r="CB21" s="471"/>
    </row>
    <row r="22" spans="3:80">
      <c r="BQ22" s="466"/>
      <c r="BR22" s="460"/>
      <c r="BS22" s="1774">
        <f>BW9</f>
        <v>2.9753604593545</v>
      </c>
      <c r="BT22" s="1774">
        <f t="shared" ref="BT22:BZ22" si="1">BX9</f>
        <v>2.9793716061765601</v>
      </c>
      <c r="BU22" s="1774">
        <f t="shared" si="1"/>
        <v>2.9854598446299301</v>
      </c>
      <c r="BV22" s="1774">
        <f t="shared" si="1"/>
        <v>2.9937116931399901</v>
      </c>
      <c r="BW22" s="1774">
        <f t="shared" si="1"/>
        <v>3.0031799942022999</v>
      </c>
      <c r="BX22" s="1774">
        <f t="shared" si="1"/>
        <v>3.0136579769843599</v>
      </c>
      <c r="BY22" s="1774">
        <f t="shared" si="1"/>
        <v>3.0239642811323</v>
      </c>
      <c r="BZ22" s="1774">
        <f t="shared" si="1"/>
        <v>3.0364681428712199</v>
      </c>
      <c r="CA22" s="460"/>
      <c r="CB22" s="470">
        <f>AVERAGE(BS22:BZ22)</f>
        <v>3.0013967498113949</v>
      </c>
    </row>
    <row r="23" spans="3:80">
      <c r="BQ23" s="466"/>
      <c r="BR23" s="460"/>
      <c r="BS23" s="460"/>
      <c r="BT23" s="460"/>
      <c r="BU23" s="460"/>
      <c r="BV23" s="460"/>
      <c r="BW23" s="460"/>
      <c r="BX23" s="460"/>
      <c r="BY23" s="460"/>
      <c r="BZ23" s="460"/>
      <c r="CA23" s="460"/>
      <c r="CB23" s="471"/>
    </row>
    <row r="24" spans="3:80">
      <c r="BQ24" s="466"/>
      <c r="BR24" s="460"/>
      <c r="BS24" s="460"/>
      <c r="BT24" s="460"/>
      <c r="BU24" s="460"/>
      <c r="BV24" s="460"/>
      <c r="BW24" s="460"/>
      <c r="BX24" s="460"/>
      <c r="BY24" s="460"/>
      <c r="BZ24" s="460"/>
      <c r="CA24" s="472" t="s">
        <v>26</v>
      </c>
      <c r="CB24" s="1775">
        <f>(CB22-CB18)/CB18</f>
        <v>1.0633805350099574E-2</v>
      </c>
    </row>
    <row r="25" spans="3:80">
      <c r="BQ25" s="474"/>
      <c r="BR25" s="475"/>
      <c r="BS25" s="475"/>
      <c r="BT25" s="475"/>
      <c r="BU25" s="475"/>
      <c r="BV25" s="475"/>
      <c r="BW25" s="475"/>
      <c r="BX25" s="475"/>
      <c r="BY25" s="475"/>
      <c r="BZ25" s="475"/>
      <c r="CA25" s="475"/>
      <c r="CB25" s="476"/>
    </row>
  </sheetData>
  <mergeCells count="1">
    <mergeCell ref="BQ20:BS20"/>
  </mergeCells>
  <pageMargins left="0.25" right="0.25" top="1" bottom="1" header="0.5" footer="0.5"/>
  <pageSetup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O69"/>
  <sheetViews>
    <sheetView topLeftCell="C1" zoomScaleNormal="100" workbookViewId="0">
      <selection activeCell="O4" sqref="O4"/>
    </sheetView>
  </sheetViews>
  <sheetFormatPr defaultColWidth="8.5703125" defaultRowHeight="12.75"/>
  <cols>
    <col min="1" max="1" width="30.42578125" style="1684" customWidth="1"/>
    <col min="2" max="2" width="25.5703125" style="1687" customWidth="1"/>
    <col min="3" max="14" width="11.42578125" style="1686" bestFit="1" customWidth="1"/>
    <col min="15" max="15" width="12.42578125" style="1687" bestFit="1" customWidth="1"/>
    <col min="16" max="16384" width="8.5703125" style="1687"/>
  </cols>
  <sheetData>
    <row r="1" spans="1:15">
      <c r="B1" s="1685"/>
    </row>
    <row r="2" spans="1:15">
      <c r="A2" s="1688" t="s">
        <v>990</v>
      </c>
      <c r="B2" s="1689" t="s">
        <v>991</v>
      </c>
      <c r="C2" s="1690">
        <v>43344</v>
      </c>
      <c r="D2" s="1690">
        <v>43374</v>
      </c>
      <c r="E2" s="1690">
        <v>43405</v>
      </c>
      <c r="F2" s="1690">
        <v>43435</v>
      </c>
      <c r="G2" s="1690">
        <v>43466</v>
      </c>
      <c r="H2" s="1690">
        <v>43497</v>
      </c>
      <c r="I2" s="1690">
        <v>43525</v>
      </c>
      <c r="J2" s="1690">
        <v>43556</v>
      </c>
      <c r="K2" s="1690">
        <v>43586</v>
      </c>
      <c r="L2" s="1690">
        <v>43617</v>
      </c>
      <c r="M2" s="1691">
        <v>43647</v>
      </c>
      <c r="N2" s="1691">
        <v>43678</v>
      </c>
      <c r="O2" s="1691" t="s">
        <v>992</v>
      </c>
    </row>
    <row r="3" spans="1:15">
      <c r="A3" s="1692"/>
      <c r="B3" s="1693"/>
      <c r="C3" s="1694"/>
      <c r="D3" s="1694"/>
      <c r="E3" s="1694"/>
      <c r="F3" s="1694"/>
      <c r="G3" s="1694"/>
      <c r="H3" s="1694"/>
      <c r="I3" s="1694"/>
      <c r="J3" s="1694"/>
      <c r="K3" s="1694"/>
      <c r="L3" s="1694"/>
      <c r="M3" s="1695"/>
      <c r="N3" s="1695"/>
    </row>
    <row r="4" spans="1:15">
      <c r="A4" s="1684" t="s">
        <v>993</v>
      </c>
      <c r="B4" s="1696" t="s">
        <v>994</v>
      </c>
      <c r="C4" s="1697">
        <f>21484.05-2514</f>
        <v>18970.05</v>
      </c>
      <c r="D4" s="1697">
        <v>21641.65</v>
      </c>
      <c r="E4" s="1697">
        <v>18363</v>
      </c>
      <c r="F4" s="1698">
        <v>19043</v>
      </c>
      <c r="G4" s="1697">
        <v>16103.67</v>
      </c>
      <c r="H4" s="1697">
        <v>9775</v>
      </c>
      <c r="I4" s="1697">
        <v>14430</v>
      </c>
      <c r="J4" s="1697">
        <v>16106.94</v>
      </c>
      <c r="K4" s="1699">
        <v>17321.21</v>
      </c>
      <c r="L4" s="1697">
        <v>18422.080000000002</v>
      </c>
      <c r="M4" s="1698">
        <v>15514.34</v>
      </c>
      <c r="N4" s="1698">
        <v>15296.64</v>
      </c>
      <c r="O4" s="1700">
        <f>SUM(C4:N4)</f>
        <v>200987.57999999996</v>
      </c>
    </row>
    <row r="5" spans="1:15" ht="10.35" customHeight="1">
      <c r="C5" s="1701"/>
      <c r="D5" s="1701"/>
      <c r="E5" s="1701"/>
      <c r="F5" s="1701"/>
      <c r="G5" s="1701"/>
      <c r="H5" s="1701"/>
      <c r="I5" s="1701"/>
      <c r="J5" s="1701"/>
      <c r="K5" s="1701"/>
      <c r="L5" s="1702"/>
      <c r="M5" s="1698"/>
      <c r="N5" s="1698"/>
      <c r="O5" s="1703"/>
    </row>
    <row r="6" spans="1:15">
      <c r="A6" s="1684" t="s">
        <v>995</v>
      </c>
      <c r="B6" s="1704" t="s">
        <v>996</v>
      </c>
      <c r="C6" s="1705">
        <f>28006.09+8016.67</f>
        <v>36022.76</v>
      </c>
      <c r="D6" s="1705">
        <f>23544.84+8016.67</f>
        <v>31561.510000000002</v>
      </c>
      <c r="E6" s="1705">
        <f>25937.81+8016.67</f>
        <v>33954.480000000003</v>
      </c>
      <c r="F6" s="1705">
        <v>37962.06</v>
      </c>
      <c r="G6" s="1706">
        <v>36412.83</v>
      </c>
      <c r="H6" s="1705">
        <v>39875.83</v>
      </c>
      <c r="I6" s="1705">
        <v>41297.440000000002</v>
      </c>
      <c r="J6" s="1705">
        <v>41371.51</v>
      </c>
      <c r="K6" s="1705">
        <v>39298.51</v>
      </c>
      <c r="L6" s="1705">
        <v>37145.910000000003</v>
      </c>
      <c r="M6" s="1698">
        <v>42710.85</v>
      </c>
      <c r="N6" s="1698">
        <v>35292.5</v>
      </c>
      <c r="O6" s="1700">
        <f>SUM(C6:N6)</f>
        <v>452906.19000000006</v>
      </c>
    </row>
    <row r="7" spans="1:15" ht="10.35" customHeight="1">
      <c r="A7" s="1707"/>
      <c r="B7" s="1707"/>
      <c r="C7" s="1698"/>
      <c r="D7" s="1698"/>
      <c r="E7" s="1698"/>
      <c r="F7" s="1698"/>
      <c r="G7" s="1698"/>
      <c r="H7" s="1698"/>
      <c r="I7" s="1698"/>
      <c r="J7" s="1698"/>
      <c r="K7" s="1698"/>
      <c r="L7" s="1698"/>
      <c r="M7" s="1698"/>
      <c r="N7" s="1698"/>
      <c r="O7" s="1703"/>
    </row>
    <row r="8" spans="1:15">
      <c r="A8" s="1684" t="s">
        <v>997</v>
      </c>
      <c r="B8" s="1704" t="s">
        <v>998</v>
      </c>
      <c r="C8" s="1705">
        <v>66364</v>
      </c>
      <c r="D8" s="1697">
        <v>66407</v>
      </c>
      <c r="E8" s="1697">
        <v>70445.210000000006</v>
      </c>
      <c r="F8" s="1697">
        <v>64730.47</v>
      </c>
      <c r="G8" s="1708">
        <v>65367.58</v>
      </c>
      <c r="H8" s="1697">
        <v>75029.070000000007</v>
      </c>
      <c r="I8" s="1697">
        <v>56777.67</v>
      </c>
      <c r="J8" s="1697">
        <v>58737.82</v>
      </c>
      <c r="K8" s="1699">
        <f>61186.92-230+460</f>
        <v>61416.92</v>
      </c>
      <c r="L8" s="1697">
        <f>58868.28-230+460</f>
        <v>59098.28</v>
      </c>
      <c r="M8" s="1709">
        <v>24467.17</v>
      </c>
      <c r="N8" s="1697">
        <v>24827.17</v>
      </c>
      <c r="O8" s="1700">
        <f>SUM(C8:N8)</f>
        <v>693668.36000000022</v>
      </c>
    </row>
    <row r="9" spans="1:15" ht="10.35" customHeight="1">
      <c r="C9" s="1701"/>
      <c r="D9" s="1701"/>
      <c r="E9" s="1701"/>
      <c r="F9" s="1701"/>
      <c r="G9" s="1701"/>
      <c r="H9" s="1701"/>
      <c r="I9" s="1701"/>
      <c r="J9" s="1710"/>
      <c r="K9" s="1710"/>
      <c r="L9" s="1702"/>
      <c r="M9" s="1698"/>
      <c r="N9" s="1698"/>
      <c r="O9" s="1703"/>
    </row>
    <row r="10" spans="1:15">
      <c r="A10" s="1684" t="s">
        <v>997</v>
      </c>
      <c r="B10" s="1696" t="s">
        <v>999</v>
      </c>
      <c r="C10" s="1697">
        <f>52380-16002</f>
        <v>36378</v>
      </c>
      <c r="D10" s="1697">
        <v>36973</v>
      </c>
      <c r="E10" s="1697">
        <v>36685.5</v>
      </c>
      <c r="F10" s="1697">
        <f>37985.02-1686</f>
        <v>36299.019999999997</v>
      </c>
      <c r="G10" s="1697">
        <v>35483.51</v>
      </c>
      <c r="H10" s="1697">
        <f>16845.97+21106.93</f>
        <v>37952.9</v>
      </c>
      <c r="I10" s="1697">
        <v>38757.800000000003</v>
      </c>
      <c r="J10" s="1697">
        <v>37926.18</v>
      </c>
      <c r="K10" s="1699">
        <v>39151.54</v>
      </c>
      <c r="L10" s="1697">
        <f>37723.04-600</f>
        <v>37123.040000000001</v>
      </c>
      <c r="M10" s="1698">
        <v>39462.44</v>
      </c>
      <c r="N10" s="1698">
        <v>42197.25</v>
      </c>
      <c r="O10" s="1700">
        <f>SUM(C10:N10)</f>
        <v>454390.17999999993</v>
      </c>
    </row>
    <row r="11" spans="1:15" ht="10.35" customHeight="1">
      <c r="C11" s="1701"/>
      <c r="D11" s="1701"/>
      <c r="E11" s="1701"/>
      <c r="F11" s="1701"/>
      <c r="G11" s="1701"/>
      <c r="H11" s="1701"/>
      <c r="I11" s="1701"/>
      <c r="J11" s="1710"/>
      <c r="K11" s="1710"/>
      <c r="L11" s="1702"/>
      <c r="M11" s="1698"/>
      <c r="N11" s="1698"/>
      <c r="O11" s="1703"/>
    </row>
    <row r="12" spans="1:15">
      <c r="A12" s="1684" t="s">
        <v>1000</v>
      </c>
      <c r="B12" s="1704" t="s">
        <v>1001</v>
      </c>
      <c r="C12" s="1697">
        <v>13755</v>
      </c>
      <c r="D12" s="1697">
        <v>13858</v>
      </c>
      <c r="E12" s="1697">
        <v>16856.240000000002</v>
      </c>
      <c r="F12" s="1697">
        <v>14235.56</v>
      </c>
      <c r="G12" s="1697">
        <f>5050.35+7152.65</f>
        <v>12203</v>
      </c>
      <c r="H12" s="1697">
        <v>13011</v>
      </c>
      <c r="I12" s="1697">
        <v>12257</v>
      </c>
      <c r="J12" s="1697">
        <v>11199</v>
      </c>
      <c r="K12" s="1699">
        <v>8957</v>
      </c>
      <c r="L12" s="1697">
        <v>15550</v>
      </c>
      <c r="M12" s="1698">
        <v>17037.77</v>
      </c>
      <c r="N12" s="1698">
        <v>12138.8</v>
      </c>
      <c r="O12" s="1700">
        <f>SUM(C12:N12)</f>
        <v>161058.36999999997</v>
      </c>
    </row>
    <row r="13" spans="1:15" ht="10.35" customHeight="1">
      <c r="B13" s="1684"/>
      <c r="C13" s="1701"/>
      <c r="D13" s="1701"/>
      <c r="E13" s="1701"/>
      <c r="F13" s="1701"/>
      <c r="G13" s="1701"/>
      <c r="H13" s="1701"/>
      <c r="I13" s="1701"/>
      <c r="J13" s="1710"/>
      <c r="K13" s="1710"/>
      <c r="L13" s="1702"/>
      <c r="M13" s="1698"/>
      <c r="N13" s="1698"/>
      <c r="O13" s="1703"/>
    </row>
    <row r="14" spans="1:15">
      <c r="A14" s="1684" t="s">
        <v>995</v>
      </c>
      <c r="B14" s="1704" t="s">
        <v>1002</v>
      </c>
      <c r="C14" s="1697">
        <f>28264.68+3962.5</f>
        <v>32227.18</v>
      </c>
      <c r="D14" s="1697">
        <f>23831.04+3962.5</f>
        <v>27793.54</v>
      </c>
      <c r="E14" s="1697">
        <f>27308.68+3962.5</f>
        <v>31271.18</v>
      </c>
      <c r="F14" s="1697">
        <v>31789.18</v>
      </c>
      <c r="G14" s="1697">
        <v>34246.269999999997</v>
      </c>
      <c r="H14" s="1697">
        <v>29860.82</v>
      </c>
      <c r="I14" s="1697">
        <v>35887.47</v>
      </c>
      <c r="J14" s="1697">
        <v>30645.89</v>
      </c>
      <c r="K14" s="1699">
        <v>30013.98</v>
      </c>
      <c r="L14" s="1697">
        <v>32375.84</v>
      </c>
      <c r="M14" s="1698">
        <v>29469.72</v>
      </c>
      <c r="N14" s="1698">
        <v>30266.91</v>
      </c>
      <c r="O14" s="1700">
        <f>SUM(C14:N14)</f>
        <v>375847.97999999992</v>
      </c>
    </row>
    <row r="15" spans="1:15" ht="10.35" customHeight="1">
      <c r="B15" s="1684"/>
      <c r="C15" s="1701"/>
      <c r="D15" s="1701"/>
      <c r="E15" s="1701"/>
      <c r="F15" s="1701"/>
      <c r="G15" s="1701"/>
      <c r="H15" s="1701"/>
      <c r="I15" s="1701"/>
      <c r="J15" s="1710"/>
      <c r="K15" s="1710"/>
      <c r="L15" s="1702"/>
      <c r="M15" s="1698"/>
      <c r="N15" s="1698"/>
      <c r="O15" s="1703"/>
    </row>
    <row r="16" spans="1:15">
      <c r="A16" s="1687" t="s">
        <v>1003</v>
      </c>
      <c r="B16" s="1696" t="s">
        <v>1004</v>
      </c>
      <c r="C16" s="1697">
        <v>55466</v>
      </c>
      <c r="D16" s="1697">
        <v>52607</v>
      </c>
      <c r="E16" s="1697">
        <v>54941</v>
      </c>
      <c r="F16" s="1697">
        <v>52542</v>
      </c>
      <c r="G16" s="1697">
        <v>47540</v>
      </c>
      <c r="H16" s="1697">
        <v>58488</v>
      </c>
      <c r="I16" s="1697">
        <v>44720</v>
      </c>
      <c r="J16" s="1697">
        <v>51418</v>
      </c>
      <c r="K16" s="1699">
        <v>50109</v>
      </c>
      <c r="L16" s="1697">
        <v>45596</v>
      </c>
      <c r="M16" s="1698">
        <v>44759</v>
      </c>
      <c r="N16" s="1698">
        <v>48991</v>
      </c>
      <c r="O16" s="1700">
        <f>SUM(C16:N16)</f>
        <v>607177</v>
      </c>
    </row>
    <row r="17" spans="1:15" ht="10.35" customHeight="1">
      <c r="C17" s="1698"/>
      <c r="D17" s="1698"/>
      <c r="E17" s="1698"/>
      <c r="F17" s="1698"/>
      <c r="G17" s="1698"/>
      <c r="H17" s="1698"/>
      <c r="I17" s="1698"/>
      <c r="J17" s="1698"/>
      <c r="K17" s="1698"/>
      <c r="L17" s="1698"/>
      <c r="M17" s="1698"/>
      <c r="N17" s="1698"/>
      <c r="O17" s="1703"/>
    </row>
    <row r="18" spans="1:15">
      <c r="A18" s="1684" t="s">
        <v>1005</v>
      </c>
      <c r="B18" s="1704" t="s">
        <v>1006</v>
      </c>
      <c r="C18" s="1705">
        <v>46552.69</v>
      </c>
      <c r="D18" s="1705">
        <v>33069.74</v>
      </c>
      <c r="E18" s="1705">
        <v>39567</v>
      </c>
      <c r="F18" s="1705">
        <v>32688.9</v>
      </c>
      <c r="G18" s="1706">
        <v>28404.62</v>
      </c>
      <c r="H18" s="1705">
        <v>29291.49</v>
      </c>
      <c r="I18" s="1705">
        <v>35873.26</v>
      </c>
      <c r="J18" s="1705">
        <v>16013.36</v>
      </c>
      <c r="K18" s="1705">
        <v>37948.74</v>
      </c>
      <c r="L18" s="1705">
        <v>27777.46</v>
      </c>
      <c r="M18" s="1698">
        <v>27579.7</v>
      </c>
      <c r="N18" s="1698">
        <v>32243.79</v>
      </c>
      <c r="O18" s="1700">
        <f>SUM(C18:N18)</f>
        <v>387010.75</v>
      </c>
    </row>
    <row r="19" spans="1:15" ht="10.35" customHeight="1">
      <c r="C19" s="1698"/>
      <c r="D19" s="1698"/>
      <c r="E19" s="1698"/>
      <c r="F19" s="1698"/>
      <c r="G19" s="1698"/>
      <c r="H19" s="1698"/>
      <c r="I19" s="1698"/>
      <c r="J19" s="1698"/>
      <c r="K19" s="1698"/>
      <c r="L19" s="1698"/>
      <c r="M19" s="1698"/>
      <c r="N19" s="1698"/>
      <c r="O19" s="1703"/>
    </row>
    <row r="20" spans="1:15">
      <c r="A20" s="1684" t="s">
        <v>1003</v>
      </c>
      <c r="B20" s="1704" t="s">
        <v>1007</v>
      </c>
      <c r="C20" s="1697">
        <v>9686</v>
      </c>
      <c r="D20" s="1697">
        <v>8905</v>
      </c>
      <c r="E20" s="1697">
        <v>9620</v>
      </c>
      <c r="F20" s="1697">
        <v>11003</v>
      </c>
      <c r="G20" s="1708">
        <v>4256</v>
      </c>
      <c r="H20" s="1697">
        <v>14423</v>
      </c>
      <c r="I20" s="1697">
        <v>3237.8</v>
      </c>
      <c r="J20" s="1697">
        <f>7596+9791</f>
        <v>17387</v>
      </c>
      <c r="K20" s="1699">
        <v>11653</v>
      </c>
      <c r="L20" s="1697">
        <v>8983</v>
      </c>
      <c r="M20" s="1698">
        <v>9596</v>
      </c>
      <c r="N20" s="1698">
        <v>13392</v>
      </c>
      <c r="O20" s="1700">
        <f>SUM(C20:N20)</f>
        <v>122141.8</v>
      </c>
    </row>
    <row r="21" spans="1:15" ht="10.35" customHeight="1">
      <c r="C21" s="1698"/>
      <c r="D21" s="1698"/>
      <c r="E21" s="1698"/>
      <c r="F21" s="1698"/>
      <c r="G21" s="1698"/>
      <c r="H21" s="1698"/>
      <c r="I21" s="1698"/>
      <c r="J21" s="1698"/>
      <c r="K21" s="1698"/>
      <c r="L21" s="1698"/>
      <c r="M21" s="1698"/>
      <c r="N21" s="1698"/>
      <c r="O21" s="1703"/>
    </row>
    <row r="22" spans="1:15">
      <c r="A22" s="1687" t="s">
        <v>1003</v>
      </c>
      <c r="B22" s="1696" t="s">
        <v>1008</v>
      </c>
      <c r="C22" s="1697">
        <v>70600</v>
      </c>
      <c r="D22" s="1697">
        <v>65342</v>
      </c>
      <c r="E22" s="1697">
        <v>71042</v>
      </c>
      <c r="F22" s="1697">
        <v>72109</v>
      </c>
      <c r="G22" s="1697">
        <v>64411</v>
      </c>
      <c r="H22" s="1697">
        <v>81402</v>
      </c>
      <c r="I22" s="1697">
        <v>60669</v>
      </c>
      <c r="J22" s="1697">
        <v>83125</v>
      </c>
      <c r="K22" s="1699">
        <v>61400</v>
      </c>
      <c r="L22" s="1697">
        <v>64156</v>
      </c>
      <c r="M22" s="1698">
        <v>49873</v>
      </c>
      <c r="N22" s="1698">
        <v>54388</v>
      </c>
      <c r="O22" s="1700">
        <f>SUM(C22:N22)</f>
        <v>798517</v>
      </c>
    </row>
    <row r="23" spans="1:15" ht="10.35" customHeight="1">
      <c r="C23" s="1698"/>
      <c r="D23" s="1698"/>
      <c r="E23" s="1698"/>
      <c r="F23" s="1698"/>
      <c r="G23" s="1698"/>
      <c r="H23" s="1698"/>
      <c r="I23" s="1698"/>
      <c r="J23" s="1698"/>
      <c r="K23" s="1698"/>
      <c r="L23" s="1698"/>
      <c r="M23" s="1698"/>
      <c r="N23" s="1698"/>
      <c r="O23" s="1703"/>
    </row>
    <row r="24" spans="1:15">
      <c r="A24" s="1684" t="s">
        <v>1009</v>
      </c>
      <c r="B24" s="1704" t="s">
        <v>1010</v>
      </c>
      <c r="C24" s="1697">
        <f>41312.76+753.59</f>
        <v>42066.35</v>
      </c>
      <c r="D24" s="1697">
        <f>39112.37+1387</f>
        <v>40499.370000000003</v>
      </c>
      <c r="E24" s="1697">
        <f>41408.43+599</f>
        <v>42007.43</v>
      </c>
      <c r="F24" s="1711">
        <f>42647.61+731</f>
        <v>43378.61</v>
      </c>
      <c r="G24" s="1697">
        <f>39625.79+997</f>
        <v>40622.79</v>
      </c>
      <c r="H24" s="1697">
        <v>44057.39</v>
      </c>
      <c r="I24" s="1697">
        <v>40646.699999999997</v>
      </c>
      <c r="J24" s="1697">
        <v>42896.54</v>
      </c>
      <c r="K24" s="1699">
        <v>40339.35</v>
      </c>
      <c r="L24" s="1697">
        <v>44018.98</v>
      </c>
      <c r="M24" s="1698">
        <v>37424.269999999997</v>
      </c>
      <c r="N24" s="1698">
        <v>31931.06</v>
      </c>
      <c r="O24" s="1700">
        <f>SUM(C24:N24)</f>
        <v>489888.83999999997</v>
      </c>
    </row>
    <row r="25" spans="1:15" ht="10.35" customHeight="1">
      <c r="C25" s="1698"/>
      <c r="D25" s="1698"/>
      <c r="E25" s="1698"/>
      <c r="F25" s="1698"/>
      <c r="G25" s="1698"/>
      <c r="H25" s="1698"/>
      <c r="I25" s="1698"/>
      <c r="J25" s="1698"/>
      <c r="K25" s="1698"/>
      <c r="L25" s="1698"/>
      <c r="M25" s="1698"/>
      <c r="N25" s="1698"/>
      <c r="O25" s="1703"/>
    </row>
    <row r="26" spans="1:15">
      <c r="A26" s="1684" t="s">
        <v>1011</v>
      </c>
      <c r="B26" s="1704" t="s">
        <v>1012</v>
      </c>
      <c r="C26" s="1697">
        <v>99289</v>
      </c>
      <c r="D26" s="1697">
        <v>94697</v>
      </c>
      <c r="E26" s="1697">
        <v>92144</v>
      </c>
      <c r="F26" s="1697">
        <v>91745</v>
      </c>
      <c r="G26" s="1697">
        <v>85213</v>
      </c>
      <c r="H26" s="1697">
        <v>105763</v>
      </c>
      <c r="I26" s="1697">
        <v>100250</v>
      </c>
      <c r="J26" s="1697">
        <v>90601</v>
      </c>
      <c r="K26" s="1699">
        <v>90124</v>
      </c>
      <c r="L26" s="1697">
        <v>80315</v>
      </c>
      <c r="M26" s="1698">
        <v>95745</v>
      </c>
      <c r="N26" s="1698">
        <v>95342</v>
      </c>
      <c r="O26" s="1700">
        <f>SUM(C26:N26)</f>
        <v>1121228</v>
      </c>
    </row>
    <row r="27" spans="1:15" ht="10.35" customHeight="1">
      <c r="C27" s="1698"/>
      <c r="D27" s="1698"/>
      <c r="E27" s="1698"/>
      <c r="F27" s="1698"/>
      <c r="G27" s="1698"/>
      <c r="H27" s="1698"/>
      <c r="I27" s="1698"/>
      <c r="J27" s="1698"/>
      <c r="K27" s="1698"/>
      <c r="L27" s="1698"/>
      <c r="M27" s="1698"/>
      <c r="N27" s="1698"/>
      <c r="O27" s="1703"/>
    </row>
    <row r="28" spans="1:15">
      <c r="A28" s="1684" t="s">
        <v>1011</v>
      </c>
      <c r="B28" s="1704" t="s">
        <v>1013</v>
      </c>
      <c r="C28" s="1697">
        <v>26119</v>
      </c>
      <c r="D28" s="1697">
        <v>20825</v>
      </c>
      <c r="E28" s="1697">
        <f>20349+6525</f>
        <v>26874</v>
      </c>
      <c r="F28" s="1697">
        <v>25788</v>
      </c>
      <c r="G28" s="1697">
        <v>23011</v>
      </c>
      <c r="H28" s="1697">
        <v>27687</v>
      </c>
      <c r="I28" s="1697">
        <v>23717</v>
      </c>
      <c r="J28" s="1697">
        <v>24332</v>
      </c>
      <c r="K28" s="1699">
        <v>22930</v>
      </c>
      <c r="L28" s="1697">
        <v>25525</v>
      </c>
      <c r="M28" s="1698">
        <v>26101</v>
      </c>
      <c r="N28" s="1698">
        <v>23065</v>
      </c>
      <c r="O28" s="1700">
        <f>SUM(C28:N28)</f>
        <v>295974</v>
      </c>
    </row>
    <row r="29" spans="1:15" ht="10.35" customHeight="1">
      <c r="C29" s="1698"/>
      <c r="D29" s="1698"/>
      <c r="E29" s="1698"/>
      <c r="F29" s="1698"/>
      <c r="G29" s="1698"/>
      <c r="H29" s="1698"/>
      <c r="I29" s="1698"/>
      <c r="J29" s="1698"/>
      <c r="K29" s="1698"/>
      <c r="L29" s="1698"/>
      <c r="M29" s="1698"/>
      <c r="N29" s="1698"/>
      <c r="O29" s="1703"/>
    </row>
    <row r="30" spans="1:15">
      <c r="A30" s="1684" t="s">
        <v>1005</v>
      </c>
      <c r="B30" s="1704" t="s">
        <v>1014</v>
      </c>
      <c r="C30" s="1697">
        <v>25023.89</v>
      </c>
      <c r="D30" s="1697">
        <v>19662.150000000001</v>
      </c>
      <c r="E30" s="1697">
        <f>23624.76</f>
        <v>23624.76</v>
      </c>
      <c r="F30" s="1697">
        <f>14918.04</f>
        <v>14918.04</v>
      </c>
      <c r="G30" s="1697">
        <v>18559.060000000001</v>
      </c>
      <c r="H30" s="1697">
        <v>18816.419999999998</v>
      </c>
      <c r="I30" s="1697">
        <v>19399.63</v>
      </c>
      <c r="J30" s="1697">
        <v>12173</v>
      </c>
      <c r="K30" s="1699">
        <v>17002.91</v>
      </c>
      <c r="L30" s="1697">
        <v>17296</v>
      </c>
      <c r="M30" s="1698">
        <v>22172.07</v>
      </c>
      <c r="N30" s="1698">
        <v>20249.07</v>
      </c>
      <c r="O30" s="1700">
        <f>SUM(C30:N30)</f>
        <v>228897</v>
      </c>
    </row>
    <row r="31" spans="1:15" ht="10.35" customHeight="1">
      <c r="C31" s="1698"/>
      <c r="D31" s="1698"/>
      <c r="E31" s="1698"/>
      <c r="F31" s="1698"/>
      <c r="G31" s="1698"/>
      <c r="H31" s="1698"/>
      <c r="I31" s="1698"/>
      <c r="J31" s="1698"/>
      <c r="K31" s="1698"/>
      <c r="L31" s="1698"/>
      <c r="M31" s="1698"/>
      <c r="N31" s="1698"/>
      <c r="O31" s="1703"/>
    </row>
    <row r="32" spans="1:15">
      <c r="A32" s="1687" t="s">
        <v>1015</v>
      </c>
      <c r="B32" s="1696" t="s">
        <v>1016</v>
      </c>
      <c r="C32" s="1697">
        <v>40986</v>
      </c>
      <c r="D32" s="1697">
        <v>41371</v>
      </c>
      <c r="E32" s="1697">
        <v>40356</v>
      </c>
      <c r="F32" s="1697">
        <v>41854.79</v>
      </c>
      <c r="G32" s="1697">
        <v>35981.11</v>
      </c>
      <c r="H32" s="1697">
        <v>41113.51</v>
      </c>
      <c r="I32" s="1697">
        <v>36743.56</v>
      </c>
      <c r="J32" s="1697">
        <v>35802.36</v>
      </c>
      <c r="K32" s="1697">
        <v>38701.94</v>
      </c>
      <c r="L32" s="1697">
        <v>40426.14</v>
      </c>
      <c r="M32" s="1698">
        <v>29698.03</v>
      </c>
      <c r="N32" s="1698">
        <v>41722.99</v>
      </c>
      <c r="O32" s="1700">
        <f>SUM(C32:N32)</f>
        <v>464757.43000000005</v>
      </c>
    </row>
    <row r="33" spans="1:15" ht="10.35" customHeight="1">
      <c r="C33" s="1698"/>
      <c r="D33" s="1698"/>
      <c r="E33" s="1698"/>
      <c r="F33" s="1698"/>
      <c r="G33" s="1698"/>
      <c r="H33" s="1698"/>
      <c r="I33" s="1698"/>
      <c r="J33" s="1698"/>
      <c r="K33" s="1698"/>
      <c r="L33" s="1698"/>
      <c r="M33" s="1698"/>
      <c r="N33" s="1698"/>
      <c r="O33" s="1703"/>
    </row>
    <row r="34" spans="1:15">
      <c r="A34" s="1684" t="s">
        <v>1015</v>
      </c>
      <c r="B34" s="1704" t="s">
        <v>1017</v>
      </c>
      <c r="C34" s="1697">
        <v>40509</v>
      </c>
      <c r="D34" s="1697">
        <v>39203</v>
      </c>
      <c r="E34" s="1697">
        <v>47583</v>
      </c>
      <c r="F34" s="1697">
        <v>38033.449999999997</v>
      </c>
      <c r="G34" s="1697">
        <v>35943.519999999997</v>
      </c>
      <c r="H34" s="1697">
        <v>45227.58</v>
      </c>
      <c r="I34" s="1697">
        <v>40714.480000000003</v>
      </c>
      <c r="J34" s="1697">
        <v>40125.230000000003</v>
      </c>
      <c r="K34" s="1697">
        <v>41709.19</v>
      </c>
      <c r="L34" s="1697">
        <v>41698.29</v>
      </c>
      <c r="M34" s="1698">
        <v>53537.31</v>
      </c>
      <c r="N34" s="1698">
        <v>37573.33</v>
      </c>
      <c r="O34" s="1700">
        <f>SUM(C34:N34)</f>
        <v>501857.37999999995</v>
      </c>
    </row>
    <row r="35" spans="1:15" ht="10.35" customHeight="1">
      <c r="C35" s="1698"/>
      <c r="D35" s="1698"/>
      <c r="E35" s="1698"/>
      <c r="F35" s="1698"/>
      <c r="G35" s="1698"/>
      <c r="H35" s="1698"/>
      <c r="I35" s="1698"/>
      <c r="J35" s="1698"/>
      <c r="K35" s="1698"/>
      <c r="L35" s="1698"/>
      <c r="M35" s="1698"/>
      <c r="N35" s="1698"/>
      <c r="O35" s="1703"/>
    </row>
    <row r="36" spans="1:15">
      <c r="A36" s="1684" t="s">
        <v>1018</v>
      </c>
      <c r="B36" s="1704" t="s">
        <v>1019</v>
      </c>
      <c r="C36" s="1697">
        <v>79869</v>
      </c>
      <c r="D36" s="1697">
        <v>77328</v>
      </c>
      <c r="E36" s="1697">
        <v>80151</v>
      </c>
      <c r="F36" s="1697">
        <v>90580</v>
      </c>
      <c r="G36" s="1697">
        <v>76639</v>
      </c>
      <c r="H36" s="1697">
        <v>82875</v>
      </c>
      <c r="I36" s="1697">
        <v>74428</v>
      </c>
      <c r="J36" s="1697">
        <v>74620</v>
      </c>
      <c r="K36" s="1699">
        <v>74683</v>
      </c>
      <c r="L36" s="1697">
        <v>77498</v>
      </c>
      <c r="M36" s="1698">
        <v>75545</v>
      </c>
      <c r="N36" s="1698">
        <v>76384</v>
      </c>
      <c r="O36" s="1700">
        <f>SUM(C36:N36)</f>
        <v>940600</v>
      </c>
    </row>
    <row r="37" spans="1:15" ht="10.35" customHeight="1">
      <c r="C37" s="1698"/>
      <c r="D37" s="1698"/>
      <c r="E37" s="1698"/>
      <c r="F37" s="1698"/>
      <c r="G37" s="1698"/>
      <c r="H37" s="1698"/>
      <c r="I37" s="1698"/>
      <c r="J37" s="1698"/>
      <c r="K37" s="1698"/>
      <c r="L37" s="1698"/>
      <c r="M37" s="1698"/>
      <c r="N37" s="1698"/>
      <c r="O37" s="1703"/>
    </row>
    <row r="38" spans="1:15">
      <c r="A38" s="1687" t="s">
        <v>1018</v>
      </c>
      <c r="B38" s="1696" t="s">
        <v>1020</v>
      </c>
      <c r="C38" s="1697">
        <v>38104</v>
      </c>
      <c r="D38" s="1697">
        <v>39528</v>
      </c>
      <c r="E38" s="1697">
        <v>38127</v>
      </c>
      <c r="F38" s="1697">
        <v>36850</v>
      </c>
      <c r="G38" s="1697">
        <v>37184</v>
      </c>
      <c r="H38" s="1697">
        <v>37192</v>
      </c>
      <c r="I38" s="1697">
        <v>32799</v>
      </c>
      <c r="J38" s="1697">
        <v>32531</v>
      </c>
      <c r="K38" s="1699">
        <v>35715</v>
      </c>
      <c r="L38" s="1697">
        <v>33993</v>
      </c>
      <c r="M38" s="1698">
        <v>42717</v>
      </c>
      <c r="N38" s="1698">
        <v>43460</v>
      </c>
      <c r="O38" s="1700">
        <f>SUM(C38:N38)</f>
        <v>448200</v>
      </c>
    </row>
    <row r="39" spans="1:15" ht="10.35" customHeight="1">
      <c r="C39" s="1698"/>
      <c r="D39" s="1698"/>
      <c r="E39" s="1698"/>
      <c r="F39" s="1698"/>
      <c r="G39" s="1698"/>
      <c r="H39" s="1698"/>
      <c r="I39" s="1698"/>
      <c r="J39" s="1698"/>
      <c r="K39" s="1698"/>
      <c r="L39" s="1698"/>
      <c r="M39" s="1698"/>
      <c r="N39" s="1698"/>
      <c r="O39" s="1703"/>
    </row>
    <row r="40" spans="1:15">
      <c r="A40" s="1684" t="s">
        <v>1018</v>
      </c>
      <c r="B40" s="1704" t="s">
        <v>1021</v>
      </c>
      <c r="C40" s="1697">
        <v>47668</v>
      </c>
      <c r="D40" s="1697">
        <v>56911</v>
      </c>
      <c r="E40" s="1697">
        <v>57032</v>
      </c>
      <c r="F40" s="1697">
        <v>55838</v>
      </c>
      <c r="G40" s="1697">
        <v>53618</v>
      </c>
      <c r="H40" s="1697">
        <v>55185</v>
      </c>
      <c r="I40" s="1697">
        <v>56878</v>
      </c>
      <c r="J40" s="1697">
        <v>52096</v>
      </c>
      <c r="K40" s="1699">
        <v>52548</v>
      </c>
      <c r="L40" s="1697">
        <v>50650</v>
      </c>
      <c r="M40" s="1698">
        <v>52771</v>
      </c>
      <c r="N40" s="1698">
        <v>52999</v>
      </c>
      <c r="O40" s="1700">
        <f>SUM(C40:N40)</f>
        <v>644194</v>
      </c>
    </row>
    <row r="41" spans="1:15" ht="10.35" customHeight="1">
      <c r="C41" s="1698"/>
      <c r="D41" s="1698"/>
      <c r="E41" s="1698"/>
      <c r="F41" s="1698"/>
      <c r="G41" s="1698"/>
      <c r="H41" s="1698"/>
      <c r="I41" s="1698"/>
      <c r="J41" s="1698"/>
      <c r="K41" s="1698"/>
      <c r="L41" s="1698"/>
      <c r="M41" s="1698"/>
      <c r="N41" s="1698"/>
      <c r="O41" s="1703"/>
    </row>
    <row r="42" spans="1:15">
      <c r="A42" s="1684" t="s">
        <v>1022</v>
      </c>
      <c r="B42" s="1704" t="s">
        <v>1023</v>
      </c>
      <c r="C42" s="1697">
        <v>26106</v>
      </c>
      <c r="D42" s="1697">
        <v>24785</v>
      </c>
      <c r="E42" s="1697">
        <v>23953</v>
      </c>
      <c r="F42" s="1697">
        <v>24080</v>
      </c>
      <c r="G42" s="1697">
        <v>21200</v>
      </c>
      <c r="H42" s="1697">
        <v>18944</v>
      </c>
      <c r="I42" s="1697">
        <v>19731</v>
      </c>
      <c r="J42" s="1697">
        <v>42273</v>
      </c>
      <c r="K42" s="1697">
        <v>10959</v>
      </c>
      <c r="L42" s="1697">
        <v>23814</v>
      </c>
      <c r="M42" s="1698">
        <v>25771</v>
      </c>
      <c r="N42" s="1698">
        <v>36225</v>
      </c>
      <c r="O42" s="1700">
        <f>SUM(C42:N42)</f>
        <v>297841</v>
      </c>
    </row>
    <row r="43" spans="1:15" ht="10.35" customHeight="1">
      <c r="C43" s="1698"/>
      <c r="D43" s="1698"/>
      <c r="E43" s="1698"/>
      <c r="F43" s="1698"/>
      <c r="G43" s="1698"/>
      <c r="H43" s="1698"/>
      <c r="I43" s="1698"/>
      <c r="J43" s="1698"/>
      <c r="K43" s="1698"/>
      <c r="L43" s="1698"/>
      <c r="M43" s="1698"/>
      <c r="N43" s="1698"/>
      <c r="O43" s="1703"/>
    </row>
    <row r="44" spans="1:15">
      <c r="A44" s="1684" t="s">
        <v>1018</v>
      </c>
      <c r="B44" s="1704" t="s">
        <v>1024</v>
      </c>
      <c r="C44" s="1697">
        <f>38669-6250</f>
        <v>32419</v>
      </c>
      <c r="D44" s="1697">
        <v>41202</v>
      </c>
      <c r="E44" s="1697">
        <v>41930</v>
      </c>
      <c r="F44" s="1697">
        <v>42428</v>
      </c>
      <c r="G44" s="1697">
        <v>42246</v>
      </c>
      <c r="H44" s="1697">
        <v>39462</v>
      </c>
      <c r="I44" s="1697">
        <v>35812</v>
      </c>
      <c r="J44" s="1697">
        <v>34987</v>
      </c>
      <c r="K44" s="1697">
        <v>34803</v>
      </c>
      <c r="L44" s="1697">
        <v>46712</v>
      </c>
      <c r="M44" s="1698">
        <v>44296</v>
      </c>
      <c r="N44" s="1698">
        <v>41323</v>
      </c>
      <c r="O44" s="1700">
        <f>SUM(C44:N44)</f>
        <v>477620</v>
      </c>
    </row>
    <row r="45" spans="1:15" ht="10.35" customHeight="1">
      <c r="C45" s="1698"/>
      <c r="D45" s="1698"/>
      <c r="E45" s="1698"/>
      <c r="F45" s="1698"/>
      <c r="G45" s="1698"/>
      <c r="H45" s="1698"/>
      <c r="I45" s="1698"/>
      <c r="J45" s="1698"/>
      <c r="K45" s="1698"/>
      <c r="L45" s="1698"/>
      <c r="M45" s="1698"/>
      <c r="N45" s="1698"/>
      <c r="O45" s="1703"/>
    </row>
    <row r="46" spans="1:15">
      <c r="A46" s="1687" t="s">
        <v>1025</v>
      </c>
      <c r="B46" s="1696" t="s">
        <v>1026</v>
      </c>
      <c r="C46" s="1697">
        <v>48619</v>
      </c>
      <c r="D46" s="1697">
        <v>39325</v>
      </c>
      <c r="E46" s="1697">
        <v>39325</v>
      </c>
      <c r="F46" s="1697">
        <v>39325</v>
      </c>
      <c r="G46" s="1697">
        <v>38935</v>
      </c>
      <c r="H46" s="1697">
        <v>36929</v>
      </c>
      <c r="I46" s="1697">
        <v>36911</v>
      </c>
      <c r="J46" s="1697">
        <v>50666.53</v>
      </c>
      <c r="K46" s="1697">
        <v>43700.95</v>
      </c>
      <c r="L46" s="1697">
        <v>37772.400000000001</v>
      </c>
      <c r="M46" s="1698">
        <v>43795</v>
      </c>
      <c r="N46" s="1698">
        <v>43450</v>
      </c>
      <c r="O46" s="1700">
        <f>SUM(C46:N46)</f>
        <v>498753.88000000006</v>
      </c>
    </row>
    <row r="47" spans="1:15" ht="10.35" customHeight="1">
      <c r="C47" s="1698"/>
      <c r="D47" s="1698"/>
      <c r="E47" s="1698"/>
      <c r="F47" s="1698"/>
      <c r="G47" s="1698"/>
      <c r="H47" s="1698"/>
      <c r="I47" s="1698"/>
      <c r="J47" s="1698"/>
      <c r="K47" s="1698"/>
      <c r="L47" s="1698"/>
      <c r="M47" s="1698"/>
      <c r="N47" s="1698"/>
      <c r="O47" s="1703"/>
    </row>
    <row r="48" spans="1:15">
      <c r="A48" s="1684" t="s">
        <v>1027</v>
      </c>
      <c r="B48" s="1704" t="s">
        <v>1028</v>
      </c>
      <c r="C48" s="1705">
        <v>42262</v>
      </c>
      <c r="D48" s="1705">
        <v>37983</v>
      </c>
      <c r="E48" s="1705">
        <v>38971</v>
      </c>
      <c r="F48" s="1705">
        <v>39374</v>
      </c>
      <c r="G48" s="1706">
        <v>36197</v>
      </c>
      <c r="H48" s="1705">
        <v>43679</v>
      </c>
      <c r="I48" s="1705">
        <v>34789</v>
      </c>
      <c r="J48" s="1705">
        <v>34580</v>
      </c>
      <c r="K48" s="1705">
        <v>39982</v>
      </c>
      <c r="L48" s="1705">
        <v>37816</v>
      </c>
      <c r="M48" s="1705">
        <v>35888</v>
      </c>
      <c r="N48" s="1705">
        <v>43020</v>
      </c>
      <c r="O48" s="1700">
        <f>SUM(C48:N48)</f>
        <v>464541</v>
      </c>
    </row>
    <row r="49" spans="1:15" ht="10.35" customHeight="1">
      <c r="C49" s="1698"/>
      <c r="D49" s="1698"/>
      <c r="E49" s="1698"/>
      <c r="F49" s="1698"/>
      <c r="G49" s="1698"/>
      <c r="H49" s="1698"/>
      <c r="I49" s="1698"/>
      <c r="J49" s="1698"/>
      <c r="K49" s="1698"/>
      <c r="L49" s="1698"/>
      <c r="M49" s="1698"/>
      <c r="N49" s="1698"/>
      <c r="O49" s="1703"/>
    </row>
    <row r="50" spans="1:15">
      <c r="A50" s="1684" t="s">
        <v>1027</v>
      </c>
      <c r="B50" s="1704" t="s">
        <v>1029</v>
      </c>
      <c r="C50" s="1697">
        <v>11031</v>
      </c>
      <c r="D50" s="1697">
        <v>11384</v>
      </c>
      <c r="E50" s="1697">
        <v>12135</v>
      </c>
      <c r="F50" s="1697">
        <f>6449+6158</f>
        <v>12607</v>
      </c>
      <c r="G50" s="1708">
        <v>8786</v>
      </c>
      <c r="H50" s="1697">
        <v>12036</v>
      </c>
      <c r="I50" s="1697">
        <v>9212</v>
      </c>
      <c r="J50" s="1697">
        <v>6591</v>
      </c>
      <c r="K50" s="1699">
        <v>10941</v>
      </c>
      <c r="L50" s="1697">
        <v>6464</v>
      </c>
      <c r="M50" s="1698">
        <v>11120</v>
      </c>
      <c r="N50" s="1698">
        <v>12125</v>
      </c>
      <c r="O50" s="1700">
        <f>SUM(C50:N50)</f>
        <v>124432</v>
      </c>
    </row>
    <row r="51" spans="1:15" ht="10.35" customHeight="1">
      <c r="C51" s="1698"/>
      <c r="D51" s="1698"/>
      <c r="E51" s="1698"/>
      <c r="F51" s="1698"/>
      <c r="G51" s="1698"/>
      <c r="H51" s="1698"/>
      <c r="I51" s="1698"/>
      <c r="J51" s="1698"/>
      <c r="K51" s="1698"/>
      <c r="L51" s="1698"/>
      <c r="M51" s="1698"/>
      <c r="N51" s="1698"/>
      <c r="O51" s="1703"/>
    </row>
    <row r="52" spans="1:15">
      <c r="A52" s="1687" t="s">
        <v>1015</v>
      </c>
      <c r="B52" s="1696" t="s">
        <v>1030</v>
      </c>
      <c r="C52" s="1697">
        <v>27880</v>
      </c>
      <c r="D52" s="1697">
        <v>28367</v>
      </c>
      <c r="E52" s="1697">
        <v>33399</v>
      </c>
      <c r="F52" s="1697">
        <v>21067.33</v>
      </c>
      <c r="G52" s="1697">
        <v>27668.33</v>
      </c>
      <c r="H52" s="1697">
        <v>29005.69</v>
      </c>
      <c r="I52" s="1697">
        <v>25608.33</v>
      </c>
      <c r="J52" s="1697">
        <v>31517.33</v>
      </c>
      <c r="K52" s="1699">
        <v>27574.38</v>
      </c>
      <c r="L52" s="1697">
        <v>17811.330000000002</v>
      </c>
      <c r="M52" s="1698">
        <v>20502.330000000002</v>
      </c>
      <c r="N52" s="1698">
        <v>12473.33</v>
      </c>
      <c r="O52" s="1700">
        <f>SUM(C52:N52)</f>
        <v>302874.38000000006</v>
      </c>
    </row>
    <row r="53" spans="1:15" ht="10.35" customHeight="1">
      <c r="C53" s="1698"/>
      <c r="D53" s="1698"/>
      <c r="E53" s="1698"/>
      <c r="F53" s="1698"/>
      <c r="G53" s="1698"/>
      <c r="H53" s="1698"/>
      <c r="I53" s="1698"/>
      <c r="J53" s="1698"/>
      <c r="K53" s="1698"/>
      <c r="L53" s="1698"/>
      <c r="M53" s="1698"/>
      <c r="N53" s="1698"/>
      <c r="O53" s="1703"/>
    </row>
    <row r="54" spans="1:15">
      <c r="A54" s="1684" t="s">
        <v>1015</v>
      </c>
      <c r="B54" s="1704" t="s">
        <v>1031</v>
      </c>
      <c r="C54" s="1697">
        <v>50070</v>
      </c>
      <c r="D54" s="1697">
        <v>68009</v>
      </c>
      <c r="E54" s="1697">
        <v>79172</v>
      </c>
      <c r="F54" s="1697">
        <v>67271.98</v>
      </c>
      <c r="G54" s="1697">
        <v>61489.22</v>
      </c>
      <c r="H54" s="1697">
        <v>72239.95</v>
      </c>
      <c r="I54" s="1697">
        <v>55177.72</v>
      </c>
      <c r="J54" s="1697">
        <v>64289.93</v>
      </c>
      <c r="K54" s="1699">
        <v>65960.789999999994</v>
      </c>
      <c r="L54" s="1697">
        <v>93604.41</v>
      </c>
      <c r="M54" s="1698">
        <v>42477.32</v>
      </c>
      <c r="N54" s="1698">
        <v>76246.87</v>
      </c>
      <c r="O54" s="1700">
        <f>SUM(C54:N54)</f>
        <v>796009.19</v>
      </c>
    </row>
    <row r="55" spans="1:15" ht="10.35" customHeight="1">
      <c r="C55" s="1698"/>
      <c r="D55" s="1698"/>
      <c r="E55" s="1698"/>
      <c r="F55" s="1698"/>
      <c r="G55" s="1698"/>
      <c r="H55" s="1698"/>
      <c r="I55" s="1698"/>
      <c r="J55" s="1698"/>
      <c r="K55" s="1698"/>
      <c r="L55" s="1698"/>
      <c r="M55" s="1698"/>
      <c r="N55" s="1698"/>
      <c r="O55" s="1703"/>
    </row>
    <row r="56" spans="1:15">
      <c r="A56" s="1684" t="s">
        <v>1032</v>
      </c>
      <c r="B56" s="1704" t="s">
        <v>1033</v>
      </c>
      <c r="C56" s="1697">
        <v>24550</v>
      </c>
      <c r="D56" s="1697">
        <v>24511</v>
      </c>
      <c r="E56" s="1697">
        <v>24165</v>
      </c>
      <c r="F56" s="1697">
        <v>24762</v>
      </c>
      <c r="G56" s="1697">
        <v>28877</v>
      </c>
      <c r="H56" s="1697">
        <v>23668</v>
      </c>
      <c r="I56" s="1697">
        <v>22249</v>
      </c>
      <c r="J56" s="1697">
        <v>18439</v>
      </c>
      <c r="K56" s="1697">
        <v>18694</v>
      </c>
      <c r="L56" s="1697">
        <v>8456</v>
      </c>
      <c r="M56" s="1698">
        <v>22278</v>
      </c>
      <c r="N56" s="1698">
        <v>24266</v>
      </c>
      <c r="O56" s="1700">
        <f>SUM(C56:N56)</f>
        <v>264915</v>
      </c>
    </row>
    <row r="57" spans="1:15" ht="10.35" customHeight="1">
      <c r="C57" s="1698"/>
      <c r="D57" s="1698"/>
      <c r="E57" s="1698"/>
      <c r="F57" s="1698"/>
      <c r="G57" s="1698"/>
      <c r="H57" s="1698"/>
      <c r="I57" s="1698"/>
      <c r="J57" s="1698"/>
      <c r="K57" s="1698"/>
      <c r="L57" s="1698"/>
      <c r="M57" s="1698"/>
      <c r="N57" s="1698"/>
      <c r="O57" s="1703"/>
    </row>
    <row r="58" spans="1:15">
      <c r="A58" s="1684" t="s">
        <v>1034</v>
      </c>
      <c r="B58" s="1704" t="s">
        <v>1035</v>
      </c>
      <c r="C58" s="1697">
        <v>29142</v>
      </c>
      <c r="D58" s="1697">
        <v>24896</v>
      </c>
      <c r="E58" s="1697">
        <v>34067</v>
      </c>
      <c r="F58" s="1697">
        <v>34160</v>
      </c>
      <c r="G58" s="1697">
        <v>32822</v>
      </c>
      <c r="H58" s="1697">
        <v>29925</v>
      </c>
      <c r="I58" s="1697">
        <v>31128</v>
      </c>
      <c r="J58" s="1697">
        <v>31503</v>
      </c>
      <c r="K58" s="1699">
        <v>27380</v>
      </c>
      <c r="L58" s="1697">
        <v>18096</v>
      </c>
      <c r="M58" s="1698">
        <v>33681</v>
      </c>
      <c r="N58" s="1698">
        <v>28529</v>
      </c>
      <c r="O58" s="1700">
        <f>SUM(C58:N58)</f>
        <v>355329</v>
      </c>
    </row>
    <row r="59" spans="1:15" ht="10.35" customHeight="1">
      <c r="C59" s="1698"/>
      <c r="D59" s="1698"/>
      <c r="E59" s="1698"/>
      <c r="F59" s="1698"/>
      <c r="G59" s="1698"/>
      <c r="H59" s="1698"/>
      <c r="I59" s="1698"/>
      <c r="J59" s="1698"/>
      <c r="K59" s="1698"/>
      <c r="L59" s="1698"/>
      <c r="M59" s="1698"/>
      <c r="N59" s="1698"/>
      <c r="O59" s="1703"/>
    </row>
    <row r="60" spans="1:15">
      <c r="A60" s="1684" t="s">
        <v>1034</v>
      </c>
      <c r="B60" s="1704" t="s">
        <v>1036</v>
      </c>
      <c r="C60" s="1697">
        <v>52756</v>
      </c>
      <c r="D60" s="1697">
        <v>49827</v>
      </c>
      <c r="E60" s="1697">
        <v>46874</v>
      </c>
      <c r="F60" s="1697">
        <f>16004+31208</f>
        <v>47212</v>
      </c>
      <c r="G60" s="1697">
        <v>52388</v>
      </c>
      <c r="H60" s="1697">
        <v>49587</v>
      </c>
      <c r="I60" s="1697">
        <v>42745</v>
      </c>
      <c r="J60" s="1697">
        <v>60441</v>
      </c>
      <c r="K60" s="1699">
        <v>42938</v>
      </c>
      <c r="L60" s="1697">
        <v>47350</v>
      </c>
      <c r="M60" s="1698">
        <v>50032</v>
      </c>
      <c r="N60" s="1698">
        <v>37976</v>
      </c>
      <c r="O60" s="1700">
        <f>SUM(C60:N60)</f>
        <v>580126</v>
      </c>
    </row>
    <row r="61" spans="1:15" ht="10.35" customHeight="1">
      <c r="C61" s="1698"/>
      <c r="D61" s="1698"/>
      <c r="E61" s="1698"/>
      <c r="F61" s="1698"/>
      <c r="G61" s="1698"/>
      <c r="H61" s="1698"/>
      <c r="I61" s="1698"/>
      <c r="J61" s="1698"/>
      <c r="K61" s="1698"/>
      <c r="L61" s="1698"/>
      <c r="M61" s="1698"/>
      <c r="N61" s="1698"/>
      <c r="O61" s="1703"/>
    </row>
    <row r="62" spans="1:15">
      <c r="A62" s="1687" t="s">
        <v>1037</v>
      </c>
      <c r="B62" s="1696" t="s">
        <v>1038</v>
      </c>
      <c r="C62" s="1697">
        <f>306329+33755.58</f>
        <v>340084.58</v>
      </c>
      <c r="D62" s="1697">
        <f>298972+32236.75</f>
        <v>331208.75</v>
      </c>
      <c r="E62" s="1697">
        <f>262100+43881</f>
        <v>305981</v>
      </c>
      <c r="F62" s="1697">
        <f>253528.8+33794.54</f>
        <v>287323.33999999997</v>
      </c>
      <c r="G62" s="1697">
        <f>269286.31+34462</f>
        <v>303748.31</v>
      </c>
      <c r="H62" s="1697">
        <v>286919.95</v>
      </c>
      <c r="I62" s="1697">
        <v>276894.69</v>
      </c>
      <c r="J62" s="1697">
        <v>280322.44</v>
      </c>
      <c r="K62" s="1699">
        <v>280206.40000000002</v>
      </c>
      <c r="L62" s="1697">
        <v>268413.65999999997</v>
      </c>
      <c r="M62" s="1698">
        <v>273333.69</v>
      </c>
      <c r="N62" s="1698">
        <v>280374.57</v>
      </c>
      <c r="O62" s="1700">
        <f>SUM(C62:N62)</f>
        <v>3514811.38</v>
      </c>
    </row>
    <row r="63" spans="1:15" ht="10.35" customHeight="1">
      <c r="C63" s="1698"/>
      <c r="D63" s="1698"/>
      <c r="E63" s="1698"/>
      <c r="F63" s="1698"/>
      <c r="G63" s="1698"/>
      <c r="H63" s="1698"/>
      <c r="I63" s="1698"/>
      <c r="J63" s="1698"/>
      <c r="K63" s="1698"/>
      <c r="L63" s="1698"/>
      <c r="M63" s="1698"/>
      <c r="N63" s="1698"/>
      <c r="O63" s="1703"/>
    </row>
    <row r="64" spans="1:15">
      <c r="A64" s="1684" t="s">
        <v>1039</v>
      </c>
      <c r="B64" s="1704" t="s">
        <v>1040</v>
      </c>
      <c r="C64" s="1705">
        <v>66977</v>
      </c>
      <c r="D64" s="1705">
        <v>61561</v>
      </c>
      <c r="E64" s="1705">
        <v>70487</v>
      </c>
      <c r="F64" s="1705">
        <v>65668.160000000003</v>
      </c>
      <c r="G64" s="1706">
        <v>66601</v>
      </c>
      <c r="H64" s="1705">
        <f>64763.85+829.75</f>
        <v>65593.600000000006</v>
      </c>
      <c r="I64" s="1705">
        <v>62067.25</v>
      </c>
      <c r="J64" s="1705">
        <v>64632.3</v>
      </c>
      <c r="K64" s="1705">
        <v>73313</v>
      </c>
      <c r="L64" s="1705">
        <v>6339</v>
      </c>
      <c r="M64" s="1698">
        <v>66041</v>
      </c>
      <c r="N64" s="1698">
        <v>64812</v>
      </c>
      <c r="O64" s="1700">
        <f>SUM(C64:N64)</f>
        <v>734092.31</v>
      </c>
    </row>
    <row r="65" spans="1:15" ht="10.35" customHeight="1">
      <c r="C65" s="1698"/>
      <c r="D65" s="1698"/>
      <c r="E65" s="1698"/>
      <c r="F65" s="1698"/>
      <c r="G65" s="1698"/>
      <c r="H65" s="1698"/>
      <c r="I65" s="1698"/>
      <c r="J65" s="1698"/>
      <c r="K65" s="1698"/>
      <c r="L65" s="1698"/>
      <c r="M65" s="1698"/>
      <c r="N65" s="1698"/>
      <c r="O65" s="1703"/>
    </row>
    <row r="66" spans="1:15">
      <c r="A66" s="1684" t="s">
        <v>1015</v>
      </c>
      <c r="B66" s="1704" t="s">
        <v>1041</v>
      </c>
      <c r="C66" s="1697">
        <v>86040</v>
      </c>
      <c r="D66" s="1697">
        <f>101024</f>
        <v>101024</v>
      </c>
      <c r="E66" s="1697">
        <v>100504</v>
      </c>
      <c r="F66" s="1697">
        <v>98223.57</v>
      </c>
      <c r="G66" s="1708">
        <v>95882.11</v>
      </c>
      <c r="H66" s="1697">
        <v>102830.16</v>
      </c>
      <c r="I66" s="1697">
        <f>96180.99</f>
        <v>96180.99</v>
      </c>
      <c r="J66" s="1697">
        <v>97297.38</v>
      </c>
      <c r="K66" s="1699">
        <v>96707.27</v>
      </c>
      <c r="L66" s="1697">
        <v>96365.26</v>
      </c>
      <c r="M66" s="1698">
        <v>40747.22</v>
      </c>
      <c r="N66" s="1698">
        <v>40111.230000000003</v>
      </c>
      <c r="O66" s="1700">
        <f>SUM(C66:N66)</f>
        <v>1051913.19</v>
      </c>
    </row>
    <row r="67" spans="1:15" ht="10.35" customHeight="1">
      <c r="C67" s="1698"/>
      <c r="D67" s="1698"/>
      <c r="E67" s="1698"/>
      <c r="F67" s="1698"/>
      <c r="G67" s="1698"/>
      <c r="H67" s="1698"/>
      <c r="I67" s="1698"/>
      <c r="J67" s="1698"/>
      <c r="K67" s="1698"/>
      <c r="L67" s="1698"/>
      <c r="M67" s="1698"/>
      <c r="N67" s="1698"/>
      <c r="O67" s="1703"/>
    </row>
    <row r="68" spans="1:15">
      <c r="A68" s="1687" t="s">
        <v>1015</v>
      </c>
      <c r="B68" s="1696" t="s">
        <v>1042</v>
      </c>
      <c r="C68" s="1712">
        <v>101348</v>
      </c>
      <c r="D68" s="1712">
        <v>105406</v>
      </c>
      <c r="E68" s="1712">
        <v>99191</v>
      </c>
      <c r="F68" s="1712">
        <v>107729.63</v>
      </c>
      <c r="G68" s="1712">
        <v>91997.79</v>
      </c>
      <c r="H68" s="1712">
        <f>67918.58+33681.66</f>
        <v>101600.24</v>
      </c>
      <c r="I68" s="1712">
        <v>118545.59</v>
      </c>
      <c r="J68" s="1712">
        <v>130115.93</v>
      </c>
      <c r="K68" s="1713">
        <v>104816.35</v>
      </c>
      <c r="L68" s="1712">
        <v>67054.47</v>
      </c>
      <c r="M68" s="1714">
        <v>74159.56</v>
      </c>
      <c r="N68" s="1714">
        <v>58564.91</v>
      </c>
      <c r="O68" s="1715">
        <f>SUM(C68:N68)</f>
        <v>1160529.4699999997</v>
      </c>
    </row>
    <row r="69" spans="1:15">
      <c r="C69" s="1716">
        <f>SUM(C4:C68)</f>
        <v>1764940.5</v>
      </c>
      <c r="D69" s="1716">
        <f t="shared" ref="D69:N69" si="0">SUM(D4:D68)</f>
        <v>1737671.71</v>
      </c>
      <c r="E69" s="1716">
        <f t="shared" si="0"/>
        <v>1780798.8</v>
      </c>
      <c r="F69" s="1716">
        <f t="shared" si="0"/>
        <v>1722620.0899999999</v>
      </c>
      <c r="G69" s="1716">
        <f t="shared" si="0"/>
        <v>1660037.72</v>
      </c>
      <c r="H69" s="1716">
        <f t="shared" si="0"/>
        <v>1759445.5999999999</v>
      </c>
      <c r="I69" s="1716">
        <f t="shared" si="0"/>
        <v>1636535.38</v>
      </c>
      <c r="J69" s="1716">
        <f t="shared" si="0"/>
        <v>1716763.6700000002</v>
      </c>
      <c r="K69" s="1716">
        <f t="shared" si="0"/>
        <v>1648999.4300000002</v>
      </c>
      <c r="L69" s="1716">
        <f t="shared" si="0"/>
        <v>1533716.55</v>
      </c>
      <c r="M69" s="1716">
        <f t="shared" si="0"/>
        <v>1520302.7899999998</v>
      </c>
      <c r="N69" s="1716">
        <f t="shared" si="0"/>
        <v>1531257.42</v>
      </c>
      <c r="O69" s="1717">
        <f>SUM(O4:O68)</f>
        <v>20013089.66</v>
      </c>
    </row>
  </sheetData>
  <printOptions gridLines="1"/>
  <pageMargins left="0.25" right="0.25" top="0.75" bottom="0.75" header="0.3" footer="0.3"/>
  <pageSetup paperSize="5" scale="86" fitToHeight="0" orientation="landscape" r:id="rId1"/>
  <headerFooter alignWithMargins="0">
    <oddHeader xml:space="preserve">&amp;C&amp;"Arial,Bold"ACCS Occupancy Paid
September 2018 - August 2019
</oddHeader>
    <oddFooter>&amp;C&amp;F&amp;RPage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105"/>
  <sheetViews>
    <sheetView topLeftCell="A92" zoomScale="80" zoomScaleNormal="80" workbookViewId="0">
      <selection activeCell="C104" sqref="C104:C105"/>
    </sheetView>
  </sheetViews>
  <sheetFormatPr defaultRowHeight="15"/>
  <cols>
    <col min="1" max="1" width="5.5703125" style="1779" customWidth="1"/>
    <col min="2" max="2" width="58" style="1779" customWidth="1"/>
    <col min="3" max="3" width="24.140625" style="1779" customWidth="1"/>
    <col min="4" max="5" width="14.85546875" style="1779" hidden="1" customWidth="1"/>
    <col min="6" max="6" width="59.5703125" style="1779" customWidth="1"/>
    <col min="7" max="7" width="58.5703125" style="1780" customWidth="1"/>
    <col min="8" max="8" width="14.85546875" style="1779" hidden="1" customWidth="1"/>
    <col min="9" max="9" width="0" style="1779" hidden="1" customWidth="1"/>
    <col min="10" max="10" width="11" style="1779" hidden="1" customWidth="1"/>
    <col min="11" max="11" width="0" style="1779" hidden="1" customWidth="1"/>
    <col min="12" max="12" width="44" style="1780" customWidth="1"/>
    <col min="13" max="256" width="8.5703125" style="1779"/>
    <col min="257" max="257" width="5.5703125" style="1779" customWidth="1"/>
    <col min="258" max="258" width="58" style="1779" customWidth="1"/>
    <col min="259" max="259" width="24.140625" style="1779" customWidth="1"/>
    <col min="260" max="261" width="0" style="1779" hidden="1" customWidth="1"/>
    <col min="262" max="262" width="61.42578125" style="1779" customWidth="1"/>
    <col min="263" max="263" width="62.140625" style="1779" customWidth="1"/>
    <col min="264" max="267" width="0" style="1779" hidden="1" customWidth="1"/>
    <col min="268" max="512" width="8.5703125" style="1779"/>
    <col min="513" max="513" width="5.5703125" style="1779" customWidth="1"/>
    <col min="514" max="514" width="58" style="1779" customWidth="1"/>
    <col min="515" max="515" width="24.140625" style="1779" customWidth="1"/>
    <col min="516" max="517" width="0" style="1779" hidden="1" customWidth="1"/>
    <col min="518" max="518" width="61.42578125" style="1779" customWidth="1"/>
    <col min="519" max="519" width="62.140625" style="1779" customWidth="1"/>
    <col min="520" max="523" width="0" style="1779" hidden="1" customWidth="1"/>
    <col min="524" max="768" width="8.5703125" style="1779"/>
    <col min="769" max="769" width="5.5703125" style="1779" customWidth="1"/>
    <col min="770" max="770" width="58" style="1779" customWidth="1"/>
    <col min="771" max="771" width="24.140625" style="1779" customWidth="1"/>
    <col min="772" max="773" width="0" style="1779" hidden="1" customWidth="1"/>
    <col min="774" max="774" width="61.42578125" style="1779" customWidth="1"/>
    <col min="775" max="775" width="62.140625" style="1779" customWidth="1"/>
    <col min="776" max="779" width="0" style="1779" hidden="1" customWidth="1"/>
    <col min="780" max="1024" width="8.5703125" style="1779"/>
    <col min="1025" max="1025" width="5.5703125" style="1779" customWidth="1"/>
    <col min="1026" max="1026" width="58" style="1779" customWidth="1"/>
    <col min="1027" max="1027" width="24.140625" style="1779" customWidth="1"/>
    <col min="1028" max="1029" width="0" style="1779" hidden="1" customWidth="1"/>
    <col min="1030" max="1030" width="61.42578125" style="1779" customWidth="1"/>
    <col min="1031" max="1031" width="62.140625" style="1779" customWidth="1"/>
    <col min="1032" max="1035" width="0" style="1779" hidden="1" customWidth="1"/>
    <col min="1036" max="1280" width="8.5703125" style="1779"/>
    <col min="1281" max="1281" width="5.5703125" style="1779" customWidth="1"/>
    <col min="1282" max="1282" width="58" style="1779" customWidth="1"/>
    <col min="1283" max="1283" width="24.140625" style="1779" customWidth="1"/>
    <col min="1284" max="1285" width="0" style="1779" hidden="1" customWidth="1"/>
    <col min="1286" max="1286" width="61.42578125" style="1779" customWidth="1"/>
    <col min="1287" max="1287" width="62.140625" style="1779" customWidth="1"/>
    <col min="1288" max="1291" width="0" style="1779" hidden="1" customWidth="1"/>
    <col min="1292" max="1536" width="8.5703125" style="1779"/>
    <col min="1537" max="1537" width="5.5703125" style="1779" customWidth="1"/>
    <col min="1538" max="1538" width="58" style="1779" customWidth="1"/>
    <col min="1539" max="1539" width="24.140625" style="1779" customWidth="1"/>
    <col min="1540" max="1541" width="0" style="1779" hidden="1" customWidth="1"/>
    <col min="1542" max="1542" width="61.42578125" style="1779" customWidth="1"/>
    <col min="1543" max="1543" width="62.140625" style="1779" customWidth="1"/>
    <col min="1544" max="1547" width="0" style="1779" hidden="1" customWidth="1"/>
    <col min="1548" max="1792" width="8.5703125" style="1779"/>
    <col min="1793" max="1793" width="5.5703125" style="1779" customWidth="1"/>
    <col min="1794" max="1794" width="58" style="1779" customWidth="1"/>
    <col min="1795" max="1795" width="24.140625" style="1779" customWidth="1"/>
    <col min="1796" max="1797" width="0" style="1779" hidden="1" customWidth="1"/>
    <col min="1798" max="1798" width="61.42578125" style="1779" customWidth="1"/>
    <col min="1799" max="1799" width="62.140625" style="1779" customWidth="1"/>
    <col min="1800" max="1803" width="0" style="1779" hidden="1" customWidth="1"/>
    <col min="1804" max="2048" width="8.5703125" style="1779"/>
    <col min="2049" max="2049" width="5.5703125" style="1779" customWidth="1"/>
    <col min="2050" max="2050" width="58" style="1779" customWidth="1"/>
    <col min="2051" max="2051" width="24.140625" style="1779" customWidth="1"/>
    <col min="2052" max="2053" width="0" style="1779" hidden="1" customWidth="1"/>
    <col min="2054" max="2054" width="61.42578125" style="1779" customWidth="1"/>
    <col min="2055" max="2055" width="62.140625" style="1779" customWidth="1"/>
    <col min="2056" max="2059" width="0" style="1779" hidden="1" customWidth="1"/>
    <col min="2060" max="2304" width="8.5703125" style="1779"/>
    <col min="2305" max="2305" width="5.5703125" style="1779" customWidth="1"/>
    <col min="2306" max="2306" width="58" style="1779" customWidth="1"/>
    <col min="2307" max="2307" width="24.140625" style="1779" customWidth="1"/>
    <col min="2308" max="2309" width="0" style="1779" hidden="1" customWidth="1"/>
    <col min="2310" max="2310" width="61.42578125" style="1779" customWidth="1"/>
    <col min="2311" max="2311" width="62.140625" style="1779" customWidth="1"/>
    <col min="2312" max="2315" width="0" style="1779" hidden="1" customWidth="1"/>
    <col min="2316" max="2560" width="8.5703125" style="1779"/>
    <col min="2561" max="2561" width="5.5703125" style="1779" customWidth="1"/>
    <col min="2562" max="2562" width="58" style="1779" customWidth="1"/>
    <col min="2563" max="2563" width="24.140625" style="1779" customWidth="1"/>
    <col min="2564" max="2565" width="0" style="1779" hidden="1" customWidth="1"/>
    <col min="2566" max="2566" width="61.42578125" style="1779" customWidth="1"/>
    <col min="2567" max="2567" width="62.140625" style="1779" customWidth="1"/>
    <col min="2568" max="2571" width="0" style="1779" hidden="1" customWidth="1"/>
    <col min="2572" max="2816" width="8.5703125" style="1779"/>
    <col min="2817" max="2817" width="5.5703125" style="1779" customWidth="1"/>
    <col min="2818" max="2818" width="58" style="1779" customWidth="1"/>
    <col min="2819" max="2819" width="24.140625" style="1779" customWidth="1"/>
    <col min="2820" max="2821" width="0" style="1779" hidden="1" customWidth="1"/>
    <col min="2822" max="2822" width="61.42578125" style="1779" customWidth="1"/>
    <col min="2823" max="2823" width="62.140625" style="1779" customWidth="1"/>
    <col min="2824" max="2827" width="0" style="1779" hidden="1" customWidth="1"/>
    <col min="2828" max="3072" width="8.5703125" style="1779"/>
    <col min="3073" max="3073" width="5.5703125" style="1779" customWidth="1"/>
    <col min="3074" max="3074" width="58" style="1779" customWidth="1"/>
    <col min="3075" max="3075" width="24.140625" style="1779" customWidth="1"/>
    <col min="3076" max="3077" width="0" style="1779" hidden="1" customWidth="1"/>
    <col min="3078" max="3078" width="61.42578125" style="1779" customWidth="1"/>
    <col min="3079" max="3079" width="62.140625" style="1779" customWidth="1"/>
    <col min="3080" max="3083" width="0" style="1779" hidden="1" customWidth="1"/>
    <col min="3084" max="3328" width="8.5703125" style="1779"/>
    <col min="3329" max="3329" width="5.5703125" style="1779" customWidth="1"/>
    <col min="3330" max="3330" width="58" style="1779" customWidth="1"/>
    <col min="3331" max="3331" width="24.140625" style="1779" customWidth="1"/>
    <col min="3332" max="3333" width="0" style="1779" hidden="1" customWidth="1"/>
    <col min="3334" max="3334" width="61.42578125" style="1779" customWidth="1"/>
    <col min="3335" max="3335" width="62.140625" style="1779" customWidth="1"/>
    <col min="3336" max="3339" width="0" style="1779" hidden="1" customWidth="1"/>
    <col min="3340" max="3584" width="8.5703125" style="1779"/>
    <col min="3585" max="3585" width="5.5703125" style="1779" customWidth="1"/>
    <col min="3586" max="3586" width="58" style="1779" customWidth="1"/>
    <col min="3587" max="3587" width="24.140625" style="1779" customWidth="1"/>
    <col min="3588" max="3589" width="0" style="1779" hidden="1" customWidth="1"/>
    <col min="3590" max="3590" width="61.42578125" style="1779" customWidth="1"/>
    <col min="3591" max="3591" width="62.140625" style="1779" customWidth="1"/>
    <col min="3592" max="3595" width="0" style="1779" hidden="1" customWidth="1"/>
    <col min="3596" max="3840" width="8.5703125" style="1779"/>
    <col min="3841" max="3841" width="5.5703125" style="1779" customWidth="1"/>
    <col min="3842" max="3842" width="58" style="1779" customWidth="1"/>
    <col min="3843" max="3843" width="24.140625" style="1779" customWidth="1"/>
    <col min="3844" max="3845" width="0" style="1779" hidden="1" customWidth="1"/>
    <col min="3846" max="3846" width="61.42578125" style="1779" customWidth="1"/>
    <col min="3847" max="3847" width="62.140625" style="1779" customWidth="1"/>
    <col min="3848" max="3851" width="0" style="1779" hidden="1" customWidth="1"/>
    <col min="3852" max="4096" width="8.5703125" style="1779"/>
    <col min="4097" max="4097" width="5.5703125" style="1779" customWidth="1"/>
    <col min="4098" max="4098" width="58" style="1779" customWidth="1"/>
    <col min="4099" max="4099" width="24.140625" style="1779" customWidth="1"/>
    <col min="4100" max="4101" width="0" style="1779" hidden="1" customWidth="1"/>
    <col min="4102" max="4102" width="61.42578125" style="1779" customWidth="1"/>
    <col min="4103" max="4103" width="62.140625" style="1779" customWidth="1"/>
    <col min="4104" max="4107" width="0" style="1779" hidden="1" customWidth="1"/>
    <col min="4108" max="4352" width="8.5703125" style="1779"/>
    <col min="4353" max="4353" width="5.5703125" style="1779" customWidth="1"/>
    <col min="4354" max="4354" width="58" style="1779" customWidth="1"/>
    <col min="4355" max="4355" width="24.140625" style="1779" customWidth="1"/>
    <col min="4356" max="4357" width="0" style="1779" hidden="1" customWidth="1"/>
    <col min="4358" max="4358" width="61.42578125" style="1779" customWidth="1"/>
    <col min="4359" max="4359" width="62.140625" style="1779" customWidth="1"/>
    <col min="4360" max="4363" width="0" style="1779" hidden="1" customWidth="1"/>
    <col min="4364" max="4608" width="8.5703125" style="1779"/>
    <col min="4609" max="4609" width="5.5703125" style="1779" customWidth="1"/>
    <col min="4610" max="4610" width="58" style="1779" customWidth="1"/>
    <col min="4611" max="4611" width="24.140625" style="1779" customWidth="1"/>
    <col min="4612" max="4613" width="0" style="1779" hidden="1" customWidth="1"/>
    <col min="4614" max="4614" width="61.42578125" style="1779" customWidth="1"/>
    <col min="4615" max="4615" width="62.140625" style="1779" customWidth="1"/>
    <col min="4616" max="4619" width="0" style="1779" hidden="1" customWidth="1"/>
    <col min="4620" max="4864" width="8.5703125" style="1779"/>
    <col min="4865" max="4865" width="5.5703125" style="1779" customWidth="1"/>
    <col min="4866" max="4866" width="58" style="1779" customWidth="1"/>
    <col min="4867" max="4867" width="24.140625" style="1779" customWidth="1"/>
    <col min="4868" max="4869" width="0" style="1779" hidden="1" customWidth="1"/>
    <col min="4870" max="4870" width="61.42578125" style="1779" customWidth="1"/>
    <col min="4871" max="4871" width="62.140625" style="1779" customWidth="1"/>
    <col min="4872" max="4875" width="0" style="1779" hidden="1" customWidth="1"/>
    <col min="4876" max="5120" width="8.5703125" style="1779"/>
    <col min="5121" max="5121" width="5.5703125" style="1779" customWidth="1"/>
    <col min="5122" max="5122" width="58" style="1779" customWidth="1"/>
    <col min="5123" max="5123" width="24.140625" style="1779" customWidth="1"/>
    <col min="5124" max="5125" width="0" style="1779" hidden="1" customWidth="1"/>
    <col min="5126" max="5126" width="61.42578125" style="1779" customWidth="1"/>
    <col min="5127" max="5127" width="62.140625" style="1779" customWidth="1"/>
    <col min="5128" max="5131" width="0" style="1779" hidden="1" customWidth="1"/>
    <col min="5132" max="5376" width="8.5703125" style="1779"/>
    <col min="5377" max="5377" width="5.5703125" style="1779" customWidth="1"/>
    <col min="5378" max="5378" width="58" style="1779" customWidth="1"/>
    <col min="5379" max="5379" width="24.140625" style="1779" customWidth="1"/>
    <col min="5380" max="5381" width="0" style="1779" hidden="1" customWidth="1"/>
    <col min="5382" max="5382" width="61.42578125" style="1779" customWidth="1"/>
    <col min="5383" max="5383" width="62.140625" style="1779" customWidth="1"/>
    <col min="5384" max="5387" width="0" style="1779" hidden="1" customWidth="1"/>
    <col min="5388" max="5632" width="8.5703125" style="1779"/>
    <col min="5633" max="5633" width="5.5703125" style="1779" customWidth="1"/>
    <col min="5634" max="5634" width="58" style="1779" customWidth="1"/>
    <col min="5635" max="5635" width="24.140625" style="1779" customWidth="1"/>
    <col min="5636" max="5637" width="0" style="1779" hidden="1" customWidth="1"/>
    <col min="5638" max="5638" width="61.42578125" style="1779" customWidth="1"/>
    <col min="5639" max="5639" width="62.140625" style="1779" customWidth="1"/>
    <col min="5640" max="5643" width="0" style="1779" hidden="1" customWidth="1"/>
    <col min="5644" max="5888" width="8.5703125" style="1779"/>
    <col min="5889" max="5889" width="5.5703125" style="1779" customWidth="1"/>
    <col min="5890" max="5890" width="58" style="1779" customWidth="1"/>
    <col min="5891" max="5891" width="24.140625" style="1779" customWidth="1"/>
    <col min="5892" max="5893" width="0" style="1779" hidden="1" customWidth="1"/>
    <col min="5894" max="5894" width="61.42578125" style="1779" customWidth="1"/>
    <col min="5895" max="5895" width="62.140625" style="1779" customWidth="1"/>
    <col min="5896" max="5899" width="0" style="1779" hidden="1" customWidth="1"/>
    <col min="5900" max="6144" width="8.5703125" style="1779"/>
    <col min="6145" max="6145" width="5.5703125" style="1779" customWidth="1"/>
    <col min="6146" max="6146" width="58" style="1779" customWidth="1"/>
    <col min="6147" max="6147" width="24.140625" style="1779" customWidth="1"/>
    <col min="6148" max="6149" width="0" style="1779" hidden="1" customWidth="1"/>
    <col min="6150" max="6150" width="61.42578125" style="1779" customWidth="1"/>
    <col min="6151" max="6151" width="62.140625" style="1779" customWidth="1"/>
    <col min="6152" max="6155" width="0" style="1779" hidden="1" customWidth="1"/>
    <col min="6156" max="6400" width="8.5703125" style="1779"/>
    <col min="6401" max="6401" width="5.5703125" style="1779" customWidth="1"/>
    <col min="6402" max="6402" width="58" style="1779" customWidth="1"/>
    <col min="6403" max="6403" width="24.140625" style="1779" customWidth="1"/>
    <col min="6404" max="6405" width="0" style="1779" hidden="1" customWidth="1"/>
    <col min="6406" max="6406" width="61.42578125" style="1779" customWidth="1"/>
    <col min="6407" max="6407" width="62.140625" style="1779" customWidth="1"/>
    <col min="6408" max="6411" width="0" style="1779" hidden="1" customWidth="1"/>
    <col min="6412" max="6656" width="8.5703125" style="1779"/>
    <col min="6657" max="6657" width="5.5703125" style="1779" customWidth="1"/>
    <col min="6658" max="6658" width="58" style="1779" customWidth="1"/>
    <col min="6659" max="6659" width="24.140625" style="1779" customWidth="1"/>
    <col min="6660" max="6661" width="0" style="1779" hidden="1" customWidth="1"/>
    <col min="6662" max="6662" width="61.42578125" style="1779" customWidth="1"/>
    <col min="6663" max="6663" width="62.140625" style="1779" customWidth="1"/>
    <col min="6664" max="6667" width="0" style="1779" hidden="1" customWidth="1"/>
    <col min="6668" max="6912" width="8.5703125" style="1779"/>
    <col min="6913" max="6913" width="5.5703125" style="1779" customWidth="1"/>
    <col min="6914" max="6914" width="58" style="1779" customWidth="1"/>
    <col min="6915" max="6915" width="24.140625" style="1779" customWidth="1"/>
    <col min="6916" max="6917" width="0" style="1779" hidden="1" customWidth="1"/>
    <col min="6918" max="6918" width="61.42578125" style="1779" customWidth="1"/>
    <col min="6919" max="6919" width="62.140625" style="1779" customWidth="1"/>
    <col min="6920" max="6923" width="0" style="1779" hidden="1" customWidth="1"/>
    <col min="6924" max="7168" width="8.5703125" style="1779"/>
    <col min="7169" max="7169" width="5.5703125" style="1779" customWidth="1"/>
    <col min="7170" max="7170" width="58" style="1779" customWidth="1"/>
    <col min="7171" max="7171" width="24.140625" style="1779" customWidth="1"/>
    <col min="7172" max="7173" width="0" style="1779" hidden="1" customWidth="1"/>
    <col min="7174" max="7174" width="61.42578125" style="1779" customWidth="1"/>
    <col min="7175" max="7175" width="62.140625" style="1779" customWidth="1"/>
    <col min="7176" max="7179" width="0" style="1779" hidden="1" customWidth="1"/>
    <col min="7180" max="7424" width="8.5703125" style="1779"/>
    <col min="7425" max="7425" width="5.5703125" style="1779" customWidth="1"/>
    <col min="7426" max="7426" width="58" style="1779" customWidth="1"/>
    <col min="7427" max="7427" width="24.140625" style="1779" customWidth="1"/>
    <col min="7428" max="7429" width="0" style="1779" hidden="1" customWidth="1"/>
    <col min="7430" max="7430" width="61.42578125" style="1779" customWidth="1"/>
    <col min="7431" max="7431" width="62.140625" style="1779" customWidth="1"/>
    <col min="7432" max="7435" width="0" style="1779" hidden="1" customWidth="1"/>
    <col min="7436" max="7680" width="8.5703125" style="1779"/>
    <col min="7681" max="7681" width="5.5703125" style="1779" customWidth="1"/>
    <col min="7682" max="7682" width="58" style="1779" customWidth="1"/>
    <col min="7683" max="7683" width="24.140625" style="1779" customWidth="1"/>
    <col min="7684" max="7685" width="0" style="1779" hidden="1" customWidth="1"/>
    <col min="7686" max="7686" width="61.42578125" style="1779" customWidth="1"/>
    <col min="7687" max="7687" width="62.140625" style="1779" customWidth="1"/>
    <col min="7688" max="7691" width="0" style="1779" hidden="1" customWidth="1"/>
    <col min="7692" max="7936" width="8.5703125" style="1779"/>
    <col min="7937" max="7937" width="5.5703125" style="1779" customWidth="1"/>
    <col min="7938" max="7938" width="58" style="1779" customWidth="1"/>
    <col min="7939" max="7939" width="24.140625" style="1779" customWidth="1"/>
    <col min="7940" max="7941" width="0" style="1779" hidden="1" customWidth="1"/>
    <col min="7942" max="7942" width="61.42578125" style="1779" customWidth="1"/>
    <col min="7943" max="7943" width="62.140625" style="1779" customWidth="1"/>
    <col min="7944" max="7947" width="0" style="1779" hidden="1" customWidth="1"/>
    <col min="7948" max="8192" width="8.5703125" style="1779"/>
    <col min="8193" max="8193" width="5.5703125" style="1779" customWidth="1"/>
    <col min="8194" max="8194" width="58" style="1779" customWidth="1"/>
    <col min="8195" max="8195" width="24.140625" style="1779" customWidth="1"/>
    <col min="8196" max="8197" width="0" style="1779" hidden="1" customWidth="1"/>
    <col min="8198" max="8198" width="61.42578125" style="1779" customWidth="1"/>
    <col min="8199" max="8199" width="62.140625" style="1779" customWidth="1"/>
    <col min="8200" max="8203" width="0" style="1779" hidden="1" customWidth="1"/>
    <col min="8204" max="8448" width="8.5703125" style="1779"/>
    <col min="8449" max="8449" width="5.5703125" style="1779" customWidth="1"/>
    <col min="8450" max="8450" width="58" style="1779" customWidth="1"/>
    <col min="8451" max="8451" width="24.140625" style="1779" customWidth="1"/>
    <col min="8452" max="8453" width="0" style="1779" hidden="1" customWidth="1"/>
    <col min="8454" max="8454" width="61.42578125" style="1779" customWidth="1"/>
    <col min="8455" max="8455" width="62.140625" style="1779" customWidth="1"/>
    <col min="8456" max="8459" width="0" style="1779" hidden="1" customWidth="1"/>
    <col min="8460" max="8704" width="8.5703125" style="1779"/>
    <col min="8705" max="8705" width="5.5703125" style="1779" customWidth="1"/>
    <col min="8706" max="8706" width="58" style="1779" customWidth="1"/>
    <col min="8707" max="8707" width="24.140625" style="1779" customWidth="1"/>
    <col min="8708" max="8709" width="0" style="1779" hidden="1" customWidth="1"/>
    <col min="8710" max="8710" width="61.42578125" style="1779" customWidth="1"/>
    <col min="8711" max="8711" width="62.140625" style="1779" customWidth="1"/>
    <col min="8712" max="8715" width="0" style="1779" hidden="1" customWidth="1"/>
    <col min="8716" max="8960" width="8.5703125" style="1779"/>
    <col min="8961" max="8961" width="5.5703125" style="1779" customWidth="1"/>
    <col min="8962" max="8962" width="58" style="1779" customWidth="1"/>
    <col min="8963" max="8963" width="24.140625" style="1779" customWidth="1"/>
    <col min="8964" max="8965" width="0" style="1779" hidden="1" customWidth="1"/>
    <col min="8966" max="8966" width="61.42578125" style="1779" customWidth="1"/>
    <col min="8967" max="8967" width="62.140625" style="1779" customWidth="1"/>
    <col min="8968" max="8971" width="0" style="1779" hidden="1" customWidth="1"/>
    <col min="8972" max="9216" width="8.5703125" style="1779"/>
    <col min="9217" max="9217" width="5.5703125" style="1779" customWidth="1"/>
    <col min="9218" max="9218" width="58" style="1779" customWidth="1"/>
    <col min="9219" max="9219" width="24.140625" style="1779" customWidth="1"/>
    <col min="9220" max="9221" width="0" style="1779" hidden="1" customWidth="1"/>
    <col min="9222" max="9222" width="61.42578125" style="1779" customWidth="1"/>
    <col min="9223" max="9223" width="62.140625" style="1779" customWidth="1"/>
    <col min="9224" max="9227" width="0" style="1779" hidden="1" customWidth="1"/>
    <col min="9228" max="9472" width="8.5703125" style="1779"/>
    <col min="9473" max="9473" width="5.5703125" style="1779" customWidth="1"/>
    <col min="9474" max="9474" width="58" style="1779" customWidth="1"/>
    <col min="9475" max="9475" width="24.140625" style="1779" customWidth="1"/>
    <col min="9476" max="9477" width="0" style="1779" hidden="1" customWidth="1"/>
    <col min="9478" max="9478" width="61.42578125" style="1779" customWidth="1"/>
    <col min="9479" max="9479" width="62.140625" style="1779" customWidth="1"/>
    <col min="9480" max="9483" width="0" style="1779" hidden="1" customWidth="1"/>
    <col min="9484" max="9728" width="8.5703125" style="1779"/>
    <col min="9729" max="9729" width="5.5703125" style="1779" customWidth="1"/>
    <col min="9730" max="9730" width="58" style="1779" customWidth="1"/>
    <col min="9731" max="9731" width="24.140625" style="1779" customWidth="1"/>
    <col min="9732" max="9733" width="0" style="1779" hidden="1" customWidth="1"/>
    <col min="9734" max="9734" width="61.42578125" style="1779" customWidth="1"/>
    <col min="9735" max="9735" width="62.140625" style="1779" customWidth="1"/>
    <col min="9736" max="9739" width="0" style="1779" hidden="1" customWidth="1"/>
    <col min="9740" max="9984" width="8.5703125" style="1779"/>
    <col min="9985" max="9985" width="5.5703125" style="1779" customWidth="1"/>
    <col min="9986" max="9986" width="58" style="1779" customWidth="1"/>
    <col min="9987" max="9987" width="24.140625" style="1779" customWidth="1"/>
    <col min="9988" max="9989" width="0" style="1779" hidden="1" customWidth="1"/>
    <col min="9990" max="9990" width="61.42578125" style="1779" customWidth="1"/>
    <col min="9991" max="9991" width="62.140625" style="1779" customWidth="1"/>
    <col min="9992" max="9995" width="0" style="1779" hidden="1" customWidth="1"/>
    <col min="9996" max="10240" width="8.5703125" style="1779"/>
    <col min="10241" max="10241" width="5.5703125" style="1779" customWidth="1"/>
    <col min="10242" max="10242" width="58" style="1779" customWidth="1"/>
    <col min="10243" max="10243" width="24.140625" style="1779" customWidth="1"/>
    <col min="10244" max="10245" width="0" style="1779" hidden="1" customWidth="1"/>
    <col min="10246" max="10246" width="61.42578125" style="1779" customWidth="1"/>
    <col min="10247" max="10247" width="62.140625" style="1779" customWidth="1"/>
    <col min="10248" max="10251" width="0" style="1779" hidden="1" customWidth="1"/>
    <col min="10252" max="10496" width="8.5703125" style="1779"/>
    <col min="10497" max="10497" width="5.5703125" style="1779" customWidth="1"/>
    <col min="10498" max="10498" width="58" style="1779" customWidth="1"/>
    <col min="10499" max="10499" width="24.140625" style="1779" customWidth="1"/>
    <col min="10500" max="10501" width="0" style="1779" hidden="1" customWidth="1"/>
    <col min="10502" max="10502" width="61.42578125" style="1779" customWidth="1"/>
    <col min="10503" max="10503" width="62.140625" style="1779" customWidth="1"/>
    <col min="10504" max="10507" width="0" style="1779" hidden="1" customWidth="1"/>
    <col min="10508" max="10752" width="8.5703125" style="1779"/>
    <col min="10753" max="10753" width="5.5703125" style="1779" customWidth="1"/>
    <col min="10754" max="10754" width="58" style="1779" customWidth="1"/>
    <col min="10755" max="10755" width="24.140625" style="1779" customWidth="1"/>
    <col min="10756" max="10757" width="0" style="1779" hidden="1" customWidth="1"/>
    <col min="10758" max="10758" width="61.42578125" style="1779" customWidth="1"/>
    <col min="10759" max="10759" width="62.140625" style="1779" customWidth="1"/>
    <col min="10760" max="10763" width="0" style="1779" hidden="1" customWidth="1"/>
    <col min="10764" max="11008" width="8.5703125" style="1779"/>
    <col min="11009" max="11009" width="5.5703125" style="1779" customWidth="1"/>
    <col min="11010" max="11010" width="58" style="1779" customWidth="1"/>
    <col min="11011" max="11011" width="24.140625" style="1779" customWidth="1"/>
    <col min="11012" max="11013" width="0" style="1779" hidden="1" customWidth="1"/>
    <col min="11014" max="11014" width="61.42578125" style="1779" customWidth="1"/>
    <col min="11015" max="11015" width="62.140625" style="1779" customWidth="1"/>
    <col min="11016" max="11019" width="0" style="1779" hidden="1" customWidth="1"/>
    <col min="11020" max="11264" width="8.5703125" style="1779"/>
    <col min="11265" max="11265" width="5.5703125" style="1779" customWidth="1"/>
    <col min="11266" max="11266" width="58" style="1779" customWidth="1"/>
    <col min="11267" max="11267" width="24.140625" style="1779" customWidth="1"/>
    <col min="11268" max="11269" width="0" style="1779" hidden="1" customWidth="1"/>
    <col min="11270" max="11270" width="61.42578125" style="1779" customWidth="1"/>
    <col min="11271" max="11271" width="62.140625" style="1779" customWidth="1"/>
    <col min="11272" max="11275" width="0" style="1779" hidden="1" customWidth="1"/>
    <col min="11276" max="11520" width="8.5703125" style="1779"/>
    <col min="11521" max="11521" width="5.5703125" style="1779" customWidth="1"/>
    <col min="11522" max="11522" width="58" style="1779" customWidth="1"/>
    <col min="11523" max="11523" width="24.140625" style="1779" customWidth="1"/>
    <col min="11524" max="11525" width="0" style="1779" hidden="1" customWidth="1"/>
    <col min="11526" max="11526" width="61.42578125" style="1779" customWidth="1"/>
    <col min="11527" max="11527" width="62.140625" style="1779" customWidth="1"/>
    <col min="11528" max="11531" width="0" style="1779" hidden="1" customWidth="1"/>
    <col min="11532" max="11776" width="8.5703125" style="1779"/>
    <col min="11777" max="11777" width="5.5703125" style="1779" customWidth="1"/>
    <col min="11778" max="11778" width="58" style="1779" customWidth="1"/>
    <col min="11779" max="11779" width="24.140625" style="1779" customWidth="1"/>
    <col min="11780" max="11781" width="0" style="1779" hidden="1" customWidth="1"/>
    <col min="11782" max="11782" width="61.42578125" style="1779" customWidth="1"/>
    <col min="11783" max="11783" width="62.140625" style="1779" customWidth="1"/>
    <col min="11784" max="11787" width="0" style="1779" hidden="1" customWidth="1"/>
    <col min="11788" max="12032" width="8.5703125" style="1779"/>
    <col min="12033" max="12033" width="5.5703125" style="1779" customWidth="1"/>
    <col min="12034" max="12034" width="58" style="1779" customWidth="1"/>
    <col min="12035" max="12035" width="24.140625" style="1779" customWidth="1"/>
    <col min="12036" max="12037" width="0" style="1779" hidden="1" customWidth="1"/>
    <col min="12038" max="12038" width="61.42578125" style="1779" customWidth="1"/>
    <col min="12039" max="12039" width="62.140625" style="1779" customWidth="1"/>
    <col min="12040" max="12043" width="0" style="1779" hidden="1" customWidth="1"/>
    <col min="12044" max="12288" width="8.5703125" style="1779"/>
    <col min="12289" max="12289" width="5.5703125" style="1779" customWidth="1"/>
    <col min="12290" max="12290" width="58" style="1779" customWidth="1"/>
    <col min="12291" max="12291" width="24.140625" style="1779" customWidth="1"/>
    <col min="12292" max="12293" width="0" style="1779" hidden="1" customWidth="1"/>
    <col min="12294" max="12294" width="61.42578125" style="1779" customWidth="1"/>
    <col min="12295" max="12295" width="62.140625" style="1779" customWidth="1"/>
    <col min="12296" max="12299" width="0" style="1779" hidden="1" customWidth="1"/>
    <col min="12300" max="12544" width="8.5703125" style="1779"/>
    <col min="12545" max="12545" width="5.5703125" style="1779" customWidth="1"/>
    <col min="12546" max="12546" width="58" style="1779" customWidth="1"/>
    <col min="12547" max="12547" width="24.140625" style="1779" customWidth="1"/>
    <col min="12548" max="12549" width="0" style="1779" hidden="1" customWidth="1"/>
    <col min="12550" max="12550" width="61.42578125" style="1779" customWidth="1"/>
    <col min="12551" max="12551" width="62.140625" style="1779" customWidth="1"/>
    <col min="12552" max="12555" width="0" style="1779" hidden="1" customWidth="1"/>
    <col min="12556" max="12800" width="8.5703125" style="1779"/>
    <col min="12801" max="12801" width="5.5703125" style="1779" customWidth="1"/>
    <col min="12802" max="12802" width="58" style="1779" customWidth="1"/>
    <col min="12803" max="12803" width="24.140625" style="1779" customWidth="1"/>
    <col min="12804" max="12805" width="0" style="1779" hidden="1" customWidth="1"/>
    <col min="12806" max="12806" width="61.42578125" style="1779" customWidth="1"/>
    <col min="12807" max="12807" width="62.140625" style="1779" customWidth="1"/>
    <col min="12808" max="12811" width="0" style="1779" hidden="1" customWidth="1"/>
    <col min="12812" max="13056" width="8.5703125" style="1779"/>
    <col min="13057" max="13057" width="5.5703125" style="1779" customWidth="1"/>
    <col min="13058" max="13058" width="58" style="1779" customWidth="1"/>
    <col min="13059" max="13059" width="24.140625" style="1779" customWidth="1"/>
    <col min="13060" max="13061" width="0" style="1779" hidden="1" customWidth="1"/>
    <col min="13062" max="13062" width="61.42578125" style="1779" customWidth="1"/>
    <col min="13063" max="13063" width="62.140625" style="1779" customWidth="1"/>
    <col min="13064" max="13067" width="0" style="1779" hidden="1" customWidth="1"/>
    <col min="13068" max="13312" width="8.5703125" style="1779"/>
    <col min="13313" max="13313" width="5.5703125" style="1779" customWidth="1"/>
    <col min="13314" max="13314" width="58" style="1779" customWidth="1"/>
    <col min="13315" max="13315" width="24.140625" style="1779" customWidth="1"/>
    <col min="13316" max="13317" width="0" style="1779" hidden="1" customWidth="1"/>
    <col min="13318" max="13318" width="61.42578125" style="1779" customWidth="1"/>
    <col min="13319" max="13319" width="62.140625" style="1779" customWidth="1"/>
    <col min="13320" max="13323" width="0" style="1779" hidden="1" customWidth="1"/>
    <col min="13324" max="13568" width="8.5703125" style="1779"/>
    <col min="13569" max="13569" width="5.5703125" style="1779" customWidth="1"/>
    <col min="13570" max="13570" width="58" style="1779" customWidth="1"/>
    <col min="13571" max="13571" width="24.140625" style="1779" customWidth="1"/>
    <col min="13572" max="13573" width="0" style="1779" hidden="1" customWidth="1"/>
    <col min="13574" max="13574" width="61.42578125" style="1779" customWidth="1"/>
    <col min="13575" max="13575" width="62.140625" style="1779" customWidth="1"/>
    <col min="13576" max="13579" width="0" style="1779" hidden="1" customWidth="1"/>
    <col min="13580" max="13824" width="8.5703125" style="1779"/>
    <col min="13825" max="13825" width="5.5703125" style="1779" customWidth="1"/>
    <col min="13826" max="13826" width="58" style="1779" customWidth="1"/>
    <col min="13827" max="13827" width="24.140625" style="1779" customWidth="1"/>
    <col min="13828" max="13829" width="0" style="1779" hidden="1" customWidth="1"/>
    <col min="13830" max="13830" width="61.42578125" style="1779" customWidth="1"/>
    <col min="13831" max="13831" width="62.140625" style="1779" customWidth="1"/>
    <col min="13832" max="13835" width="0" style="1779" hidden="1" customWidth="1"/>
    <col min="13836" max="14080" width="8.5703125" style="1779"/>
    <col min="14081" max="14081" width="5.5703125" style="1779" customWidth="1"/>
    <col min="14082" max="14082" width="58" style="1779" customWidth="1"/>
    <col min="14083" max="14083" width="24.140625" style="1779" customWidth="1"/>
    <col min="14084" max="14085" width="0" style="1779" hidden="1" customWidth="1"/>
    <col min="14086" max="14086" width="61.42578125" style="1779" customWidth="1"/>
    <col min="14087" max="14087" width="62.140625" style="1779" customWidth="1"/>
    <col min="14088" max="14091" width="0" style="1779" hidden="1" customWidth="1"/>
    <col min="14092" max="14336" width="8.5703125" style="1779"/>
    <col min="14337" max="14337" width="5.5703125" style="1779" customWidth="1"/>
    <col min="14338" max="14338" width="58" style="1779" customWidth="1"/>
    <col min="14339" max="14339" width="24.140625" style="1779" customWidth="1"/>
    <col min="14340" max="14341" width="0" style="1779" hidden="1" customWidth="1"/>
    <col min="14342" max="14342" width="61.42578125" style="1779" customWidth="1"/>
    <col min="14343" max="14343" width="62.140625" style="1779" customWidth="1"/>
    <col min="14344" max="14347" width="0" style="1779" hidden="1" customWidth="1"/>
    <col min="14348" max="14592" width="8.5703125" style="1779"/>
    <col min="14593" max="14593" width="5.5703125" style="1779" customWidth="1"/>
    <col min="14594" max="14594" width="58" style="1779" customWidth="1"/>
    <col min="14595" max="14595" width="24.140625" style="1779" customWidth="1"/>
    <col min="14596" max="14597" width="0" style="1779" hidden="1" customWidth="1"/>
    <col min="14598" max="14598" width="61.42578125" style="1779" customWidth="1"/>
    <col min="14599" max="14599" width="62.140625" style="1779" customWidth="1"/>
    <col min="14600" max="14603" width="0" style="1779" hidden="1" customWidth="1"/>
    <col min="14604" max="14848" width="8.5703125" style="1779"/>
    <col min="14849" max="14849" width="5.5703125" style="1779" customWidth="1"/>
    <col min="14850" max="14850" width="58" style="1779" customWidth="1"/>
    <col min="14851" max="14851" width="24.140625" style="1779" customWidth="1"/>
    <col min="14852" max="14853" width="0" style="1779" hidden="1" customWidth="1"/>
    <col min="14854" max="14854" width="61.42578125" style="1779" customWidth="1"/>
    <col min="14855" max="14855" width="62.140625" style="1779" customWidth="1"/>
    <col min="14856" max="14859" width="0" style="1779" hidden="1" customWidth="1"/>
    <col min="14860" max="15104" width="8.5703125" style="1779"/>
    <col min="15105" max="15105" width="5.5703125" style="1779" customWidth="1"/>
    <col min="15106" max="15106" width="58" style="1779" customWidth="1"/>
    <col min="15107" max="15107" width="24.140625" style="1779" customWidth="1"/>
    <col min="15108" max="15109" width="0" style="1779" hidden="1" customWidth="1"/>
    <col min="15110" max="15110" width="61.42578125" style="1779" customWidth="1"/>
    <col min="15111" max="15111" width="62.140625" style="1779" customWidth="1"/>
    <col min="15112" max="15115" width="0" style="1779" hidden="1" customWidth="1"/>
    <col min="15116" max="15360" width="8.5703125" style="1779"/>
    <col min="15361" max="15361" width="5.5703125" style="1779" customWidth="1"/>
    <col min="15362" max="15362" width="58" style="1779" customWidth="1"/>
    <col min="15363" max="15363" width="24.140625" style="1779" customWidth="1"/>
    <col min="15364" max="15365" width="0" style="1779" hidden="1" customWidth="1"/>
    <col min="15366" max="15366" width="61.42578125" style="1779" customWidth="1"/>
    <col min="15367" max="15367" width="62.140625" style="1779" customWidth="1"/>
    <col min="15368" max="15371" width="0" style="1779" hidden="1" customWidth="1"/>
    <col min="15372" max="15616" width="8.5703125" style="1779"/>
    <col min="15617" max="15617" width="5.5703125" style="1779" customWidth="1"/>
    <col min="15618" max="15618" width="58" style="1779" customWidth="1"/>
    <col min="15619" max="15619" width="24.140625" style="1779" customWidth="1"/>
    <col min="15620" max="15621" width="0" style="1779" hidden="1" customWidth="1"/>
    <col min="15622" max="15622" width="61.42578125" style="1779" customWidth="1"/>
    <col min="15623" max="15623" width="62.140625" style="1779" customWidth="1"/>
    <col min="15624" max="15627" width="0" style="1779" hidden="1" customWidth="1"/>
    <col min="15628" max="15872" width="8.5703125" style="1779"/>
    <col min="15873" max="15873" width="5.5703125" style="1779" customWidth="1"/>
    <col min="15874" max="15874" width="58" style="1779" customWidth="1"/>
    <col min="15875" max="15875" width="24.140625" style="1779" customWidth="1"/>
    <col min="15876" max="15877" width="0" style="1779" hidden="1" customWidth="1"/>
    <col min="15878" max="15878" width="61.42578125" style="1779" customWidth="1"/>
    <col min="15879" max="15879" width="62.140625" style="1779" customWidth="1"/>
    <col min="15880" max="15883" width="0" style="1779" hidden="1" customWidth="1"/>
    <col min="15884" max="16128" width="8.5703125" style="1779"/>
    <col min="16129" max="16129" width="5.5703125" style="1779" customWidth="1"/>
    <col min="16130" max="16130" width="58" style="1779" customWidth="1"/>
    <col min="16131" max="16131" width="24.140625" style="1779" customWidth="1"/>
    <col min="16132" max="16133" width="0" style="1779" hidden="1" customWidth="1"/>
    <col min="16134" max="16134" width="61.42578125" style="1779" customWidth="1"/>
    <col min="16135" max="16135" width="62.140625" style="1779" customWidth="1"/>
    <col min="16136" max="16139" width="0" style="1779" hidden="1" customWidth="1"/>
    <col min="16140" max="16384" width="8.5703125" style="1779"/>
  </cols>
  <sheetData>
    <row r="1" spans="2:12" ht="21">
      <c r="B1" s="1776" t="s">
        <v>1113</v>
      </c>
      <c r="C1" s="1777" t="s">
        <v>1084</v>
      </c>
      <c r="D1" s="1777" t="s">
        <v>1084</v>
      </c>
      <c r="E1" s="1778"/>
    </row>
    <row r="2" spans="2:12" ht="21">
      <c r="C2" s="1859">
        <v>43952</v>
      </c>
      <c r="D2" s="1781" t="s">
        <v>1085</v>
      </c>
      <c r="E2" s="1782"/>
    </row>
    <row r="3" spans="2:12" ht="21">
      <c r="B3" s="1783"/>
      <c r="C3" s="1781" t="s">
        <v>1086</v>
      </c>
      <c r="D3" s="1781" t="s">
        <v>1086</v>
      </c>
      <c r="E3" s="1781"/>
      <c r="F3" s="1784"/>
      <c r="G3" s="1785"/>
      <c r="L3" s="1785"/>
    </row>
    <row r="4" spans="2:12" ht="19.350000000000001" customHeight="1" thickBot="1">
      <c r="B4" s="1786" t="s">
        <v>825</v>
      </c>
      <c r="C4" s="1787" t="s">
        <v>1114</v>
      </c>
      <c r="D4" s="1788" t="s">
        <v>823</v>
      </c>
      <c r="E4" s="1788" t="s">
        <v>1064</v>
      </c>
      <c r="F4" s="1786" t="s">
        <v>1087</v>
      </c>
      <c r="G4" s="1789" t="s">
        <v>1088</v>
      </c>
      <c r="H4" s="1782" t="s">
        <v>829</v>
      </c>
      <c r="J4" s="1779" t="s">
        <v>830</v>
      </c>
      <c r="L4" s="1789" t="s">
        <v>1115</v>
      </c>
    </row>
    <row r="5" spans="2:12" ht="31.35" customHeight="1">
      <c r="B5" s="1790" t="s">
        <v>1089</v>
      </c>
      <c r="C5" s="1791">
        <f>'[15]DC  CNA  DC III'!G7</f>
        <v>16.791999999999998</v>
      </c>
      <c r="D5" s="1791">
        <v>15.48</v>
      </c>
      <c r="E5" s="1860"/>
      <c r="F5" s="2483" t="s">
        <v>1116</v>
      </c>
      <c r="G5" s="2481" t="s">
        <v>833</v>
      </c>
      <c r="H5" s="1792">
        <f>H6/2080</f>
        <v>15.480288461538462</v>
      </c>
      <c r="J5" s="1793">
        <f>C5-H5</f>
        <v>1.3117115384615357</v>
      </c>
      <c r="L5" s="2481" t="s">
        <v>1117</v>
      </c>
    </row>
    <row r="6" spans="2:12" ht="31.35" customHeight="1" thickBot="1">
      <c r="B6" s="1794" t="s">
        <v>1090</v>
      </c>
      <c r="C6" s="1795">
        <f>C5*2080</f>
        <v>34927.359999999993</v>
      </c>
      <c r="D6" s="1795">
        <f>D5*2080</f>
        <v>32198.400000000001</v>
      </c>
      <c r="E6" s="1861">
        <f>(C6-D6)/D6</f>
        <v>8.4754521963824034E-2</v>
      </c>
      <c r="F6" s="2484"/>
      <c r="G6" s="2482"/>
      <c r="H6" s="1796">
        <v>32199</v>
      </c>
      <c r="J6" s="1793"/>
      <c r="L6" s="2482"/>
    </row>
    <row r="7" spans="2:12" ht="21">
      <c r="B7" s="1790" t="s">
        <v>835</v>
      </c>
      <c r="C7" s="1791">
        <f>'[15]DC  CNA  DC III'!G20</f>
        <v>21.736000000000001</v>
      </c>
      <c r="D7" s="1791">
        <v>19.96</v>
      </c>
      <c r="E7" s="1860"/>
      <c r="F7" s="1797" t="s">
        <v>836</v>
      </c>
      <c r="G7" s="2481" t="s">
        <v>837</v>
      </c>
      <c r="H7" s="1792">
        <f>H8/2080</f>
        <v>18.400480769230768</v>
      </c>
      <c r="J7" s="1793">
        <f>C7-H7</f>
        <v>3.3355192307692327</v>
      </c>
      <c r="L7" s="2481" t="s">
        <v>1118</v>
      </c>
    </row>
    <row r="8" spans="2:12" ht="21.75" thickBot="1">
      <c r="B8" s="1798" t="s">
        <v>838</v>
      </c>
      <c r="C8" s="1862">
        <f>C7*2080</f>
        <v>45210.880000000005</v>
      </c>
      <c r="D8" s="1862">
        <f>D7*2080</f>
        <v>41516.800000000003</v>
      </c>
      <c r="E8" s="1863">
        <f>(C8-D8)/D8</f>
        <v>8.8977955911823683E-2</v>
      </c>
      <c r="F8" s="1784" t="s">
        <v>1119</v>
      </c>
      <c r="G8" s="2485"/>
      <c r="H8" s="1796">
        <v>38273</v>
      </c>
      <c r="J8" s="1793"/>
      <c r="L8" s="2485"/>
    </row>
    <row r="9" spans="2:12" ht="21">
      <c r="B9" s="1790" t="s">
        <v>839</v>
      </c>
      <c r="C9" s="1791">
        <f>'[15]DC  CNA  DC III'!G11</f>
        <v>17.260000000000002</v>
      </c>
      <c r="D9" s="1791">
        <v>15.53</v>
      </c>
      <c r="E9" s="1860"/>
      <c r="F9" s="1797"/>
      <c r="G9" s="2481" t="s">
        <v>840</v>
      </c>
      <c r="H9" s="1792">
        <f>H10/2080</f>
        <v>20.43028846153846</v>
      </c>
      <c r="J9" s="1799">
        <f>C9-H9</f>
        <v>-3.1702884615384583</v>
      </c>
      <c r="L9" s="2481" t="s">
        <v>1120</v>
      </c>
    </row>
    <row r="10" spans="2:12" ht="21.75" thickBot="1">
      <c r="B10" s="1794" t="s">
        <v>841</v>
      </c>
      <c r="C10" s="1795">
        <f>C9*2080</f>
        <v>35900.800000000003</v>
      </c>
      <c r="D10" s="1795">
        <f>D9*2080</f>
        <v>32302.399999999998</v>
      </c>
      <c r="E10" s="1861">
        <f>(C10-D10)/D10</f>
        <v>0.11139729555698664</v>
      </c>
      <c r="F10" s="1800"/>
      <c r="G10" s="2482"/>
      <c r="H10" s="1796">
        <v>42495</v>
      </c>
      <c r="J10" s="1793"/>
      <c r="L10" s="2482"/>
    </row>
    <row r="11" spans="2:12" ht="21">
      <c r="B11" s="1790" t="s">
        <v>842</v>
      </c>
      <c r="C11" s="1791">
        <f>'[15]Case Social Worker.Manager'!G4</f>
        <v>21.814999999999998</v>
      </c>
      <c r="D11" s="1791">
        <v>21.14</v>
      </c>
      <c r="E11" s="1860"/>
      <c r="F11" s="1797" t="s">
        <v>843</v>
      </c>
      <c r="G11" s="2481" t="s">
        <v>844</v>
      </c>
      <c r="H11" s="2486" t="s">
        <v>181</v>
      </c>
      <c r="J11" s="1793"/>
      <c r="L11" s="2481" t="s">
        <v>1121</v>
      </c>
    </row>
    <row r="12" spans="2:12" ht="21.75" thickBot="1">
      <c r="B12" s="1798" t="s">
        <v>845</v>
      </c>
      <c r="C12" s="1862">
        <f>C11*2080</f>
        <v>45375.199999999997</v>
      </c>
      <c r="D12" s="1862">
        <f>D11*2080</f>
        <v>43971.200000000004</v>
      </c>
      <c r="E12" s="1863">
        <f>(C12-D12)/D12</f>
        <v>3.192999053926189E-2</v>
      </c>
      <c r="F12" s="1784" t="s">
        <v>1091</v>
      </c>
      <c r="G12" s="2485"/>
      <c r="H12" s="2487"/>
      <c r="J12" s="1793"/>
      <c r="L12" s="2485"/>
    </row>
    <row r="13" spans="2:12" ht="42">
      <c r="B13" s="1801" t="s">
        <v>846</v>
      </c>
      <c r="C13" s="1791">
        <f>'[15]Case Social Worker.Manager'!G10</f>
        <v>26.16</v>
      </c>
      <c r="D13" s="1791">
        <v>25.32</v>
      </c>
      <c r="E13" s="1860"/>
      <c r="F13" s="1797" t="s">
        <v>1092</v>
      </c>
      <c r="G13" s="2481" t="s">
        <v>847</v>
      </c>
      <c r="H13" s="1792">
        <f>H14/2080</f>
        <v>19.703365384615385</v>
      </c>
      <c r="J13" s="1793">
        <f>C13-H13</f>
        <v>6.4566346153846155</v>
      </c>
      <c r="L13" s="2481" t="s">
        <v>1122</v>
      </c>
    </row>
    <row r="14" spans="2:12" ht="42.75" thickBot="1">
      <c r="B14" s="1802" t="s">
        <v>848</v>
      </c>
      <c r="C14" s="1795">
        <f>C13*2080</f>
        <v>54412.800000000003</v>
      </c>
      <c r="D14" s="1795">
        <f>D13*2080</f>
        <v>52665.599999999999</v>
      </c>
      <c r="E14" s="1861">
        <f>(C14-D14)/D14</f>
        <v>3.3175355450237053E-2</v>
      </c>
      <c r="F14" s="1800" t="s">
        <v>849</v>
      </c>
      <c r="G14" s="2482"/>
      <c r="H14" s="1796">
        <v>40983</v>
      </c>
      <c r="J14" s="1793"/>
      <c r="L14" s="2482"/>
    </row>
    <row r="15" spans="2:12" ht="21">
      <c r="B15" s="1790" t="s">
        <v>858</v>
      </c>
      <c r="C15" s="1791">
        <f>[15]Nursing!G2</f>
        <v>28.8</v>
      </c>
      <c r="D15" s="1791">
        <v>27.62</v>
      </c>
      <c r="E15" s="1860"/>
      <c r="F15" s="1797"/>
      <c r="G15" s="2481" t="s">
        <v>859</v>
      </c>
      <c r="H15" s="1803"/>
      <c r="J15" s="1793"/>
      <c r="L15" s="2481" t="s">
        <v>1123</v>
      </c>
    </row>
    <row r="16" spans="2:12" ht="21.75" thickBot="1">
      <c r="B16" s="1794" t="s">
        <v>860</v>
      </c>
      <c r="C16" s="1795">
        <f>C15*2080</f>
        <v>59904</v>
      </c>
      <c r="D16" s="1795">
        <f>D15*2080</f>
        <v>57449.599999999999</v>
      </c>
      <c r="E16" s="1861">
        <f>(C16-D16)/D16</f>
        <v>4.2722664735698794E-2</v>
      </c>
      <c r="F16" s="1800"/>
      <c r="G16" s="2482"/>
      <c r="H16" s="1803"/>
      <c r="J16" s="1793"/>
      <c r="L16" s="2482"/>
    </row>
    <row r="17" spans="2:12" ht="21">
      <c r="B17" s="1790" t="s">
        <v>850</v>
      </c>
      <c r="C17" s="1791">
        <f>[15]Clinical!G5</f>
        <v>30.59</v>
      </c>
      <c r="D17" s="1791">
        <v>29.29</v>
      </c>
      <c r="E17" s="1860"/>
      <c r="F17" s="1797" t="s">
        <v>851</v>
      </c>
      <c r="G17" s="2481" t="s">
        <v>852</v>
      </c>
      <c r="H17" s="1792">
        <f>H18/2080</f>
        <v>27.190865384615385</v>
      </c>
      <c r="J17" s="1793">
        <f>C17-H17</f>
        <v>3.3991346153846145</v>
      </c>
      <c r="L17" s="2481" t="s">
        <v>1124</v>
      </c>
    </row>
    <row r="18" spans="2:12" ht="21.75" thickBot="1">
      <c r="B18" s="1794" t="s">
        <v>853</v>
      </c>
      <c r="C18" s="1795">
        <f>C17*2080</f>
        <v>63627.199999999997</v>
      </c>
      <c r="D18" s="1795">
        <f>D17*2080</f>
        <v>60923.199999999997</v>
      </c>
      <c r="E18" s="1861">
        <f>(C18-D18)/D18</f>
        <v>4.4383748719699558E-2</v>
      </c>
      <c r="F18" s="1800"/>
      <c r="G18" s="2482"/>
      <c r="H18" s="1796">
        <v>56557</v>
      </c>
      <c r="J18" s="1793"/>
      <c r="L18" s="2482"/>
    </row>
    <row r="19" spans="2:12" ht="21">
      <c r="B19" s="1790" t="s">
        <v>1125</v>
      </c>
      <c r="C19" s="1864">
        <f>[15]Therapies!E2</f>
        <v>31.99</v>
      </c>
      <c r="D19" s="1865"/>
      <c r="E19" s="1866"/>
      <c r="F19" s="1797"/>
      <c r="G19" s="2481" t="s">
        <v>1126</v>
      </c>
      <c r="H19" s="1803"/>
      <c r="J19" s="1793"/>
      <c r="L19" s="2481" t="s">
        <v>1127</v>
      </c>
    </row>
    <row r="20" spans="2:12" ht="21.75" thickBot="1">
      <c r="B20" s="1794" t="s">
        <v>1128</v>
      </c>
      <c r="C20" s="1795">
        <f>C19*2080</f>
        <v>66539.199999999997</v>
      </c>
      <c r="D20" s="1795"/>
      <c r="E20" s="1867"/>
      <c r="F20" s="1800"/>
      <c r="G20" s="2482"/>
      <c r="H20" s="1803"/>
      <c r="J20" s="1793"/>
      <c r="L20" s="2482"/>
    </row>
    <row r="21" spans="2:12" ht="21">
      <c r="B21" s="1798" t="s">
        <v>1093</v>
      </c>
      <c r="C21" s="1868">
        <f>[15]Management!G2</f>
        <v>33.46153846153846</v>
      </c>
      <c r="D21" s="1862" t="s">
        <v>181</v>
      </c>
      <c r="E21" s="1869"/>
      <c r="F21" s="1784" t="s">
        <v>1129</v>
      </c>
      <c r="G21" s="2481" t="s">
        <v>1094</v>
      </c>
      <c r="H21" s="1803"/>
      <c r="J21" s="1793"/>
      <c r="L21" s="2488" t="s">
        <v>1130</v>
      </c>
    </row>
    <row r="22" spans="2:12" ht="21.75" thickBot="1">
      <c r="B22" s="1794" t="s">
        <v>1095</v>
      </c>
      <c r="C22" s="1795">
        <f>[15]Management!H2</f>
        <v>69600</v>
      </c>
      <c r="D22" s="1795" t="s">
        <v>181</v>
      </c>
      <c r="E22" s="1870"/>
      <c r="F22" s="1800" t="s">
        <v>1131</v>
      </c>
      <c r="G22" s="2482"/>
      <c r="H22" s="1803"/>
      <c r="J22" s="1793"/>
      <c r="L22" s="2489"/>
    </row>
    <row r="23" spans="2:12" ht="21">
      <c r="B23" s="1798" t="s">
        <v>1132</v>
      </c>
      <c r="C23" s="1868">
        <f>[15]Therapies!E8</f>
        <v>34.022499999999994</v>
      </c>
      <c r="D23" s="1862"/>
      <c r="E23" s="1871"/>
      <c r="F23" s="1784" t="s">
        <v>1133</v>
      </c>
      <c r="G23" s="2481" t="s">
        <v>847</v>
      </c>
      <c r="H23" s="1803"/>
      <c r="J23" s="1793"/>
      <c r="L23" s="2481" t="s">
        <v>1134</v>
      </c>
    </row>
    <row r="24" spans="2:12" ht="21.75" thickBot="1">
      <c r="B24" s="1794" t="s">
        <v>1135</v>
      </c>
      <c r="C24" s="1795">
        <f>C23*2080</f>
        <v>70766.799999999988</v>
      </c>
      <c r="D24" s="1795"/>
      <c r="E24" s="1867"/>
      <c r="F24" s="1800"/>
      <c r="G24" s="2482"/>
      <c r="H24" s="1803"/>
      <c r="J24" s="1793"/>
      <c r="L24" s="2482"/>
    </row>
    <row r="25" spans="2:12" ht="21">
      <c r="B25" s="1798" t="s">
        <v>1136</v>
      </c>
      <c r="C25" s="1868">
        <f>[15]Therapies!E14</f>
        <v>36.380000000000003</v>
      </c>
      <c r="D25" s="1862"/>
      <c r="E25" s="1871"/>
      <c r="F25" s="1784" t="s">
        <v>1137</v>
      </c>
      <c r="G25" s="2481" t="s">
        <v>847</v>
      </c>
      <c r="H25" s="1803"/>
      <c r="J25" s="1793"/>
      <c r="L25" s="2481" t="s">
        <v>1138</v>
      </c>
    </row>
    <row r="26" spans="2:12" ht="21.75" thickBot="1">
      <c r="B26" s="1794" t="s">
        <v>1139</v>
      </c>
      <c r="C26" s="1862">
        <f>C25*2080</f>
        <v>75670.400000000009</v>
      </c>
      <c r="D26" s="1862"/>
      <c r="E26" s="1871"/>
      <c r="F26" s="1784"/>
      <c r="G26" s="2482"/>
      <c r="H26" s="1803"/>
      <c r="J26" s="1793"/>
      <c r="L26" s="2482"/>
    </row>
    <row r="27" spans="2:12" ht="21">
      <c r="B27" s="1790" t="s">
        <v>1140</v>
      </c>
      <c r="C27" s="1791">
        <f>[15]Clinical!G9</f>
        <v>40.57</v>
      </c>
      <c r="D27" s="1791">
        <v>40.06</v>
      </c>
      <c r="E27" s="1860"/>
      <c r="F27" s="2490" t="s">
        <v>1141</v>
      </c>
      <c r="G27" s="2481" t="s">
        <v>856</v>
      </c>
      <c r="H27" s="1792">
        <f>H28/2080</f>
        <v>33.217788461538461</v>
      </c>
      <c r="J27" s="1793">
        <f>C27-H27</f>
        <v>7.352211538461539</v>
      </c>
      <c r="L27" s="2481" t="s">
        <v>1142</v>
      </c>
    </row>
    <row r="28" spans="2:12" ht="34.5" customHeight="1" thickBot="1">
      <c r="B28" s="1794" t="s">
        <v>1143</v>
      </c>
      <c r="C28" s="1795">
        <f>C27*2080</f>
        <v>84385.600000000006</v>
      </c>
      <c r="D28" s="1795">
        <f>D27*2080</f>
        <v>83324.800000000003</v>
      </c>
      <c r="E28" s="1861">
        <f>(C28-D28)/D28</f>
        <v>1.2730903644533234E-2</v>
      </c>
      <c r="F28" s="2491"/>
      <c r="G28" s="2482"/>
      <c r="H28" s="1796">
        <v>69093</v>
      </c>
      <c r="J28" s="1793"/>
      <c r="L28" s="2482"/>
    </row>
    <row r="29" spans="2:12" ht="21">
      <c r="B29" s="1790" t="s">
        <v>1144</v>
      </c>
      <c r="C29" s="1791">
        <f>[15]Therapies!E18</f>
        <v>37.751999999999995</v>
      </c>
      <c r="D29" s="1791"/>
      <c r="E29" s="1860"/>
      <c r="F29" s="1797"/>
      <c r="G29" s="2481" t="s">
        <v>847</v>
      </c>
      <c r="H29" s="1792">
        <f>H30/2080</f>
        <v>25.143750000000001</v>
      </c>
      <c r="J29" s="1793">
        <f>C29-H29</f>
        <v>12.608249999999995</v>
      </c>
      <c r="L29" s="2481" t="s">
        <v>1145</v>
      </c>
    </row>
    <row r="30" spans="2:12" ht="21.75" thickBot="1">
      <c r="B30" s="1794" t="s">
        <v>1146</v>
      </c>
      <c r="C30" s="1795">
        <f>C29*2080</f>
        <v>78524.159999999989</v>
      </c>
      <c r="D30" s="1795"/>
      <c r="E30" s="1861"/>
      <c r="F30" s="1800"/>
      <c r="G30" s="2482"/>
      <c r="H30" s="1796">
        <v>52299</v>
      </c>
      <c r="J30" s="1793"/>
      <c r="L30" s="2482"/>
    </row>
    <row r="31" spans="2:12" ht="21">
      <c r="B31" s="1790" t="s">
        <v>861</v>
      </c>
      <c r="C31" s="1791">
        <f>[15]Nursing!G6</f>
        <v>43.41</v>
      </c>
      <c r="D31" s="1791">
        <v>41.76</v>
      </c>
      <c r="E31" s="1860"/>
      <c r="F31" s="1797"/>
      <c r="G31" s="2481" t="s">
        <v>862</v>
      </c>
      <c r="H31" s="1804">
        <f>H32/2080</f>
        <v>33.460576923076921</v>
      </c>
      <c r="J31" s="1793">
        <f>C31-H31</f>
        <v>9.9494230769230754</v>
      </c>
      <c r="L31" s="2481" t="s">
        <v>1147</v>
      </c>
    </row>
    <row r="32" spans="2:12" ht="38.450000000000003" customHeight="1" thickBot="1">
      <c r="B32" s="1794" t="s">
        <v>863</v>
      </c>
      <c r="C32" s="1795">
        <f>C31*2080</f>
        <v>90292.799999999988</v>
      </c>
      <c r="D32" s="1795">
        <f>D31*2080</f>
        <v>86860.800000000003</v>
      </c>
      <c r="E32" s="1861">
        <f>(C32-D32)/D32</f>
        <v>3.9511494252873397E-2</v>
      </c>
      <c r="F32" s="1800"/>
      <c r="G32" s="2482"/>
      <c r="H32" s="1796">
        <v>69598</v>
      </c>
      <c r="J32" s="1793"/>
      <c r="L32" s="2482"/>
    </row>
    <row r="33" spans="2:12" ht="21">
      <c r="B33" s="1790" t="s">
        <v>864</v>
      </c>
      <c r="C33" s="1791">
        <f>[15]Nursing!G11</f>
        <v>59.6</v>
      </c>
      <c r="D33" s="1791">
        <v>57.41</v>
      </c>
      <c r="E33" s="1860"/>
      <c r="F33" s="1797"/>
      <c r="G33" s="2481" t="s">
        <v>865</v>
      </c>
      <c r="H33" s="1792">
        <f>H34/2080</f>
        <v>48.354326923076925</v>
      </c>
      <c r="J33" s="1793">
        <f>C33-H33</f>
        <v>11.245673076923076</v>
      </c>
      <c r="L33" s="2481" t="s">
        <v>1148</v>
      </c>
    </row>
    <row r="34" spans="2:12" ht="21.75" thickBot="1">
      <c r="B34" s="1794" t="s">
        <v>866</v>
      </c>
      <c r="C34" s="1795">
        <f>C33*2080</f>
        <v>123968</v>
      </c>
      <c r="D34" s="1795">
        <f>D33*2080</f>
        <v>119412.79999999999</v>
      </c>
      <c r="E34" s="1861">
        <f>(C34-D34)/D34</f>
        <v>3.8146664344191006E-2</v>
      </c>
      <c r="F34" s="1800"/>
      <c r="G34" s="2482"/>
      <c r="H34" s="1796">
        <v>100577</v>
      </c>
      <c r="J34" s="1793"/>
      <c r="L34" s="2482"/>
    </row>
    <row r="35" spans="2:12" ht="21">
      <c r="B35" s="1784"/>
      <c r="C35" s="1858"/>
      <c r="D35" s="1784"/>
      <c r="E35" s="1784"/>
      <c r="F35" s="1784"/>
      <c r="G35" s="1785"/>
      <c r="L35" s="1785"/>
    </row>
    <row r="36" spans="2:12" ht="37.5">
      <c r="B36" s="1805" t="s">
        <v>1096</v>
      </c>
      <c r="C36" s="1806">
        <f>C6</f>
        <v>34927.359999999993</v>
      </c>
      <c r="D36" s="1807"/>
      <c r="E36" s="1807"/>
      <c r="F36" s="1807"/>
      <c r="G36" s="1808"/>
      <c r="L36" s="1808"/>
    </row>
    <row r="37" spans="2:12" ht="18.75">
      <c r="B37" s="1807"/>
      <c r="C37" s="1807"/>
      <c r="D37" s="1807"/>
      <c r="E37" s="1807"/>
      <c r="F37" s="1807"/>
      <c r="G37" s="1808"/>
      <c r="L37" s="1808"/>
    </row>
    <row r="38" spans="2:12" ht="37.5">
      <c r="B38" s="1805" t="s">
        <v>1149</v>
      </c>
      <c r="C38" s="1806">
        <f>14.25*2080</f>
        <v>29640</v>
      </c>
      <c r="D38" s="1807"/>
      <c r="E38" s="1807"/>
      <c r="F38" s="1807" t="s">
        <v>1097</v>
      </c>
      <c r="G38" s="1808"/>
      <c r="L38" s="1808"/>
    </row>
    <row r="39" spans="2:12" ht="18.75">
      <c r="B39" s="1807"/>
      <c r="C39" s="1807"/>
      <c r="D39" s="1807"/>
      <c r="E39" s="1807"/>
      <c r="F39" s="1807"/>
      <c r="G39" s="1808"/>
      <c r="L39" s="1808"/>
    </row>
    <row r="40" spans="2:12" ht="18.75">
      <c r="B40" s="1809" t="s">
        <v>869</v>
      </c>
      <c r="C40" s="1872">
        <f>21.85%+0.37%+2%</f>
        <v>0.24220000000000003</v>
      </c>
      <c r="D40" s="1807"/>
      <c r="E40" s="1807"/>
      <c r="F40" s="1807" t="s">
        <v>1150</v>
      </c>
      <c r="G40" s="1808"/>
      <c r="L40" s="1808"/>
    </row>
    <row r="41" spans="2:12" ht="34.35" customHeight="1">
      <c r="B41" s="1809"/>
      <c r="C41" s="1807"/>
      <c r="D41" s="1807"/>
      <c r="E41" s="1807"/>
      <c r="F41" s="2492" t="s">
        <v>1151</v>
      </c>
      <c r="G41" s="2492"/>
      <c r="L41" s="1779"/>
    </row>
    <row r="42" spans="2:12" ht="18.75">
      <c r="B42" s="1809" t="s">
        <v>891</v>
      </c>
      <c r="C42" s="1872">
        <v>3.7000000000000002E-3</v>
      </c>
      <c r="D42" s="1807"/>
      <c r="E42" s="1807"/>
      <c r="F42" s="1807"/>
      <c r="G42" s="1808"/>
      <c r="L42" s="1808"/>
    </row>
    <row r="43" spans="2:12" ht="18.75">
      <c r="B43" s="1807"/>
      <c r="C43" s="1807"/>
      <c r="D43" s="1807"/>
      <c r="E43" s="1807"/>
      <c r="F43" s="1807"/>
      <c r="G43" s="1808"/>
      <c r="L43" s="1808"/>
    </row>
    <row r="44" spans="2:12" ht="18.75">
      <c r="B44" s="1809" t="s">
        <v>1098</v>
      </c>
      <c r="C44" s="1873">
        <v>0.12</v>
      </c>
      <c r="D44" s="1807"/>
      <c r="E44" s="1807"/>
      <c r="F44" s="1807" t="s">
        <v>1099</v>
      </c>
      <c r="G44" s="1808"/>
      <c r="L44" s="1808"/>
    </row>
    <row r="46" spans="2:12">
      <c r="B46" s="1874" t="s">
        <v>8</v>
      </c>
      <c r="C46" s="1875">
        <v>211870</v>
      </c>
      <c r="D46" s="1876"/>
      <c r="E46" s="1876"/>
      <c r="F46" s="1976" t="s">
        <v>1259</v>
      </c>
    </row>
    <row r="47" spans="2:12">
      <c r="B47" s="1874" t="s">
        <v>1152</v>
      </c>
      <c r="C47" s="1875">
        <v>188350</v>
      </c>
      <c r="D47" s="1876"/>
      <c r="E47" s="1876"/>
      <c r="F47" s="1876" t="s">
        <v>1153</v>
      </c>
      <c r="G47" s="1780" t="s">
        <v>1154</v>
      </c>
    </row>
    <row r="48" spans="2:12">
      <c r="B48" s="1874" t="s">
        <v>1155</v>
      </c>
      <c r="C48" s="1875">
        <v>195380</v>
      </c>
      <c r="D48" s="1876"/>
      <c r="E48" s="1876"/>
      <c r="F48" s="1876" t="s">
        <v>1156</v>
      </c>
    </row>
    <row r="51" spans="3:3">
      <c r="C51" s="1793"/>
    </row>
    <row r="52" spans="3:3">
      <c r="C52" s="1793"/>
    </row>
    <row r="104" spans="3:3">
      <c r="C104" s="2172"/>
    </row>
    <row r="105" spans="3:3">
      <c r="C105" s="2172"/>
    </row>
  </sheetData>
  <mergeCells count="34">
    <mergeCell ref="F41:G41"/>
    <mergeCell ref="G29:G30"/>
    <mergeCell ref="L29:L30"/>
    <mergeCell ref="G31:G32"/>
    <mergeCell ref="L31:L32"/>
    <mergeCell ref="G33:G34"/>
    <mergeCell ref="L33:L34"/>
    <mergeCell ref="G23:G24"/>
    <mergeCell ref="L23:L24"/>
    <mergeCell ref="G25:G26"/>
    <mergeCell ref="L25:L26"/>
    <mergeCell ref="F27:F28"/>
    <mergeCell ref="G27:G28"/>
    <mergeCell ref="L27:L28"/>
    <mergeCell ref="G17:G18"/>
    <mergeCell ref="L17:L18"/>
    <mergeCell ref="G19:G20"/>
    <mergeCell ref="L19:L20"/>
    <mergeCell ref="G21:G22"/>
    <mergeCell ref="L21:L22"/>
    <mergeCell ref="G15:G16"/>
    <mergeCell ref="L15:L16"/>
    <mergeCell ref="F5:F6"/>
    <mergeCell ref="G5:G6"/>
    <mergeCell ref="L5:L6"/>
    <mergeCell ref="G7:G8"/>
    <mergeCell ref="L7:L8"/>
    <mergeCell ref="G9:G10"/>
    <mergeCell ref="L9:L10"/>
    <mergeCell ref="G11:G12"/>
    <mergeCell ref="H11:H12"/>
    <mergeCell ref="L11:L12"/>
    <mergeCell ref="G13:G14"/>
    <mergeCell ref="L13:L14"/>
  </mergeCells>
  <pageMargins left="0.7" right="0.7" top="0.75" bottom="0.75" header="0.3" footer="0.3"/>
  <pageSetup scale="5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L25"/>
  <sheetViews>
    <sheetView topLeftCell="BM31" workbookViewId="0">
      <selection activeCell="BU29" sqref="BU29"/>
    </sheetView>
  </sheetViews>
  <sheetFormatPr defaultColWidth="9.140625" defaultRowHeight="12.75"/>
  <cols>
    <col min="1" max="1" width="38.42578125" style="1841" customWidth="1"/>
    <col min="2" max="2" width="12.85546875" style="1846" customWidth="1"/>
    <col min="3" max="64" width="7.5703125" style="1841" hidden="1" customWidth="1"/>
    <col min="65" max="82" width="7.5703125" style="1841" customWidth="1"/>
    <col min="83" max="16384" width="9.140625" style="1841"/>
  </cols>
  <sheetData>
    <row r="1" spans="1:90" ht="18">
      <c r="A1" s="1839" t="s">
        <v>50</v>
      </c>
      <c r="B1" s="1840"/>
    </row>
    <row r="2" spans="1:90" ht="15.75">
      <c r="A2" s="1842" t="s">
        <v>1257</v>
      </c>
      <c r="B2" s="1843"/>
    </row>
    <row r="3" spans="1:90" ht="15.75" thickBot="1">
      <c r="A3" s="1844" t="s">
        <v>314</v>
      </c>
      <c r="B3" s="1845"/>
    </row>
    <row r="6" spans="1:90">
      <c r="BM6" s="454" t="s">
        <v>458</v>
      </c>
      <c r="BN6" s="454" t="s">
        <v>458</v>
      </c>
      <c r="BO6" s="454" t="s">
        <v>458</v>
      </c>
      <c r="BP6" s="454" t="s">
        <v>458</v>
      </c>
      <c r="BQ6" s="455" t="s">
        <v>459</v>
      </c>
      <c r="BR6" s="455" t="s">
        <v>459</v>
      </c>
      <c r="BS6" s="455" t="s">
        <v>459</v>
      </c>
      <c r="BT6" s="455" t="s">
        <v>459</v>
      </c>
      <c r="BU6" s="451" t="s">
        <v>796</v>
      </c>
      <c r="BV6" s="451" t="s">
        <v>796</v>
      </c>
      <c r="BW6" s="451" t="s">
        <v>796</v>
      </c>
      <c r="BX6" s="451" t="s">
        <v>796</v>
      </c>
      <c r="BY6" s="918" t="s">
        <v>797</v>
      </c>
      <c r="BZ6" s="918" t="s">
        <v>797</v>
      </c>
      <c r="CA6" s="918" t="s">
        <v>797</v>
      </c>
      <c r="CB6" s="918" t="s">
        <v>797</v>
      </c>
      <c r="CC6" s="1847" t="s">
        <v>1076</v>
      </c>
      <c r="CD6" s="1847" t="s">
        <v>1076</v>
      </c>
      <c r="CE6" s="1847" t="s">
        <v>1076</v>
      </c>
      <c r="CF6" s="1847" t="s">
        <v>1076</v>
      </c>
      <c r="CG6" s="1848" t="s">
        <v>1109</v>
      </c>
      <c r="CH6" s="1848" t="s">
        <v>1109</v>
      </c>
      <c r="CI6" s="1848" t="s">
        <v>1109</v>
      </c>
      <c r="CJ6" s="1848" t="s">
        <v>1109</v>
      </c>
    </row>
    <row r="7" spans="1:90" s="1846" customFormat="1">
      <c r="B7" s="1846" t="s">
        <v>51</v>
      </c>
      <c r="C7" s="1849" t="s">
        <v>52</v>
      </c>
      <c r="D7" s="1849" t="s">
        <v>53</v>
      </c>
      <c r="E7" s="1849" t="s">
        <v>54</v>
      </c>
      <c r="F7" s="1849" t="s">
        <v>55</v>
      </c>
      <c r="G7" s="1849" t="s">
        <v>56</v>
      </c>
      <c r="H7" s="1849" t="s">
        <v>57</v>
      </c>
      <c r="I7" s="1849" t="s">
        <v>58</v>
      </c>
      <c r="J7" s="1849" t="s">
        <v>59</v>
      </c>
      <c r="K7" s="1849" t="s">
        <v>60</v>
      </c>
      <c r="L7" s="1849" t="s">
        <v>61</v>
      </c>
      <c r="M7" s="1849" t="s">
        <v>62</v>
      </c>
      <c r="N7" s="1849" t="s">
        <v>63</v>
      </c>
      <c r="O7" s="1849" t="s">
        <v>64</v>
      </c>
      <c r="P7" s="1849" t="s">
        <v>65</v>
      </c>
      <c r="Q7" s="1849" t="s">
        <v>66</v>
      </c>
      <c r="R7" s="1849" t="s">
        <v>67</v>
      </c>
      <c r="S7" s="1849" t="s">
        <v>68</v>
      </c>
      <c r="T7" s="1849" t="s">
        <v>69</v>
      </c>
      <c r="U7" s="1849" t="s">
        <v>70</v>
      </c>
      <c r="V7" s="1849" t="s">
        <v>71</v>
      </c>
      <c r="W7" s="1849" t="s">
        <v>72</v>
      </c>
      <c r="X7" s="1849" t="s">
        <v>73</v>
      </c>
      <c r="Y7" s="1849" t="s">
        <v>74</v>
      </c>
      <c r="Z7" s="1849" t="s">
        <v>75</v>
      </c>
      <c r="AA7" s="1849" t="s">
        <v>76</v>
      </c>
      <c r="AB7" s="1849" t="s">
        <v>77</v>
      </c>
      <c r="AC7" s="1849" t="s">
        <v>78</v>
      </c>
      <c r="AD7" s="1849" t="s">
        <v>79</v>
      </c>
      <c r="AE7" s="1849" t="s">
        <v>80</v>
      </c>
      <c r="AF7" s="1849" t="s">
        <v>81</v>
      </c>
      <c r="AG7" s="1849" t="s">
        <v>82</v>
      </c>
      <c r="AH7" s="1849" t="s">
        <v>83</v>
      </c>
      <c r="AI7" s="1849" t="s">
        <v>84</v>
      </c>
      <c r="AJ7" s="1849" t="s">
        <v>85</v>
      </c>
      <c r="AK7" s="1849" t="s">
        <v>86</v>
      </c>
      <c r="AL7" s="1849" t="s">
        <v>87</v>
      </c>
      <c r="AM7" s="1849" t="s">
        <v>88</v>
      </c>
      <c r="AN7" s="1849" t="s">
        <v>89</v>
      </c>
      <c r="AO7" s="1849" t="s">
        <v>90</v>
      </c>
      <c r="AP7" s="1849" t="s">
        <v>91</v>
      </c>
      <c r="AQ7" s="1849" t="s">
        <v>92</v>
      </c>
      <c r="AR7" s="1849" t="s">
        <v>93</v>
      </c>
      <c r="AS7" s="1849" t="s">
        <v>94</v>
      </c>
      <c r="AT7" s="1849" t="s">
        <v>95</v>
      </c>
      <c r="AU7" s="1846" t="s">
        <v>96</v>
      </c>
      <c r="AV7" s="1846" t="s">
        <v>97</v>
      </c>
      <c r="AW7" s="1846" t="s">
        <v>98</v>
      </c>
      <c r="AX7" s="1846" t="s">
        <v>99</v>
      </c>
      <c r="AY7" s="1846" t="s">
        <v>100</v>
      </c>
      <c r="AZ7" s="1846" t="s">
        <v>101</v>
      </c>
      <c r="BA7" s="1846" t="s">
        <v>102</v>
      </c>
      <c r="BB7" s="1846" t="s">
        <v>103</v>
      </c>
      <c r="BC7" s="1846" t="s">
        <v>104</v>
      </c>
      <c r="BD7" s="1846" t="s">
        <v>105</v>
      </c>
      <c r="BE7" s="1846" t="s">
        <v>106</v>
      </c>
      <c r="BF7" s="1846" t="s">
        <v>107</v>
      </c>
      <c r="BG7" s="1846" t="s">
        <v>108</v>
      </c>
      <c r="BH7" s="1846" t="s">
        <v>109</v>
      </c>
      <c r="BI7" s="1846" t="s">
        <v>110</v>
      </c>
      <c r="BJ7" s="1846" t="s">
        <v>111</v>
      </c>
      <c r="BK7" s="1846" t="s">
        <v>136</v>
      </c>
      <c r="BL7" s="1846" t="s">
        <v>137</v>
      </c>
      <c r="BM7" s="1846" t="s">
        <v>138</v>
      </c>
      <c r="BN7" s="1846" t="s">
        <v>139</v>
      </c>
      <c r="BO7" s="1846" t="s">
        <v>319</v>
      </c>
      <c r="BP7" s="1846" t="s">
        <v>320</v>
      </c>
      <c r="BQ7" s="1846" t="s">
        <v>321</v>
      </c>
      <c r="BR7" s="1846" t="s">
        <v>322</v>
      </c>
      <c r="BS7" s="1846" t="s">
        <v>323</v>
      </c>
      <c r="BT7" s="1846" t="s">
        <v>324</v>
      </c>
      <c r="BU7" s="1846" t="s">
        <v>325</v>
      </c>
      <c r="BV7" s="1846" t="s">
        <v>326</v>
      </c>
      <c r="BW7" s="1846" t="s">
        <v>798</v>
      </c>
      <c r="BX7" s="1846" t="s">
        <v>799</v>
      </c>
      <c r="BY7" s="1846" t="s">
        <v>800</v>
      </c>
      <c r="BZ7" s="1846" t="s">
        <v>801</v>
      </c>
      <c r="CA7" s="1846" t="s">
        <v>802</v>
      </c>
      <c r="CB7" s="1846" t="s">
        <v>803</v>
      </c>
      <c r="CC7" s="1846" t="s">
        <v>804</v>
      </c>
      <c r="CD7" s="1846" t="s">
        <v>805</v>
      </c>
      <c r="CE7" s="1846" t="s">
        <v>806</v>
      </c>
      <c r="CF7" s="1846" t="s">
        <v>807</v>
      </c>
      <c r="CG7" s="1846" t="s">
        <v>808</v>
      </c>
      <c r="CH7" s="1846" t="s">
        <v>809</v>
      </c>
      <c r="CI7" s="1846" t="s">
        <v>1077</v>
      </c>
      <c r="CJ7" s="1846" t="s">
        <v>1078</v>
      </c>
      <c r="CK7" s="1846" t="s">
        <v>1079</v>
      </c>
      <c r="CL7" s="1846" t="s">
        <v>1080</v>
      </c>
    </row>
    <row r="8" spans="1:90">
      <c r="A8" s="1846" t="s">
        <v>112</v>
      </c>
      <c r="B8" s="1846" t="s">
        <v>113</v>
      </c>
      <c r="C8" s="1850">
        <v>2.0346113976543099</v>
      </c>
      <c r="D8" s="1850">
        <v>2.0596500771746999</v>
      </c>
      <c r="E8" s="1850">
        <v>2.0647060372238499</v>
      </c>
      <c r="F8" s="1850">
        <v>2.08676028581668</v>
      </c>
      <c r="G8" s="1850">
        <v>2.10441481814272</v>
      </c>
      <c r="H8" s="1850">
        <v>2.1147152065649601</v>
      </c>
      <c r="I8" s="1850">
        <v>2.1510993425276599</v>
      </c>
      <c r="J8" s="1850">
        <v>2.1700303556901499</v>
      </c>
      <c r="K8" s="1850">
        <v>2.1872092233455001</v>
      </c>
      <c r="L8" s="1850">
        <v>2.2125396282877201</v>
      </c>
      <c r="M8" s="1850">
        <v>2.2351374505046602</v>
      </c>
      <c r="N8" s="1850">
        <v>2.2204817980336999</v>
      </c>
      <c r="O8" s="1850">
        <v>2.2320116226990798</v>
      </c>
      <c r="P8" s="1850">
        <v>2.2583096838239101</v>
      </c>
      <c r="Q8" s="1850">
        <v>2.27564540872048</v>
      </c>
      <c r="R8" s="1850">
        <v>2.30212674606845</v>
      </c>
      <c r="S8" s="1850">
        <v>2.31936770794078</v>
      </c>
      <c r="T8" s="1850">
        <v>2.3630887075886</v>
      </c>
      <c r="U8" s="1850">
        <v>2.40401775208483</v>
      </c>
      <c r="V8" s="1850">
        <v>2.3508872068266702</v>
      </c>
      <c r="W8" s="1850">
        <v>2.3397884211161499</v>
      </c>
      <c r="X8" s="1850">
        <v>2.3463315593326199</v>
      </c>
      <c r="Y8" s="1850">
        <v>2.3660251530796899</v>
      </c>
      <c r="Z8" s="1850">
        <v>2.38072574928248</v>
      </c>
      <c r="AA8" s="1850">
        <v>2.3786733941980902</v>
      </c>
      <c r="AB8" s="1850">
        <v>2.3833613783132601</v>
      </c>
      <c r="AC8" s="1850">
        <v>2.3978430594132099</v>
      </c>
      <c r="AD8" s="1850">
        <v>2.42168970868748</v>
      </c>
      <c r="AE8" s="1850">
        <v>2.4317072324959299</v>
      </c>
      <c r="AF8" s="1850">
        <v>2.47695645025907</v>
      </c>
      <c r="AG8" s="1850">
        <v>2.4885116546577</v>
      </c>
      <c r="AH8" s="1850">
        <v>2.4969754819522398</v>
      </c>
      <c r="AI8" s="1850">
        <v>2.5130795409255899</v>
      </c>
      <c r="AJ8" s="1850">
        <v>2.5194466142060299</v>
      </c>
      <c r="AK8" s="1850">
        <v>2.52963857685537</v>
      </c>
      <c r="AL8" s="1850">
        <v>2.5501989464999602</v>
      </c>
      <c r="AM8" s="1850">
        <v>2.55712003670995</v>
      </c>
      <c r="AN8" s="1850">
        <v>2.5546952042684001</v>
      </c>
      <c r="AO8" s="1850">
        <v>2.57375608575328</v>
      </c>
      <c r="AP8" s="1850">
        <v>2.5883411608511002</v>
      </c>
      <c r="AQ8" s="1850">
        <v>2.5966793575059901</v>
      </c>
      <c r="AR8" s="1850">
        <v>2.6079522450453201</v>
      </c>
      <c r="AS8" s="1850">
        <v>2.6142540104276799</v>
      </c>
      <c r="AT8" s="1850">
        <v>2.6167589769378798</v>
      </c>
      <c r="AU8" s="1850">
        <v>2.6115923571662201</v>
      </c>
      <c r="AV8" s="1850">
        <v>2.62275484000673</v>
      </c>
      <c r="AW8" s="1850">
        <v>2.6191293013400601</v>
      </c>
      <c r="AX8" s="1850">
        <v>2.62627714923654</v>
      </c>
      <c r="AY8" s="1850">
        <v>2.6194265314110301</v>
      </c>
      <c r="AZ8" s="1850">
        <v>2.6415043138832401</v>
      </c>
      <c r="BA8" s="1850">
        <v>2.662062301288</v>
      </c>
      <c r="BB8" s="1850">
        <v>2.67729020882655</v>
      </c>
      <c r="BC8" s="1850">
        <v>2.6907954146946098</v>
      </c>
      <c r="BD8" s="1850">
        <v>2.6947387967675498</v>
      </c>
      <c r="BE8" s="1850">
        <v>2.7066859028113202</v>
      </c>
      <c r="BF8" s="1850">
        <v>2.72054827789868</v>
      </c>
      <c r="BG8" s="1850">
        <v>2.7569640168604699</v>
      </c>
      <c r="BH8" s="1850">
        <v>2.7703563734588399</v>
      </c>
      <c r="BI8" s="1850">
        <v>2.7758420471732599</v>
      </c>
      <c r="BJ8" s="1850">
        <v>2.78863899429814</v>
      </c>
      <c r="BK8" s="1850">
        <v>2.80152864366993</v>
      </c>
      <c r="BL8" s="1850">
        <v>2.8145299240305102</v>
      </c>
      <c r="BM8" s="1850">
        <v>2.8281189721556101</v>
      </c>
      <c r="BN8" s="1850">
        <v>2.8436922082042799</v>
      </c>
      <c r="BO8" s="1850">
        <v>2.8613737788287201</v>
      </c>
      <c r="BP8" s="1850">
        <v>2.8656515498241899</v>
      </c>
      <c r="BQ8" s="1850">
        <v>2.9040288860327399</v>
      </c>
      <c r="BR8" s="1850">
        <v>2.91977882121695</v>
      </c>
      <c r="BS8" s="1850">
        <v>2.93326675921104</v>
      </c>
      <c r="BT8" s="1850">
        <v>2.97685668244746</v>
      </c>
      <c r="BU8" s="1850">
        <v>3.0371208125829399</v>
      </c>
      <c r="BV8" s="1850">
        <v>3.1020153690202301</v>
      </c>
      <c r="BW8" s="1850">
        <v>3.1100610044392401</v>
      </c>
      <c r="BX8" s="1850">
        <v>3.1395252293610501</v>
      </c>
      <c r="BY8" s="1850">
        <v>3.1649822337431801</v>
      </c>
      <c r="BZ8" s="1850">
        <v>3.1857564897189699</v>
      </c>
      <c r="CA8" s="1850">
        <v>3.2089601115627802</v>
      </c>
      <c r="CB8" s="1850">
        <v>3.2251006295920801</v>
      </c>
      <c r="CC8" s="1850">
        <v>3.2438223796834902</v>
      </c>
      <c r="CD8" s="1850">
        <v>3.2612789195942602</v>
      </c>
      <c r="CE8" s="1850">
        <v>3.2772287993110498</v>
      </c>
      <c r="CF8" s="1850">
        <v>3.29441871755468</v>
      </c>
      <c r="CG8" s="1850">
        <v>3.3120850786098299</v>
      </c>
      <c r="CH8" s="1850">
        <v>3.3308896530961198</v>
      </c>
      <c r="CI8" s="1850">
        <v>3.34923634399235</v>
      </c>
      <c r="CJ8" s="1850">
        <v>3.3692526326061798</v>
      </c>
      <c r="CK8" s="1850">
        <v>3.3881610508489999</v>
      </c>
      <c r="CL8" s="1850">
        <v>3.4084892012091399</v>
      </c>
    </row>
    <row r="9" spans="1:90">
      <c r="A9" s="1846" t="s">
        <v>114</v>
      </c>
      <c r="B9" s="1846" t="s">
        <v>115</v>
      </c>
      <c r="C9" s="1850">
        <v>2.0346113976543099</v>
      </c>
      <c r="D9" s="1850">
        <v>2.0596500771746999</v>
      </c>
      <c r="E9" s="1850">
        <v>2.0647060372238499</v>
      </c>
      <c r="F9" s="1850">
        <v>2.08676028581668</v>
      </c>
      <c r="G9" s="1850">
        <v>2.10441481814272</v>
      </c>
      <c r="H9" s="1850">
        <v>2.1147152065649601</v>
      </c>
      <c r="I9" s="1850">
        <v>2.1510993425276599</v>
      </c>
      <c r="J9" s="1850">
        <v>2.1700303556901499</v>
      </c>
      <c r="K9" s="1850">
        <v>2.1872092233455001</v>
      </c>
      <c r="L9" s="1850">
        <v>2.2125396282877201</v>
      </c>
      <c r="M9" s="1850">
        <v>2.2351374505046602</v>
      </c>
      <c r="N9" s="1850">
        <v>2.2204817980336999</v>
      </c>
      <c r="O9" s="1850">
        <v>2.2320116226990798</v>
      </c>
      <c r="P9" s="1850">
        <v>2.2583096838239101</v>
      </c>
      <c r="Q9" s="1850">
        <v>2.27564540872048</v>
      </c>
      <c r="R9" s="1850">
        <v>2.30212674606845</v>
      </c>
      <c r="S9" s="1850">
        <v>2.31936770794078</v>
      </c>
      <c r="T9" s="1850">
        <v>2.3630887075886</v>
      </c>
      <c r="U9" s="1850">
        <v>2.40401775208483</v>
      </c>
      <c r="V9" s="1850">
        <v>2.3508872068266702</v>
      </c>
      <c r="W9" s="1850">
        <v>2.3397884211161499</v>
      </c>
      <c r="X9" s="1850">
        <v>2.3463315593326199</v>
      </c>
      <c r="Y9" s="1850">
        <v>2.3660251530796899</v>
      </c>
      <c r="Z9" s="1850">
        <v>2.38072574928248</v>
      </c>
      <c r="AA9" s="1850">
        <v>2.3786733941980902</v>
      </c>
      <c r="AB9" s="1850">
        <v>2.3833613783132601</v>
      </c>
      <c r="AC9" s="1850">
        <v>2.3978430594132099</v>
      </c>
      <c r="AD9" s="1850">
        <v>2.42168970868748</v>
      </c>
      <c r="AE9" s="1850">
        <v>2.4317072324959299</v>
      </c>
      <c r="AF9" s="1850">
        <v>2.47695645025907</v>
      </c>
      <c r="AG9" s="1850">
        <v>2.4885116546577</v>
      </c>
      <c r="AH9" s="1850">
        <v>2.4969754819522398</v>
      </c>
      <c r="AI9" s="1850">
        <v>2.5130795409255899</v>
      </c>
      <c r="AJ9" s="1850">
        <v>2.5194466142060299</v>
      </c>
      <c r="AK9" s="1850">
        <v>2.52963857685537</v>
      </c>
      <c r="AL9" s="1850">
        <v>2.5501989464999602</v>
      </c>
      <c r="AM9" s="1850">
        <v>2.55712003670995</v>
      </c>
      <c r="AN9" s="1850">
        <v>2.5546952042684001</v>
      </c>
      <c r="AO9" s="1850">
        <v>2.57375608575328</v>
      </c>
      <c r="AP9" s="1850">
        <v>2.5883411608511002</v>
      </c>
      <c r="AQ9" s="1850">
        <v>2.5966793575059901</v>
      </c>
      <c r="AR9" s="1850">
        <v>2.6079522450453201</v>
      </c>
      <c r="AS9" s="1850">
        <v>2.6142540104276799</v>
      </c>
      <c r="AT9" s="1850">
        <v>2.6167589769378798</v>
      </c>
      <c r="AU9" s="1850">
        <v>2.6115923571662201</v>
      </c>
      <c r="AV9" s="1850">
        <v>2.62275484000673</v>
      </c>
      <c r="AW9" s="1850">
        <v>2.6191293013400601</v>
      </c>
      <c r="AX9" s="1850">
        <v>2.62627714923654</v>
      </c>
      <c r="AY9" s="1850">
        <v>2.6194265314110301</v>
      </c>
      <c r="AZ9" s="1850">
        <v>2.6415043138832401</v>
      </c>
      <c r="BA9" s="1850">
        <v>2.662062301288</v>
      </c>
      <c r="BB9" s="1850">
        <v>2.67729020882655</v>
      </c>
      <c r="BC9" s="1850">
        <v>2.6907954146946098</v>
      </c>
      <c r="BD9" s="1850">
        <v>2.6947387967675498</v>
      </c>
      <c r="BE9" s="1850">
        <v>2.7066859028113202</v>
      </c>
      <c r="BF9" s="1850">
        <v>2.72054827789868</v>
      </c>
      <c r="BG9" s="1850">
        <v>2.7569640168604699</v>
      </c>
      <c r="BH9" s="1850">
        <v>2.7703563734588399</v>
      </c>
      <c r="BI9" s="1850">
        <v>2.7758420471732599</v>
      </c>
      <c r="BJ9" s="1850">
        <v>2.78863899429814</v>
      </c>
      <c r="BK9" s="1850">
        <v>2.80152864366993</v>
      </c>
      <c r="BL9" s="1850">
        <v>2.8145299240305102</v>
      </c>
      <c r="BM9" s="1850">
        <v>2.8281189721556101</v>
      </c>
      <c r="BN9" s="1850">
        <v>2.8436922082042799</v>
      </c>
      <c r="BO9" s="1850">
        <v>2.8613737788287201</v>
      </c>
      <c r="BP9" s="1850">
        <v>2.8656515498241899</v>
      </c>
      <c r="BQ9" s="1850">
        <v>2.9040288860327399</v>
      </c>
      <c r="BR9" s="1850">
        <v>2.91977882121695</v>
      </c>
      <c r="BS9" s="1850">
        <v>2.93326675921104</v>
      </c>
      <c r="BT9" s="1850">
        <v>2.97685668244746</v>
      </c>
      <c r="BU9" s="1850">
        <v>3.0371208125829399</v>
      </c>
      <c r="BV9" s="1850">
        <v>3.0959472484614499</v>
      </c>
      <c r="BW9" s="1850">
        <v>3.0976631041438898</v>
      </c>
      <c r="BX9" s="1850">
        <v>3.1216976513906798</v>
      </c>
      <c r="BY9" s="1850">
        <v>3.1419964810498202</v>
      </c>
      <c r="BZ9" s="1850">
        <v>3.1572395520324501</v>
      </c>
      <c r="CA9" s="1850">
        <v>3.1752468332852302</v>
      </c>
      <c r="CB9" s="1850">
        <v>3.1874038099320501</v>
      </c>
      <c r="CC9" s="1850">
        <v>3.2020926608413101</v>
      </c>
      <c r="CD9" s="1850">
        <v>3.2161508717239098</v>
      </c>
      <c r="CE9" s="1850">
        <v>3.22822510404264</v>
      </c>
      <c r="CF9" s="1850">
        <v>3.2415569103144701</v>
      </c>
      <c r="CG9" s="1850">
        <v>3.2555670741349401</v>
      </c>
      <c r="CH9" s="1850">
        <v>3.2707270341806298</v>
      </c>
      <c r="CI9" s="1850">
        <v>3.2856628789659599</v>
      </c>
      <c r="CJ9" s="1850">
        <v>3.3023973816657799</v>
      </c>
      <c r="CK9" s="1850">
        <v>3.3181498816848198</v>
      </c>
      <c r="CL9" s="1850">
        <v>3.3354145185996198</v>
      </c>
    </row>
    <row r="10" spans="1:90">
      <c r="A10" s="1846" t="s">
        <v>116</v>
      </c>
      <c r="B10" s="1846" t="s">
        <v>117</v>
      </c>
      <c r="C10" s="1850">
        <v>2.0346113976543099</v>
      </c>
      <c r="D10" s="1850">
        <v>2.0596500771746999</v>
      </c>
      <c r="E10" s="1850">
        <v>2.0647060372238499</v>
      </c>
      <c r="F10" s="1850">
        <v>2.08676028581668</v>
      </c>
      <c r="G10" s="1850">
        <v>2.10441481814272</v>
      </c>
      <c r="H10" s="1850">
        <v>2.1147152065649601</v>
      </c>
      <c r="I10" s="1850">
        <v>2.1510993425276599</v>
      </c>
      <c r="J10" s="1850">
        <v>2.1700303556901499</v>
      </c>
      <c r="K10" s="1850">
        <v>2.1872092233455001</v>
      </c>
      <c r="L10" s="1850">
        <v>2.2125396282877201</v>
      </c>
      <c r="M10" s="1850">
        <v>2.2351374505046602</v>
      </c>
      <c r="N10" s="1850">
        <v>2.2204817980336999</v>
      </c>
      <c r="O10" s="1850">
        <v>2.2320116226990798</v>
      </c>
      <c r="P10" s="1850">
        <v>2.2583096838239101</v>
      </c>
      <c r="Q10" s="1850">
        <v>2.27564540872048</v>
      </c>
      <c r="R10" s="1850">
        <v>2.30212674606845</v>
      </c>
      <c r="S10" s="1850">
        <v>2.31936770794078</v>
      </c>
      <c r="T10" s="1850">
        <v>2.3630887075886</v>
      </c>
      <c r="U10" s="1850">
        <v>2.40401775208483</v>
      </c>
      <c r="V10" s="1850">
        <v>2.3508872068266702</v>
      </c>
      <c r="W10" s="1850">
        <v>2.3397884211161499</v>
      </c>
      <c r="X10" s="1850">
        <v>2.3463315593326199</v>
      </c>
      <c r="Y10" s="1850">
        <v>2.3660251530796899</v>
      </c>
      <c r="Z10" s="1850">
        <v>2.38072574928248</v>
      </c>
      <c r="AA10" s="1850">
        <v>2.3786733941980902</v>
      </c>
      <c r="AB10" s="1850">
        <v>2.3833613783132601</v>
      </c>
      <c r="AC10" s="1850">
        <v>2.3978430594132099</v>
      </c>
      <c r="AD10" s="1850">
        <v>2.42168970868748</v>
      </c>
      <c r="AE10" s="1850">
        <v>2.4317072324959299</v>
      </c>
      <c r="AF10" s="1850">
        <v>2.47695645025907</v>
      </c>
      <c r="AG10" s="1850">
        <v>2.4885116546577</v>
      </c>
      <c r="AH10" s="1850">
        <v>2.4969754819522398</v>
      </c>
      <c r="AI10" s="1850">
        <v>2.5130795409255899</v>
      </c>
      <c r="AJ10" s="1850">
        <v>2.5194466142060299</v>
      </c>
      <c r="AK10" s="1850">
        <v>2.52963857685537</v>
      </c>
      <c r="AL10" s="1850">
        <v>2.5501989464999602</v>
      </c>
      <c r="AM10" s="1850">
        <v>2.55712003670995</v>
      </c>
      <c r="AN10" s="1850">
        <v>2.5546952042684001</v>
      </c>
      <c r="AO10" s="1850">
        <v>2.57375608575328</v>
      </c>
      <c r="AP10" s="1850">
        <v>2.5883411608511002</v>
      </c>
      <c r="AQ10" s="1850">
        <v>2.5966793575059901</v>
      </c>
      <c r="AR10" s="1850">
        <v>2.6079522450453201</v>
      </c>
      <c r="AS10" s="1850">
        <v>2.6142540104276799</v>
      </c>
      <c r="AT10" s="1850">
        <v>2.6167589769378798</v>
      </c>
      <c r="AU10" s="1850">
        <v>2.6115923571662201</v>
      </c>
      <c r="AV10" s="1850">
        <v>2.62275484000673</v>
      </c>
      <c r="AW10" s="1850">
        <v>2.6191293013400601</v>
      </c>
      <c r="AX10" s="1850">
        <v>2.62627714923654</v>
      </c>
      <c r="AY10" s="1850">
        <v>2.6194265314110301</v>
      </c>
      <c r="AZ10" s="1850">
        <v>2.6415043138832401</v>
      </c>
      <c r="BA10" s="1850">
        <v>2.662062301288</v>
      </c>
      <c r="BB10" s="1850">
        <v>2.67729020882655</v>
      </c>
      <c r="BC10" s="1850">
        <v>2.6907954146946098</v>
      </c>
      <c r="BD10" s="1850">
        <v>2.6947387967675498</v>
      </c>
      <c r="BE10" s="1850">
        <v>2.7066859028113202</v>
      </c>
      <c r="BF10" s="1850">
        <v>2.72054827789868</v>
      </c>
      <c r="BG10" s="1850">
        <v>2.7569640168604699</v>
      </c>
      <c r="BH10" s="1850">
        <v>2.7703563734588399</v>
      </c>
      <c r="BI10" s="1850">
        <v>2.7758420471732599</v>
      </c>
      <c r="BJ10" s="1850">
        <v>2.78863899429814</v>
      </c>
      <c r="BK10" s="1850">
        <v>2.80152864366993</v>
      </c>
      <c r="BL10" s="1850">
        <v>2.8145299240305102</v>
      </c>
      <c r="BM10" s="1850">
        <v>2.8281189721556101</v>
      </c>
      <c r="BN10" s="1850">
        <v>2.8436922082042799</v>
      </c>
      <c r="BO10" s="1850">
        <v>2.8613737788287201</v>
      </c>
      <c r="BP10" s="1850">
        <v>2.8656515498241899</v>
      </c>
      <c r="BQ10" s="1850">
        <v>2.9040288860327399</v>
      </c>
      <c r="BR10" s="1850">
        <v>2.91977882121695</v>
      </c>
      <c r="BS10" s="1850">
        <v>2.93326675921104</v>
      </c>
      <c r="BT10" s="1850">
        <v>2.97685668244746</v>
      </c>
      <c r="BU10" s="1850">
        <v>3.0371208125829399</v>
      </c>
      <c r="BV10" s="1850">
        <v>3.1088573789987799</v>
      </c>
      <c r="BW10" s="1850">
        <v>3.1239179214581299</v>
      </c>
      <c r="BX10" s="1850">
        <v>3.1603777797394499</v>
      </c>
      <c r="BY10" s="1850">
        <v>3.19320129266299</v>
      </c>
      <c r="BZ10" s="1850">
        <v>3.2216577384305198</v>
      </c>
      <c r="CA10" s="1850">
        <v>3.2523592132470598</v>
      </c>
      <c r="CB10" s="1850">
        <v>3.2758148065757999</v>
      </c>
      <c r="CC10" s="1850">
        <v>3.3018263656289402</v>
      </c>
      <c r="CD10" s="1850">
        <v>3.3267091139689202</v>
      </c>
      <c r="CE10" s="1850">
        <v>3.3503420472321199</v>
      </c>
      <c r="CF10" s="1850">
        <v>3.3755320197722698</v>
      </c>
      <c r="CG10" s="1850">
        <v>3.4013821049706801</v>
      </c>
      <c r="CH10" s="1850">
        <v>3.4285196349741498</v>
      </c>
      <c r="CI10" s="1850">
        <v>3.4554729414972001</v>
      </c>
      <c r="CJ10" s="1850">
        <v>3.4846161149341701</v>
      </c>
      <c r="CK10" s="1850">
        <v>3.51305467966387</v>
      </c>
      <c r="CL10" s="1850">
        <v>3.5434825289363499</v>
      </c>
    </row>
    <row r="12" spans="1:90">
      <c r="C12" s="1851"/>
      <c r="D12" s="1851"/>
      <c r="E12" s="1851"/>
      <c r="F12" s="1851"/>
      <c r="G12" s="1851"/>
      <c r="H12" s="1851"/>
      <c r="I12" s="1851"/>
      <c r="J12" s="1851"/>
      <c r="K12" s="1851"/>
      <c r="L12" s="1851"/>
      <c r="M12" s="1851"/>
      <c r="N12" s="1851"/>
      <c r="O12" s="1851"/>
      <c r="P12" s="1851"/>
      <c r="Q12" s="1851"/>
      <c r="R12" s="1851"/>
      <c r="S12" s="1851"/>
      <c r="T12" s="1851"/>
      <c r="U12" s="1851"/>
      <c r="V12" s="1851"/>
      <c r="W12" s="1851"/>
      <c r="X12" s="1851"/>
      <c r="Y12" s="1851"/>
      <c r="Z12" s="1851"/>
      <c r="AA12" s="1851"/>
      <c r="AB12" s="1851"/>
      <c r="AC12" s="1851"/>
      <c r="AD12" s="1851"/>
      <c r="AE12" s="1851"/>
      <c r="AF12" s="1851"/>
      <c r="AG12" s="1851"/>
      <c r="AH12" s="1851"/>
      <c r="AI12" s="1851"/>
      <c r="AJ12" s="1851"/>
      <c r="AK12" s="1851"/>
      <c r="AL12" s="1851"/>
      <c r="AM12" s="1851"/>
      <c r="AN12" s="1851"/>
      <c r="AO12" s="1851"/>
      <c r="AP12" s="1851"/>
      <c r="AQ12" s="1851"/>
      <c r="AR12" s="1851"/>
      <c r="AS12" s="1851"/>
      <c r="AT12" s="1851"/>
    </row>
    <row r="13" spans="1:90">
      <c r="C13" s="1851"/>
      <c r="D13" s="1851"/>
      <c r="E13" s="1851"/>
      <c r="F13" s="1851"/>
      <c r="G13" s="1851"/>
      <c r="H13" s="1851"/>
      <c r="I13" s="1851"/>
      <c r="J13" s="1851"/>
      <c r="K13" s="1851"/>
      <c r="L13" s="1851"/>
      <c r="M13" s="1851"/>
      <c r="N13" s="1851"/>
      <c r="O13" s="1851"/>
      <c r="P13" s="1851"/>
      <c r="Q13" s="1851"/>
      <c r="R13" s="1851"/>
      <c r="S13" s="1851"/>
      <c r="T13" s="1851"/>
      <c r="U13" s="1851"/>
      <c r="V13" s="1851"/>
      <c r="W13" s="1851"/>
      <c r="X13" s="1851"/>
      <c r="Y13" s="1851"/>
      <c r="Z13" s="1851"/>
      <c r="AA13" s="1851"/>
      <c r="AB13" s="1851"/>
      <c r="AC13" s="1851"/>
      <c r="AD13" s="1851"/>
      <c r="AE13" s="1851"/>
      <c r="AF13" s="1851"/>
      <c r="AG13" s="1851"/>
      <c r="AH13" s="1851"/>
      <c r="AI13" s="1851"/>
      <c r="AJ13" s="1851"/>
      <c r="AK13" s="1851"/>
      <c r="AL13" s="1851"/>
      <c r="AM13" s="1851"/>
      <c r="AN13" s="1851"/>
      <c r="AO13" s="1851"/>
      <c r="AP13" s="1851"/>
      <c r="AQ13" s="1851"/>
      <c r="AR13" s="1851"/>
      <c r="AS13" s="1851"/>
      <c r="AT13" s="1851"/>
      <c r="BS13" s="459" t="s">
        <v>460</v>
      </c>
      <c r="BT13" s="460"/>
      <c r="BU13" s="460"/>
      <c r="BV13" s="461" t="s">
        <v>1110</v>
      </c>
      <c r="BW13" s="462"/>
      <c r="BX13" s="462"/>
      <c r="BY13" s="462"/>
      <c r="BZ13" s="462"/>
      <c r="CA13" s="462"/>
      <c r="CB13" s="460"/>
      <c r="CC13" s="460"/>
      <c r="CD13" s="460"/>
    </row>
    <row r="14" spans="1:90">
      <c r="C14" s="1850"/>
      <c r="D14" s="1850"/>
      <c r="E14" s="1850"/>
      <c r="F14" s="1850"/>
      <c r="G14" s="1850"/>
      <c r="H14" s="1850"/>
      <c r="I14" s="1850"/>
      <c r="J14" s="1850"/>
      <c r="K14" s="1850"/>
      <c r="L14" s="1850"/>
      <c r="M14" s="1850"/>
      <c r="N14" s="1850"/>
      <c r="O14" s="1850"/>
      <c r="P14" s="1850"/>
      <c r="Q14" s="1850"/>
      <c r="R14" s="1850"/>
      <c r="S14" s="1850"/>
      <c r="T14" s="1850"/>
      <c r="U14" s="1850"/>
      <c r="V14" s="1850"/>
      <c r="W14" s="1850"/>
      <c r="X14" s="1850"/>
      <c r="Y14" s="1850"/>
      <c r="Z14" s="1850"/>
      <c r="AA14" s="1850"/>
      <c r="AB14" s="1850"/>
      <c r="AC14" s="1850"/>
      <c r="AD14" s="1850"/>
      <c r="AE14" s="1850"/>
      <c r="AF14" s="1850"/>
      <c r="AG14" s="1850"/>
      <c r="AH14" s="1850"/>
      <c r="AI14" s="1850"/>
      <c r="AJ14" s="1850"/>
      <c r="AK14" s="1850"/>
      <c r="AL14" s="1850"/>
      <c r="AM14" s="1850"/>
      <c r="AN14" s="1850"/>
      <c r="AO14" s="1850"/>
      <c r="AP14" s="1850"/>
      <c r="AQ14" s="1850"/>
      <c r="AR14" s="1850"/>
      <c r="AS14" s="1850"/>
      <c r="AT14" s="1850"/>
      <c r="BS14" s="463"/>
      <c r="BT14" s="464"/>
      <c r="BU14" s="464"/>
      <c r="BV14" s="464"/>
      <c r="BW14" s="464"/>
      <c r="BX14" s="464"/>
      <c r="BY14" s="464"/>
      <c r="BZ14" s="464"/>
      <c r="CA14" s="464"/>
      <c r="CB14" s="464"/>
      <c r="CC14" s="464"/>
      <c r="CD14" s="465"/>
    </row>
    <row r="15" spans="1:90">
      <c r="C15" s="1850"/>
      <c r="D15" s="1850"/>
      <c r="E15" s="1850"/>
      <c r="F15" s="1850"/>
      <c r="G15" s="1850"/>
      <c r="H15" s="1850"/>
      <c r="I15" s="1850"/>
      <c r="J15" s="1850"/>
      <c r="K15" s="1850"/>
      <c r="L15" s="1850"/>
      <c r="M15" s="1850"/>
      <c r="N15" s="1850"/>
      <c r="O15" s="1850"/>
      <c r="P15" s="1850"/>
      <c r="Q15" s="1850"/>
      <c r="R15" s="1850"/>
      <c r="S15" s="1850"/>
      <c r="T15" s="1850"/>
      <c r="U15" s="1850"/>
      <c r="V15" s="1850"/>
      <c r="W15" s="1850"/>
      <c r="X15" s="1850"/>
      <c r="Y15" s="1850"/>
      <c r="Z15" s="1850"/>
      <c r="AA15" s="1850"/>
      <c r="AB15" s="1850"/>
      <c r="AC15" s="1850"/>
      <c r="AD15" s="1850"/>
      <c r="AE15" s="1850"/>
      <c r="AF15" s="1850"/>
      <c r="AG15" s="1850"/>
      <c r="AH15" s="1850"/>
      <c r="AI15" s="1850"/>
      <c r="AJ15" s="1850"/>
      <c r="AK15" s="1850"/>
      <c r="AL15" s="1850"/>
      <c r="AM15" s="1850"/>
      <c r="AN15" s="1850"/>
      <c r="AO15" s="1850"/>
      <c r="AP15" s="1850"/>
      <c r="AQ15" s="1850"/>
      <c r="AR15" s="1850"/>
      <c r="AS15" s="1850"/>
      <c r="AT15" s="1850"/>
      <c r="BS15" s="466"/>
      <c r="BT15" s="467" t="s">
        <v>462</v>
      </c>
      <c r="BU15" s="1853" t="str">
        <f>BX7</f>
        <v>2022Q2</v>
      </c>
      <c r="BV15" s="460"/>
      <c r="BW15" s="460"/>
      <c r="BX15" s="460"/>
      <c r="BY15" s="460"/>
      <c r="BZ15" s="460"/>
      <c r="CA15" s="460"/>
      <c r="CB15" s="460"/>
      <c r="CC15" s="460"/>
      <c r="CD15" s="468"/>
    </row>
    <row r="16" spans="1:90">
      <c r="C16" s="1850"/>
      <c r="D16" s="1850"/>
      <c r="E16" s="1850"/>
      <c r="F16" s="1850"/>
      <c r="G16" s="1850"/>
      <c r="H16" s="1850"/>
      <c r="I16" s="1850"/>
      <c r="J16" s="1850"/>
      <c r="K16" s="1850"/>
      <c r="L16" s="1850"/>
      <c r="M16" s="1850"/>
      <c r="N16" s="1850"/>
      <c r="O16" s="1850"/>
      <c r="P16" s="1850"/>
      <c r="Q16" s="1850"/>
      <c r="R16" s="1850"/>
      <c r="S16" s="1850"/>
      <c r="T16" s="1850"/>
      <c r="U16" s="1850"/>
      <c r="V16" s="1850"/>
      <c r="W16" s="1850"/>
      <c r="X16" s="1850"/>
      <c r="Y16" s="1850"/>
      <c r="Z16" s="1850"/>
      <c r="AA16" s="1850"/>
      <c r="AB16" s="1850"/>
      <c r="AC16" s="1850"/>
      <c r="AD16" s="1850"/>
      <c r="AE16" s="1850"/>
      <c r="AF16" s="1850"/>
      <c r="AG16" s="1850"/>
      <c r="AH16" s="1850"/>
      <c r="AI16" s="1850"/>
      <c r="AJ16" s="1850"/>
      <c r="AK16" s="1850"/>
      <c r="AL16" s="1850"/>
      <c r="AM16" s="1850"/>
      <c r="AN16" s="1850"/>
      <c r="AO16" s="1850"/>
      <c r="AP16" s="1850"/>
      <c r="AQ16" s="1850"/>
      <c r="AR16" s="1850"/>
      <c r="AS16" s="1850"/>
      <c r="AT16" s="1850"/>
      <c r="BS16" s="466"/>
      <c r="BT16" s="460"/>
      <c r="BU16" s="1854" t="s">
        <v>1111</v>
      </c>
      <c r="BV16" s="460"/>
      <c r="BW16" s="460"/>
      <c r="BX16" s="460"/>
      <c r="BY16" s="460"/>
      <c r="BZ16" s="460"/>
      <c r="CA16" s="460"/>
      <c r="CB16" s="460"/>
      <c r="CC16" s="460"/>
      <c r="CD16" s="469" t="s">
        <v>385</v>
      </c>
    </row>
    <row r="17" spans="3:82">
      <c r="C17" s="1852"/>
      <c r="D17" s="1852"/>
      <c r="E17" s="1852"/>
      <c r="F17" s="1852"/>
      <c r="G17" s="1852"/>
      <c r="H17" s="1852"/>
      <c r="I17" s="1852"/>
      <c r="J17" s="1852"/>
      <c r="K17" s="1852"/>
      <c r="L17" s="1852"/>
      <c r="M17" s="1852"/>
      <c r="N17" s="1852"/>
      <c r="O17" s="1852"/>
      <c r="P17" s="1852"/>
      <c r="Q17" s="1852"/>
      <c r="R17" s="1852"/>
      <c r="S17" s="1852"/>
      <c r="T17" s="1852"/>
      <c r="U17" s="1852"/>
      <c r="V17" s="1852"/>
      <c r="W17" s="1852"/>
      <c r="X17" s="1852"/>
      <c r="Y17" s="1852"/>
      <c r="Z17" s="1852"/>
      <c r="AA17" s="1852"/>
      <c r="AB17" s="1852"/>
      <c r="AC17" s="1852"/>
      <c r="AD17" s="1852"/>
      <c r="AE17" s="1852"/>
      <c r="AF17" s="1852"/>
      <c r="AG17" s="1852"/>
      <c r="AH17" s="1852"/>
      <c r="AI17" s="1852"/>
      <c r="AJ17" s="1852"/>
      <c r="AK17" s="1852"/>
      <c r="AL17" s="1852"/>
      <c r="AM17" s="1852"/>
      <c r="AN17" s="1852"/>
      <c r="AO17" s="1852"/>
      <c r="AP17" s="1852"/>
      <c r="BS17" s="466"/>
      <c r="BT17" s="460"/>
      <c r="BU17" s="1855">
        <f>BX9</f>
        <v>3.1216976513906798</v>
      </c>
      <c r="BV17" s="924"/>
      <c r="BW17" s="460"/>
      <c r="BX17" s="460"/>
      <c r="BY17" s="460"/>
      <c r="BZ17" s="460"/>
      <c r="CA17" s="460"/>
      <c r="CB17" s="460"/>
      <c r="CC17" s="460"/>
      <c r="CD17" s="470">
        <f>BU17</f>
        <v>3.1216976513906798</v>
      </c>
    </row>
    <row r="18" spans="3:82">
      <c r="BS18" s="466"/>
      <c r="BT18" s="460"/>
      <c r="BU18" s="460"/>
      <c r="BV18" s="460"/>
      <c r="BW18" s="460"/>
      <c r="BX18" s="460"/>
      <c r="BY18" s="460"/>
      <c r="BZ18" s="460"/>
      <c r="CA18" s="460"/>
      <c r="CB18" s="460"/>
      <c r="CC18" s="460"/>
      <c r="CD18" s="471"/>
    </row>
    <row r="19" spans="3:82">
      <c r="BS19" s="2479" t="s">
        <v>464</v>
      </c>
      <c r="BT19" s="2480"/>
      <c r="BU19" s="2480"/>
      <c r="BV19" s="460" t="s">
        <v>1112</v>
      </c>
      <c r="BW19" s="460"/>
      <c r="BX19" s="460"/>
      <c r="BY19" s="460"/>
      <c r="BZ19" s="460"/>
      <c r="CA19" s="460"/>
      <c r="CB19" s="460"/>
      <c r="CC19" s="460"/>
      <c r="CD19" s="471"/>
    </row>
    <row r="20" spans="3:82">
      <c r="BS20" s="1970"/>
      <c r="BT20" s="467"/>
      <c r="BU20" s="1853" t="str">
        <f>BY7</f>
        <v>2022Q3</v>
      </c>
      <c r="BV20" s="1853" t="str">
        <f t="shared" ref="BV20:CB20" si="0">BZ7</f>
        <v>2022Q4</v>
      </c>
      <c r="BW20" s="1853" t="str">
        <f t="shared" si="0"/>
        <v>2023Q1</v>
      </c>
      <c r="BX20" s="1853" t="str">
        <f t="shared" si="0"/>
        <v>2023Q2</v>
      </c>
      <c r="BY20" s="1853" t="str">
        <f t="shared" si="0"/>
        <v>2023Q3</v>
      </c>
      <c r="BZ20" s="1853" t="str">
        <f t="shared" si="0"/>
        <v>2023Q4</v>
      </c>
      <c r="CA20" s="1853" t="str">
        <f t="shared" si="0"/>
        <v>2024Q1</v>
      </c>
      <c r="CB20" s="1853" t="str">
        <f t="shared" si="0"/>
        <v>2024Q2</v>
      </c>
      <c r="CC20" s="460"/>
      <c r="CD20" s="471"/>
    </row>
    <row r="21" spans="3:82">
      <c r="BS21" s="466"/>
      <c r="BT21" s="460"/>
      <c r="BU21" s="1856" t="str">
        <f>BY6</f>
        <v>FY23</v>
      </c>
      <c r="BV21" s="1856" t="str">
        <f t="shared" ref="BV21:CB21" si="1">BZ6</f>
        <v>FY23</v>
      </c>
      <c r="BW21" s="1856" t="str">
        <f t="shared" si="1"/>
        <v>FY23</v>
      </c>
      <c r="BX21" s="1856" t="str">
        <f t="shared" si="1"/>
        <v>FY23</v>
      </c>
      <c r="BY21" s="1856" t="str">
        <f t="shared" si="1"/>
        <v>FY24</v>
      </c>
      <c r="BZ21" s="1856" t="str">
        <f t="shared" si="1"/>
        <v>FY24</v>
      </c>
      <c r="CA21" s="1856" t="str">
        <f t="shared" si="1"/>
        <v>FY24</v>
      </c>
      <c r="CB21" s="1856" t="str">
        <f t="shared" si="1"/>
        <v>FY24</v>
      </c>
      <c r="CC21" s="460"/>
      <c r="CD21" s="471"/>
    </row>
    <row r="22" spans="3:82">
      <c r="BS22" s="466"/>
      <c r="BT22" s="460"/>
      <c r="BU22" s="1857">
        <f>BY9</f>
        <v>3.1419964810498202</v>
      </c>
      <c r="BV22" s="1857">
        <f t="shared" ref="BV22:CB22" si="2">BZ9</f>
        <v>3.1572395520324501</v>
      </c>
      <c r="BW22" s="1857">
        <f t="shared" si="2"/>
        <v>3.1752468332852302</v>
      </c>
      <c r="BX22" s="1857">
        <f t="shared" si="2"/>
        <v>3.1874038099320501</v>
      </c>
      <c r="BY22" s="1857">
        <f t="shared" si="2"/>
        <v>3.2020926608413101</v>
      </c>
      <c r="BZ22" s="1857">
        <f t="shared" si="2"/>
        <v>3.2161508717239098</v>
      </c>
      <c r="CA22" s="1857">
        <f t="shared" si="2"/>
        <v>3.22822510404264</v>
      </c>
      <c r="CB22" s="1857">
        <f t="shared" si="2"/>
        <v>3.2415569103144701</v>
      </c>
      <c r="CC22" s="460"/>
      <c r="CD22" s="470">
        <f>AVERAGE(BU22:CB22)</f>
        <v>3.1937390279027351</v>
      </c>
    </row>
    <row r="23" spans="3:82">
      <c r="BS23" s="466"/>
      <c r="BT23" s="460"/>
      <c r="BU23" s="460"/>
      <c r="BV23" s="460"/>
      <c r="BW23" s="460"/>
      <c r="BX23" s="460"/>
      <c r="BY23" s="460"/>
      <c r="BZ23" s="460"/>
      <c r="CA23" s="460"/>
      <c r="CB23" s="460"/>
      <c r="CC23" s="460"/>
      <c r="CD23" s="471"/>
    </row>
    <row r="24" spans="3:82">
      <c r="BS24" s="466"/>
      <c r="BT24" s="460"/>
      <c r="BU24" s="460"/>
      <c r="BV24" s="460"/>
      <c r="BW24" s="460"/>
      <c r="BX24" s="460"/>
      <c r="BY24" s="460"/>
      <c r="BZ24" s="460"/>
      <c r="CA24" s="460"/>
      <c r="CB24" s="460"/>
      <c r="CC24" s="472" t="s">
        <v>26</v>
      </c>
      <c r="CD24" s="473">
        <f>(CD22-CD17)/CD17</f>
        <v>2.3077627802923752E-2</v>
      </c>
    </row>
    <row r="25" spans="3:82">
      <c r="BS25" s="474"/>
      <c r="BT25" s="475"/>
      <c r="BU25" s="475"/>
      <c r="BV25" s="475"/>
      <c r="BW25" s="475"/>
      <c r="BX25" s="475"/>
      <c r="BY25" s="475"/>
      <c r="BZ25" s="475"/>
      <c r="CA25" s="475"/>
      <c r="CB25" s="475"/>
      <c r="CC25" s="475"/>
      <c r="CD25" s="476"/>
    </row>
  </sheetData>
  <mergeCells count="1">
    <mergeCell ref="BS19:BU19"/>
  </mergeCells>
  <pageMargins left="0.25" right="0.25"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41"/>
  <sheetViews>
    <sheetView zoomScale="80" zoomScaleNormal="80" workbookViewId="0">
      <pane xSplit="1" ySplit="3" topLeftCell="B4" activePane="bottomRight" state="frozen"/>
      <selection pane="topRight" activeCell="B1" sqref="B1"/>
      <selection pane="bottomLeft" activeCell="A4" sqref="A4"/>
      <selection pane="bottomRight" activeCell="D38" sqref="D38"/>
    </sheetView>
  </sheetViews>
  <sheetFormatPr defaultColWidth="9.42578125" defaultRowHeight="15"/>
  <cols>
    <col min="1" max="1" width="79.140625" customWidth="1"/>
    <col min="2" max="2" width="21.140625" bestFit="1" customWidth="1"/>
    <col min="3" max="3" width="12.42578125" customWidth="1"/>
    <col min="4" max="4" width="8.5703125" bestFit="1" customWidth="1"/>
    <col min="5" max="5" width="20.42578125" customWidth="1"/>
    <col min="6" max="6" width="15.5703125" customWidth="1"/>
    <col min="7" max="7" width="12.42578125" bestFit="1" customWidth="1"/>
    <col min="8" max="8" width="13.5703125" customWidth="1"/>
    <col min="9" max="9" width="13.42578125" customWidth="1"/>
    <col min="10" max="10" width="17.42578125" style="1660" customWidth="1"/>
    <col min="11" max="11" width="18" style="11" customWidth="1"/>
    <col min="12" max="12" width="22.5703125" style="22" customWidth="1"/>
    <col min="13" max="13" width="14.85546875" style="22" bestFit="1" customWidth="1"/>
    <col min="15" max="15" width="15.42578125" style="1666" customWidth="1"/>
    <col min="16" max="16" width="13.140625" customWidth="1"/>
    <col min="17" max="17" width="11.5703125" customWidth="1"/>
  </cols>
  <sheetData>
    <row r="1" spans="1:15">
      <c r="L1" s="22" t="s">
        <v>893</v>
      </c>
      <c r="M1" s="1838">
        <f>'Integrated Team '!E47</f>
        <v>2.5758086673353865E-2</v>
      </c>
    </row>
    <row r="2" spans="1:15" ht="21">
      <c r="A2" s="1750"/>
    </row>
    <row r="3" spans="1:15" ht="15.75" thickBot="1">
      <c r="B3" s="1101" t="s">
        <v>1167</v>
      </c>
      <c r="C3" s="1101"/>
      <c r="D3" s="1101"/>
      <c r="E3" s="1101">
        <v>2020</v>
      </c>
      <c r="F3" s="1101"/>
      <c r="G3" s="1101"/>
      <c r="H3" s="1101"/>
      <c r="J3" s="1884" t="s">
        <v>796</v>
      </c>
      <c r="K3" s="1663" t="s">
        <v>796</v>
      </c>
    </row>
    <row r="4" spans="1:15" ht="24" customHeight="1" thickBot="1">
      <c r="A4" s="1563" t="s">
        <v>913</v>
      </c>
      <c r="B4" s="1564" t="s">
        <v>914</v>
      </c>
      <c r="C4" s="1563"/>
      <c r="D4" s="1563"/>
      <c r="E4" s="1736" t="s">
        <v>923</v>
      </c>
      <c r="F4" s="1658"/>
      <c r="G4" s="1658"/>
      <c r="H4" s="1574" t="s">
        <v>942</v>
      </c>
      <c r="I4" s="1573" t="s">
        <v>924</v>
      </c>
      <c r="J4" s="1885" t="s">
        <v>981</v>
      </c>
      <c r="K4" s="1664" t="s">
        <v>982</v>
      </c>
      <c r="L4" s="1730" t="s">
        <v>751</v>
      </c>
      <c r="M4" s="22" t="s">
        <v>987</v>
      </c>
    </row>
    <row r="5" spans="1:15" ht="16.5" thickTop="1" thickBot="1">
      <c r="A5" s="1565" t="s">
        <v>545</v>
      </c>
      <c r="B5" s="1566">
        <v>41.22</v>
      </c>
      <c r="C5" s="1655"/>
      <c r="D5" s="1655"/>
      <c r="E5" s="1566">
        <f ca="1">'Integrated Team '!$O$46</f>
        <v>55.991993761853166</v>
      </c>
      <c r="F5" s="1659"/>
      <c r="G5" s="1659"/>
      <c r="H5" s="1575">
        <f ca="1">E5-B5</f>
        <v>14.771993761853167</v>
      </c>
      <c r="I5" s="1576">
        <f ca="1">(E5-B5)/B5</f>
        <v>0.3583695720973597</v>
      </c>
      <c r="J5" s="1886">
        <f>'[16]FY21 Unit Rate Expend'!$C$4</f>
        <v>2492382</v>
      </c>
      <c r="K5" s="11">
        <f>J5*B5</f>
        <v>102735986.03999999</v>
      </c>
      <c r="L5" s="22">
        <f ca="1">J5*E5</f>
        <v>139553437.39615512</v>
      </c>
      <c r="M5" s="22">
        <f ca="1">L5-K5</f>
        <v>36817451.356155127</v>
      </c>
      <c r="O5" s="1670">
        <f ca="1">M5/K5</f>
        <v>0.35836957209735981</v>
      </c>
    </row>
    <row r="6" spans="1:15" ht="16.5" thickTop="1" thickBot="1">
      <c r="A6" s="1565" t="s">
        <v>584</v>
      </c>
      <c r="B6" s="1566">
        <v>28.72</v>
      </c>
      <c r="C6" s="1655"/>
      <c r="D6" s="1655"/>
      <c r="E6" s="1566">
        <f ca="1">'Integrated Team '!$O$93</f>
        <v>38.275054852990557</v>
      </c>
      <c r="F6" s="1659"/>
      <c r="G6" s="1659"/>
      <c r="H6" s="1575">
        <f t="shared" ref="H6:H30" ca="1" si="0">E6-B6</f>
        <v>9.5550548529905583</v>
      </c>
      <c r="I6" s="1576">
        <f t="shared" ref="I6:I30" ca="1" si="1">(E6-B6)/B6</f>
        <v>0.33269689599549301</v>
      </c>
      <c r="J6" s="1968"/>
      <c r="O6"/>
    </row>
    <row r="7" spans="1:15" ht="16.5" thickTop="1" thickBot="1">
      <c r="A7" s="1565" t="s">
        <v>915</v>
      </c>
      <c r="B7" s="1567"/>
      <c r="C7" s="1656"/>
      <c r="D7" s="1656"/>
      <c r="E7" s="1571"/>
      <c r="F7" s="1659"/>
      <c r="G7" s="1659"/>
      <c r="H7" s="1575"/>
      <c r="I7" s="1576"/>
      <c r="J7" s="1886"/>
      <c r="O7"/>
    </row>
    <row r="8" spans="1:15" ht="16.5" thickTop="1" thickBot="1">
      <c r="A8" s="1565" t="s">
        <v>916</v>
      </c>
      <c r="B8" s="1567"/>
      <c r="C8" s="1656"/>
      <c r="D8" s="1656"/>
      <c r="E8" s="1571"/>
      <c r="F8" s="1659"/>
      <c r="G8" s="1659"/>
      <c r="H8" s="1575"/>
      <c r="I8" s="1576"/>
      <c r="J8" s="1886"/>
    </row>
    <row r="9" spans="1:15" ht="16.5" thickTop="1" thickBot="1">
      <c r="A9" s="1565" t="s">
        <v>925</v>
      </c>
      <c r="B9" s="1566">
        <v>245.78</v>
      </c>
      <c r="C9" s="1655">
        <v>28.72</v>
      </c>
      <c r="D9" s="1655">
        <f>SUM(B9:C9)</f>
        <v>274.5</v>
      </c>
      <c r="E9" s="1566">
        <f>'GLE SIE'!Q41</f>
        <v>361.64945550135087</v>
      </c>
      <c r="F9" s="1659">
        <f ca="1">E6</f>
        <v>38.275054852990557</v>
      </c>
      <c r="G9" s="1659">
        <f ca="1">F9+E9</f>
        <v>399.92451035434141</v>
      </c>
      <c r="H9" s="1575">
        <f t="shared" si="0"/>
        <v>115.86945550135087</v>
      </c>
      <c r="I9" s="1576">
        <f t="shared" si="1"/>
        <v>0.47143565587660052</v>
      </c>
      <c r="J9" s="1886">
        <f>'[16]FY21 Unit Rate Expend'!$C$6</f>
        <v>232579</v>
      </c>
      <c r="K9" s="11">
        <f t="shared" ref="K9:K28" si="2">J9*B9</f>
        <v>57163266.619999997</v>
      </c>
      <c r="L9" s="22">
        <f t="shared" ref="L9:L28" si="3">J9*E9</f>
        <v>84112068.711048678</v>
      </c>
      <c r="M9" s="22">
        <f>L9-K9</f>
        <v>26948802.09104868</v>
      </c>
      <c r="O9" s="1670">
        <f>M9/K9</f>
        <v>0.47143565587660047</v>
      </c>
    </row>
    <row r="10" spans="1:15" ht="16.5" thickTop="1" thickBot="1">
      <c r="A10" s="1565" t="s">
        <v>926</v>
      </c>
      <c r="B10" s="1566">
        <v>173.85</v>
      </c>
      <c r="C10" s="1655">
        <v>28.72</v>
      </c>
      <c r="D10" s="1655">
        <f>SUM(B10:C10)</f>
        <v>202.57</v>
      </c>
      <c r="E10" s="1566">
        <f>'GLE SIE'!W41</f>
        <v>256.88362110244987</v>
      </c>
      <c r="F10" s="1659">
        <f ca="1">E6</f>
        <v>38.275054852990557</v>
      </c>
      <c r="G10" s="1659">
        <f ca="1">F10+E10</f>
        <v>295.1586759554404</v>
      </c>
      <c r="H10" s="1575">
        <f t="shared" si="0"/>
        <v>83.033621102449871</v>
      </c>
      <c r="I10" s="1576">
        <f t="shared" si="1"/>
        <v>0.4776164573048598</v>
      </c>
      <c r="J10" s="1886">
        <f>'[16]FY21 Unit Rate Expend'!$C$7</f>
        <v>388256</v>
      </c>
      <c r="K10" s="11">
        <f t="shared" si="2"/>
        <v>67498305.599999994</v>
      </c>
      <c r="L10" s="22">
        <f t="shared" si="3"/>
        <v>99736607.194752768</v>
      </c>
      <c r="M10" s="22">
        <f>L10-K10</f>
        <v>32238301.594752774</v>
      </c>
      <c r="O10" s="1670">
        <f>M10/K10</f>
        <v>0.47761645730485974</v>
      </c>
    </row>
    <row r="11" spans="1:15" ht="16.5" thickTop="1" thickBot="1">
      <c r="A11" s="1565" t="s">
        <v>927</v>
      </c>
      <c r="B11" s="1566">
        <v>141.16</v>
      </c>
      <c r="C11" s="1655">
        <f>B6</f>
        <v>28.72</v>
      </c>
      <c r="D11" s="1655">
        <f>SUM(B11:C11)</f>
        <v>169.88</v>
      </c>
      <c r="E11" s="1566">
        <f>'GLE SIE'!AC41</f>
        <v>209.26278728476754</v>
      </c>
      <c r="F11" s="1659">
        <f ca="1">E6</f>
        <v>38.275054852990557</v>
      </c>
      <c r="G11" s="1659">
        <f ca="1">SUM(E11:F11)</f>
        <v>247.5378421377581</v>
      </c>
      <c r="H11" s="1575">
        <f t="shared" si="0"/>
        <v>68.102787284767544</v>
      </c>
      <c r="I11" s="1576">
        <f t="shared" si="1"/>
        <v>0.48245102922051253</v>
      </c>
      <c r="J11" s="1886">
        <f>'[16]FY21 Unit Rate Expend'!$C$5</f>
        <v>181306</v>
      </c>
      <c r="K11" s="11">
        <f t="shared" si="2"/>
        <v>25593154.960000001</v>
      </c>
      <c r="L11" s="22">
        <f t="shared" si="3"/>
        <v>37940598.911452062</v>
      </c>
      <c r="M11" s="22">
        <f>L11-K11</f>
        <v>12347443.951452062</v>
      </c>
      <c r="O11" s="1670">
        <f>M11/K11</f>
        <v>0.48245102922051236</v>
      </c>
    </row>
    <row r="12" spans="1:15" ht="16.5" thickTop="1" thickBot="1">
      <c r="A12" s="1565" t="s">
        <v>917</v>
      </c>
      <c r="B12" s="1567"/>
      <c r="C12" s="1656"/>
      <c r="D12" s="1656"/>
      <c r="E12" s="1566"/>
      <c r="F12" s="1659"/>
      <c r="G12" s="1659"/>
      <c r="H12" s="1575"/>
      <c r="I12" s="1576"/>
      <c r="J12" s="1886"/>
    </row>
    <row r="13" spans="1:15" ht="16.5" thickTop="1" thickBot="1">
      <c r="A13" s="1565" t="s">
        <v>918</v>
      </c>
      <c r="B13" s="1566">
        <v>61.61</v>
      </c>
      <c r="C13" s="1655"/>
      <c r="D13" s="1655"/>
      <c r="E13" s="1566">
        <f>'GLE SIE'!$Y$82</f>
        <v>89.094402030014564</v>
      </c>
      <c r="F13" s="1659"/>
      <c r="G13" s="1659"/>
      <c r="H13" s="1575">
        <f t="shared" si="0"/>
        <v>27.484402030014564</v>
      </c>
      <c r="I13" s="1576">
        <f t="shared" si="1"/>
        <v>0.44610293832193743</v>
      </c>
      <c r="J13" s="1886">
        <f>'[16]FY21 Unit Rate Expend'!$C$18</f>
        <v>46481</v>
      </c>
      <c r="K13" s="11">
        <f t="shared" si="2"/>
        <v>2863694.41</v>
      </c>
      <c r="L13" s="22">
        <f t="shared" si="3"/>
        <v>4141196.900757107</v>
      </c>
      <c r="M13" s="22">
        <f>L13-K13</f>
        <v>1277502.4907571068</v>
      </c>
      <c r="O13" s="1670">
        <f>M13/K13</f>
        <v>0.44610293832193731</v>
      </c>
    </row>
    <row r="14" spans="1:15" ht="16.5" thickTop="1" thickBot="1">
      <c r="A14" s="1565" t="s">
        <v>919</v>
      </c>
      <c r="B14" s="1566">
        <v>48.53</v>
      </c>
      <c r="C14" s="1655"/>
      <c r="D14" s="1655"/>
      <c r="E14" s="1566">
        <f>'GLE SIE'!$AE$82</f>
        <v>70.274196734548227</v>
      </c>
      <c r="F14" s="1659"/>
      <c r="G14" s="1659"/>
      <c r="H14" s="1575">
        <f t="shared" si="0"/>
        <v>21.744196734548225</v>
      </c>
      <c r="I14" s="1576">
        <f t="shared" si="1"/>
        <v>0.44805680475063309</v>
      </c>
      <c r="J14" s="1886">
        <f>'[16]FY21 Unit Rate Expend'!$C$19</f>
        <v>40205</v>
      </c>
      <c r="K14" s="11">
        <f t="shared" si="2"/>
        <v>1951148.6500000001</v>
      </c>
      <c r="L14" s="22">
        <f t="shared" si="3"/>
        <v>2825374.0797125115</v>
      </c>
      <c r="M14" s="22">
        <f>L14-K14</f>
        <v>874225.42971251137</v>
      </c>
      <c r="O14" s="1670">
        <f>M14/K14</f>
        <v>0.44805680475063309</v>
      </c>
    </row>
    <row r="15" spans="1:15" ht="16.5" thickTop="1" thickBot="1">
      <c r="A15" s="1565" t="s">
        <v>920</v>
      </c>
      <c r="B15" s="1566">
        <v>35.450000000000003</v>
      </c>
      <c r="C15" s="1655"/>
      <c r="D15" s="1655"/>
      <c r="E15" s="1566">
        <f>'GLE SIE'!$AK$82</f>
        <v>51.453991439081889</v>
      </c>
      <c r="F15" s="1659"/>
      <c r="G15" s="1659"/>
      <c r="H15" s="1575">
        <f t="shared" si="0"/>
        <v>16.003991439081886</v>
      </c>
      <c r="I15" s="1576">
        <f t="shared" si="1"/>
        <v>0.45145250885985572</v>
      </c>
      <c r="J15" s="1886">
        <f>'[16]FY21 Unit Rate Expend'!$C$20</f>
        <v>12360</v>
      </c>
      <c r="K15" s="11">
        <f t="shared" si="2"/>
        <v>438162.00000000006</v>
      </c>
      <c r="L15" s="22">
        <f t="shared" si="3"/>
        <v>635971.3341870521</v>
      </c>
      <c r="M15" s="22">
        <f>L15-K15</f>
        <v>197809.33418705204</v>
      </c>
      <c r="O15" s="1670">
        <f>M15/K15</f>
        <v>0.45145250885985549</v>
      </c>
    </row>
    <row r="16" spans="1:15" ht="16.5" thickTop="1" thickBot="1">
      <c r="A16" s="1565" t="s">
        <v>921</v>
      </c>
      <c r="B16" s="1567"/>
      <c r="C16" s="1656"/>
      <c r="D16" s="1656"/>
      <c r="E16" s="1571"/>
      <c r="F16" s="1659"/>
      <c r="G16" s="1659"/>
      <c r="H16" s="1575"/>
      <c r="I16" s="1576"/>
      <c r="J16" s="1886"/>
    </row>
    <row r="17" spans="1:15" ht="16.5" thickTop="1" thickBot="1">
      <c r="A17" s="1565" t="s">
        <v>928</v>
      </c>
      <c r="B17" s="1568">
        <v>395.67</v>
      </c>
      <c r="C17" s="1657"/>
      <c r="D17" s="1657"/>
      <c r="E17" s="1566">
        <f ca="1">'Med_Int_Spec  '!N45</f>
        <v>527.98898910783123</v>
      </c>
      <c r="F17" s="1659"/>
      <c r="G17" s="1659"/>
      <c r="H17" s="1575">
        <f t="shared" ca="1" si="0"/>
        <v>132.31898910783121</v>
      </c>
      <c r="I17" s="1576">
        <f t="shared" ca="1" si="1"/>
        <v>0.33441754266896961</v>
      </c>
      <c r="J17" s="1886">
        <f>'[16]FY21 Unit Rate Expend'!$C$16</f>
        <v>10975</v>
      </c>
      <c r="K17" s="11">
        <f t="shared" si="2"/>
        <v>4342478.25</v>
      </c>
      <c r="L17" s="22">
        <f t="shared" ca="1" si="3"/>
        <v>5794679.1554584475</v>
      </c>
      <c r="M17" s="22">
        <f t="shared" ref="M17:M22" ca="1" si="4">L17-K17</f>
        <v>1452200.9054584475</v>
      </c>
      <c r="O17" s="1670">
        <f t="shared" ref="O17:O22" ca="1" si="5">M17/K17</f>
        <v>0.33441754266896961</v>
      </c>
    </row>
    <row r="18" spans="1:15" ht="16.5" thickTop="1" thickBot="1">
      <c r="A18" s="1565" t="s">
        <v>929</v>
      </c>
      <c r="B18" s="1568">
        <v>328.23</v>
      </c>
      <c r="C18" s="1657"/>
      <c r="D18" s="1657"/>
      <c r="E18" s="1566">
        <f ca="1">'Med_Int_Spec  '!N85</f>
        <v>439.22638399136588</v>
      </c>
      <c r="F18" s="1659"/>
      <c r="G18" s="1659"/>
      <c r="H18" s="1575">
        <f t="shared" ca="1" si="0"/>
        <v>110.99638399136586</v>
      </c>
      <c r="I18" s="1576">
        <f t="shared" ca="1" si="1"/>
        <v>0.33816648079507011</v>
      </c>
      <c r="J18" s="1886">
        <f>'[16]FY21 Unit Rate Expend'!$C$17</f>
        <v>19637</v>
      </c>
      <c r="K18" s="11">
        <f t="shared" si="2"/>
        <v>6445452.5100000007</v>
      </c>
      <c r="L18" s="22">
        <f t="shared" ca="1" si="3"/>
        <v>8625088.5024384521</v>
      </c>
      <c r="M18" s="22">
        <f t="shared" ca="1" si="4"/>
        <v>2179635.9924384514</v>
      </c>
      <c r="O18" s="1670">
        <f t="shared" ca="1" si="5"/>
        <v>0.33816648079507006</v>
      </c>
    </row>
    <row r="19" spans="1:15" ht="16.5" thickTop="1" thickBot="1">
      <c r="A19" s="1565" t="s">
        <v>930</v>
      </c>
      <c r="B19" s="1568">
        <v>295.94</v>
      </c>
      <c r="C19" s="1657"/>
      <c r="D19" s="1657"/>
      <c r="E19" s="1566">
        <f ca="1">'Med_Int_Spec  '!N123</f>
        <v>394.91751211826261</v>
      </c>
      <c r="F19" s="1659"/>
      <c r="G19" s="1659"/>
      <c r="H19" s="1575">
        <f t="shared" ca="1" si="0"/>
        <v>98.977512118262609</v>
      </c>
      <c r="I19" s="1576">
        <f t="shared" ca="1" si="1"/>
        <v>0.33445128106461652</v>
      </c>
      <c r="J19" s="1886">
        <f>'[16]FY21 Unit Rate Expend'!$C$15</f>
        <v>3969</v>
      </c>
      <c r="K19" s="11">
        <f t="shared" si="2"/>
        <v>1174585.8600000001</v>
      </c>
      <c r="L19" s="22">
        <f t="shared" ca="1" si="3"/>
        <v>1567427.6055973843</v>
      </c>
      <c r="M19" s="22">
        <f t="shared" ca="1" si="4"/>
        <v>392841.74559738417</v>
      </c>
      <c r="O19" s="1670">
        <f t="shared" ca="1" si="5"/>
        <v>0.33445128106461636</v>
      </c>
    </row>
    <row r="20" spans="1:15" ht="16.5" thickTop="1" thickBot="1">
      <c r="A20" s="1565" t="s">
        <v>931</v>
      </c>
      <c r="B20" s="1568">
        <v>403.62</v>
      </c>
      <c r="C20" s="1657"/>
      <c r="D20" s="1657"/>
      <c r="E20" s="1566">
        <f ca="1">'Int_Beh FY25'!N42</f>
        <v>568.08417133528064</v>
      </c>
      <c r="F20" s="1659"/>
      <c r="G20" s="1659"/>
      <c r="H20" s="1575">
        <f t="shared" ca="1" si="0"/>
        <v>164.46417133528064</v>
      </c>
      <c r="I20" s="1576">
        <f t="shared" ca="1" si="1"/>
        <v>0.40747279950270215</v>
      </c>
      <c r="J20" s="1886">
        <f>'[16]FY21 Unit Rate Expend'!$C$9</f>
        <v>9734</v>
      </c>
      <c r="K20" s="11">
        <f t="shared" si="2"/>
        <v>3928837.08</v>
      </c>
      <c r="L20" s="22">
        <f t="shared" ca="1" si="3"/>
        <v>5529731.3237776216</v>
      </c>
      <c r="M20" s="22">
        <f t="shared" ca="1" si="4"/>
        <v>1600894.2437776215</v>
      </c>
      <c r="O20" s="1670">
        <f t="shared" ca="1" si="5"/>
        <v>0.4074727995027021</v>
      </c>
    </row>
    <row r="21" spans="1:15" ht="16.5" thickTop="1" thickBot="1">
      <c r="A21" s="1565" t="s">
        <v>932</v>
      </c>
      <c r="B21" s="1568">
        <v>306.31</v>
      </c>
      <c r="C21" s="1657"/>
      <c r="D21" s="1657"/>
      <c r="E21" s="1566">
        <f ca="1">'Int_Beh FY25'!N77</f>
        <v>429.36572562235813</v>
      </c>
      <c r="F21" s="1659"/>
      <c r="G21" s="1659"/>
      <c r="H21" s="1575">
        <f t="shared" ca="1" si="0"/>
        <v>123.05572562235812</v>
      </c>
      <c r="I21" s="1576">
        <f t="shared" ca="1" si="1"/>
        <v>0.4017359068341162</v>
      </c>
      <c r="J21" s="1886">
        <f>'[16]FY21 Unit Rate Expend'!$C$10</f>
        <v>14843</v>
      </c>
      <c r="K21" s="11">
        <f t="shared" si="2"/>
        <v>4546559.33</v>
      </c>
      <c r="L21" s="22">
        <f t="shared" ca="1" si="3"/>
        <v>6373075.4654126614</v>
      </c>
      <c r="M21" s="22">
        <f t="shared" ca="1" si="4"/>
        <v>1826516.1354126614</v>
      </c>
      <c r="O21" s="1670">
        <f t="shared" ca="1" si="5"/>
        <v>0.40173590683411609</v>
      </c>
    </row>
    <row r="22" spans="1:15" ht="16.5" thickTop="1" thickBot="1">
      <c r="A22" s="1565" t="s">
        <v>933</v>
      </c>
      <c r="B22" s="1568">
        <v>264.08</v>
      </c>
      <c r="C22" s="1657">
        <f>D22-B22</f>
        <v>32.319999999999993</v>
      </c>
      <c r="D22" s="1657">
        <v>296.39999999999998</v>
      </c>
      <c r="E22" s="1566">
        <f ca="1">'Int_Beh FY25'!N113</f>
        <v>368.34662281258744</v>
      </c>
      <c r="F22" s="1659"/>
      <c r="G22" s="1659"/>
      <c r="H22" s="1575">
        <f t="shared" ca="1" si="0"/>
        <v>104.26662281258746</v>
      </c>
      <c r="I22" s="1576">
        <f t="shared" ca="1" si="1"/>
        <v>0.39482968347692921</v>
      </c>
      <c r="J22" s="1886">
        <f>'[16]FY21 Unit Rate Expend'!$C$8</f>
        <v>4380</v>
      </c>
      <c r="K22" s="11">
        <f t="shared" si="2"/>
        <v>1156670.3999999999</v>
      </c>
      <c r="L22" s="22">
        <f t="shared" ca="1" si="3"/>
        <v>1613358.2079191329</v>
      </c>
      <c r="M22" s="22">
        <f t="shared" ca="1" si="4"/>
        <v>456687.80791913299</v>
      </c>
      <c r="O22" s="1670">
        <f t="shared" ca="1" si="5"/>
        <v>0.39482968347692915</v>
      </c>
    </row>
    <row r="23" spans="1:15" ht="16.5" thickTop="1" thickBot="1">
      <c r="A23" s="1572" t="s">
        <v>934</v>
      </c>
      <c r="B23" s="1568">
        <v>329.05</v>
      </c>
      <c r="C23" s="1657"/>
      <c r="D23" s="1657"/>
      <c r="E23" s="1566">
        <f ca="1">'Int_Beh FY25'!N156</f>
        <v>460.41203745167172</v>
      </c>
      <c r="F23" s="1659"/>
      <c r="G23" s="1659"/>
      <c r="H23" s="1575">
        <f t="shared" ca="1" si="0"/>
        <v>131.36203745167171</v>
      </c>
      <c r="I23" s="1576">
        <f t="shared" ca="1" si="1"/>
        <v>0.39921603844908587</v>
      </c>
      <c r="J23" s="1886"/>
    </row>
    <row r="24" spans="1:15" ht="16.5" thickTop="1" thickBot="1">
      <c r="A24" s="1572" t="s">
        <v>935</v>
      </c>
      <c r="B24" s="1568">
        <v>229.15</v>
      </c>
      <c r="C24" s="1657"/>
      <c r="D24" s="1657"/>
      <c r="E24" s="1566">
        <f ca="1">'Int_Beh FY25'!N198</f>
        <v>318.45891434449442</v>
      </c>
      <c r="F24" s="1659"/>
      <c r="G24" s="1659"/>
      <c r="H24" s="1575">
        <f t="shared" ca="1" si="0"/>
        <v>89.308914344494411</v>
      </c>
      <c r="I24" s="1576">
        <f t="shared" ca="1" si="1"/>
        <v>0.38973997095568147</v>
      </c>
      <c r="J24" s="1886">
        <f>'[16]FY21 Unit Rate Expend'!$C$11</f>
        <v>4378</v>
      </c>
      <c r="K24" s="11">
        <f t="shared" si="2"/>
        <v>1003218.7000000001</v>
      </c>
      <c r="L24" s="22">
        <f t="shared" ca="1" si="3"/>
        <v>1394213.1270001966</v>
      </c>
      <c r="M24" s="22">
        <f ca="1">L24-K24</f>
        <v>390994.42700019653</v>
      </c>
      <c r="O24" s="1670">
        <f ca="1">M24/K24</f>
        <v>0.38973997095568147</v>
      </c>
    </row>
    <row r="25" spans="1:15" ht="16.5" thickTop="1" thickBot="1">
      <c r="A25" s="1565" t="s">
        <v>936</v>
      </c>
      <c r="B25" s="1568">
        <v>384.54</v>
      </c>
      <c r="C25" s="1657"/>
      <c r="D25" s="1657"/>
      <c r="E25" s="1566">
        <f ca="1">'Int_Fire_Safety '!$M$48</f>
        <v>549.2395034238973</v>
      </c>
      <c r="F25" s="1659"/>
      <c r="G25" s="1659"/>
      <c r="H25" s="1575">
        <f t="shared" ca="1" si="0"/>
        <v>164.69950342389728</v>
      </c>
      <c r="I25" s="1576">
        <f t="shared" ca="1" si="1"/>
        <v>0.4283026562227526</v>
      </c>
      <c r="J25" s="1886"/>
    </row>
    <row r="26" spans="1:15" ht="16.5" thickTop="1" thickBot="1">
      <c r="A26" s="1565" t="s">
        <v>937</v>
      </c>
      <c r="B26" s="1568">
        <v>458.31</v>
      </c>
      <c r="C26" s="1657"/>
      <c r="D26" s="1657"/>
      <c r="E26" s="1566">
        <f ca="1">'Clin_Int '!$M$45</f>
        <v>596.21631855618193</v>
      </c>
      <c r="F26" s="1659"/>
      <c r="G26" s="1659"/>
      <c r="H26" s="1575">
        <f t="shared" ca="1" si="0"/>
        <v>137.90631855618193</v>
      </c>
      <c r="I26" s="1576">
        <f t="shared" ca="1" si="1"/>
        <v>0.30090183185220032</v>
      </c>
      <c r="J26" s="1886">
        <f>'[16]FY21 Unit Rate Expend'!$C$13</f>
        <v>5171</v>
      </c>
      <c r="K26" s="11">
        <f t="shared" si="2"/>
        <v>2369921.0100000002</v>
      </c>
      <c r="L26" s="22">
        <f t="shared" ca="1" si="3"/>
        <v>3083034.5832540169</v>
      </c>
      <c r="M26" s="22">
        <f ca="1">L26-K26</f>
        <v>713113.57325401669</v>
      </c>
      <c r="O26" s="1670">
        <f ca="1">M26/K26</f>
        <v>0.30090183185220026</v>
      </c>
    </row>
    <row r="27" spans="1:15" ht="16.5" thickTop="1" thickBot="1">
      <c r="A27" s="1565" t="s">
        <v>938</v>
      </c>
      <c r="B27" s="1568">
        <v>402.33322394882401</v>
      </c>
      <c r="C27" s="1657"/>
      <c r="D27" s="1657"/>
      <c r="E27" s="1566">
        <f ca="1">'Clin_Int '!$G$99</f>
        <v>523.7311135121289</v>
      </c>
      <c r="F27" s="1659"/>
      <c r="G27" s="1659"/>
      <c r="H27" s="1575">
        <f t="shared" ca="1" si="0"/>
        <v>121.39788956330489</v>
      </c>
      <c r="I27" s="1576">
        <f t="shared" ca="1" si="1"/>
        <v>0.30173468741111586</v>
      </c>
      <c r="J27" s="1886">
        <f>'[16]FY21 Unit Rate Expend'!$C$14</f>
        <v>8974</v>
      </c>
      <c r="K27" s="11">
        <f t="shared" si="2"/>
        <v>3610538.3517167466</v>
      </c>
      <c r="L27" s="22">
        <f t="shared" ca="1" si="3"/>
        <v>4699963.0126578445</v>
      </c>
      <c r="M27" s="22">
        <f ca="1">L27-K27</f>
        <v>1089424.6609410979</v>
      </c>
      <c r="O27" s="1670">
        <f ca="1">M27/K27</f>
        <v>0.30173468741111581</v>
      </c>
    </row>
    <row r="28" spans="1:15" ht="16.5" thickTop="1" thickBot="1">
      <c r="A28" s="1565" t="s">
        <v>939</v>
      </c>
      <c r="B28" s="1568">
        <v>364.62152740133428</v>
      </c>
      <c r="C28" s="1657"/>
      <c r="D28" s="1657"/>
      <c r="E28" s="1566">
        <f ca="1">'Clin_Int '!$M$99</f>
        <v>482.92772936758234</v>
      </c>
      <c r="F28" s="1659"/>
      <c r="G28" s="1659"/>
      <c r="H28" s="1575">
        <f t="shared" ca="1" si="0"/>
        <v>118.30620196624807</v>
      </c>
      <c r="I28" s="1576">
        <f t="shared" ca="1" si="1"/>
        <v>0.32446302007843308</v>
      </c>
      <c r="J28" s="1886">
        <f>'[16]FY21 Unit Rate Expend'!$C$12</f>
        <v>3588</v>
      </c>
      <c r="K28" s="11">
        <f t="shared" si="2"/>
        <v>1308262.0403159873</v>
      </c>
      <c r="L28" s="22">
        <f t="shared" ca="1" si="3"/>
        <v>1732744.6929708854</v>
      </c>
      <c r="M28" s="22">
        <f ca="1">L28-K28</f>
        <v>424482.65265489812</v>
      </c>
      <c r="O28" s="1670">
        <f ca="1">M28/K28</f>
        <v>0.32446302007843314</v>
      </c>
    </row>
    <row r="29" spans="1:15" ht="16.5" thickTop="1" thickBot="1">
      <c r="A29" s="1572" t="s">
        <v>940</v>
      </c>
      <c r="B29" s="1568">
        <v>386.07389804641952</v>
      </c>
      <c r="C29" s="1657"/>
      <c r="D29" s="1657"/>
      <c r="E29" s="1566">
        <f ca="1">Int_DBT!$M$47</f>
        <v>525.88394657296783</v>
      </c>
      <c r="F29" s="1659"/>
      <c r="G29" s="1659"/>
      <c r="H29" s="1575">
        <f t="shared" ca="1" si="0"/>
        <v>139.81004852654831</v>
      </c>
      <c r="I29" s="1576">
        <f t="shared" ca="1" si="1"/>
        <v>0.36213286946878309</v>
      </c>
      <c r="J29" s="1886"/>
    </row>
    <row r="30" spans="1:15" ht="16.5" thickTop="1" thickBot="1">
      <c r="A30" s="1572" t="s">
        <v>941</v>
      </c>
      <c r="B30" s="1568">
        <v>299.36603857138306</v>
      </c>
      <c r="C30" s="1657"/>
      <c r="D30" s="1657"/>
      <c r="E30" s="1566">
        <f ca="1">Int_DBT!$M$90</f>
        <v>412.33053443884967</v>
      </c>
      <c r="F30" s="1659"/>
      <c r="G30" s="1659"/>
      <c r="H30" s="1575">
        <f t="shared" ca="1" si="0"/>
        <v>112.96449586746661</v>
      </c>
      <c r="I30" s="1576">
        <f t="shared" ca="1" si="1"/>
        <v>0.37734572834830937</v>
      </c>
      <c r="J30" s="1667"/>
      <c r="K30" s="1668"/>
      <c r="L30" s="1731"/>
      <c r="M30" s="1731"/>
      <c r="N30" s="1669"/>
      <c r="O30" s="1671"/>
    </row>
    <row r="31" spans="1:15">
      <c r="J31" s="1660">
        <f>SUM(J5:J30)</f>
        <v>3479218</v>
      </c>
      <c r="K31" s="1678">
        <f>SUM(K5:K30)</f>
        <v>288130241.8120327</v>
      </c>
      <c r="L31" s="1679">
        <f ca="1">SUM(L5:L30)</f>
        <v>409358570.20455188</v>
      </c>
      <c r="M31" s="1679">
        <f ca="1">SUM(M5:M30)</f>
        <v>121228328.39251919</v>
      </c>
      <c r="N31" s="10"/>
      <c r="O31" s="1674">
        <f ca="1">(L31-K31)/K31</f>
        <v>0.4207414245381601</v>
      </c>
    </row>
    <row r="32" spans="1:15" ht="15.75" thickBot="1">
      <c r="I32" s="780" t="s">
        <v>790</v>
      </c>
      <c r="J32" s="1679" t="s">
        <v>989</v>
      </c>
      <c r="K32" s="1681">
        <f>GETPIVOTDATA("Max Ob",'FY21 Expend Conting &amp; Occup'!$A$3)</f>
        <v>23964759.66</v>
      </c>
      <c r="L32" s="1888">
        <f>K32*(1+M1)</f>
        <v>24582046.016428374</v>
      </c>
      <c r="M32" s="1888">
        <f>L32-K32</f>
        <v>617286.35642837361</v>
      </c>
      <c r="N32" s="1682"/>
      <c r="O32" s="1683">
        <f>(L32-K32)/K32</f>
        <v>2.5758086673353837E-2</v>
      </c>
    </row>
    <row r="33" spans="2:17" ht="16.5" thickTop="1" thickBot="1">
      <c r="E33" s="1972"/>
      <c r="J33" s="1679"/>
      <c r="K33" s="1680"/>
      <c r="L33" s="1730"/>
      <c r="M33" s="1730"/>
      <c r="N33" s="10"/>
      <c r="O33" s="1674"/>
    </row>
    <row r="34" spans="2:17" ht="15.75" thickBot="1">
      <c r="J34" s="1679" t="s">
        <v>348</v>
      </c>
      <c r="K34" s="1678">
        <f>K31+K32</f>
        <v>312095001.47203273</v>
      </c>
      <c r="L34" s="1730">
        <f ca="1">L31+L32</f>
        <v>433940616.22098023</v>
      </c>
      <c r="M34" s="1730">
        <f ca="1">M31+M32</f>
        <v>121845614.74894756</v>
      </c>
      <c r="N34" s="10"/>
      <c r="O34" s="1674">
        <f ca="1">(L34-K34)/K34</f>
        <v>0.39041193923083789</v>
      </c>
      <c r="P34" s="2493"/>
      <c r="Q34" s="2494"/>
    </row>
    <row r="35" spans="2:17">
      <c r="B35" s="1757"/>
    </row>
    <row r="36" spans="2:17">
      <c r="B36" s="1757"/>
      <c r="M36" s="1660"/>
    </row>
    <row r="37" spans="2:17">
      <c r="B37" s="1757"/>
    </row>
    <row r="38" spans="2:17" ht="14.25" customHeight="1">
      <c r="B38" s="1757"/>
    </row>
    <row r="39" spans="2:17">
      <c r="J39" s="1726"/>
      <c r="K39" s="1727"/>
      <c r="L39" s="1735"/>
      <c r="M39" s="1735"/>
    </row>
    <row r="40" spans="2:17">
      <c r="J40" s="1726"/>
      <c r="K40" s="1727"/>
      <c r="L40" s="1735"/>
      <c r="M40" s="1735"/>
    </row>
    <row r="41" spans="2:17">
      <c r="J41" s="1726"/>
      <c r="K41" s="1727"/>
      <c r="L41" s="1735"/>
      <c r="M41" s="1735"/>
    </row>
  </sheetData>
  <mergeCells count="1">
    <mergeCell ref="P34:Q34"/>
  </mergeCells>
  <pageMargins left="0.7" right="0.7" top="0.75" bottom="0.75" header="0.3" footer="0.3"/>
  <pageSetup scale="7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U88"/>
  <sheetViews>
    <sheetView zoomScale="80" zoomScaleNormal="80" workbookViewId="0">
      <pane xSplit="1" ySplit="3" topLeftCell="B22" activePane="bottomRight" state="frozen"/>
      <selection pane="topRight" activeCell="B1" sqref="B1"/>
      <selection pane="bottomLeft" activeCell="A4" sqref="A4"/>
      <selection pane="bottomRight" activeCell="G46" sqref="G46"/>
    </sheetView>
  </sheetViews>
  <sheetFormatPr defaultColWidth="9.42578125" defaultRowHeight="15"/>
  <cols>
    <col min="1" max="1" width="81.5703125" customWidth="1"/>
    <col min="2" max="2" width="21.140625" bestFit="1" customWidth="1"/>
    <col min="3" max="3" width="7.5703125" bestFit="1" customWidth="1"/>
    <col min="4" max="4" width="8.5703125" bestFit="1" customWidth="1"/>
    <col min="5" max="5" width="20.42578125" customWidth="1"/>
    <col min="6" max="6" width="15.5703125" customWidth="1"/>
    <col min="7" max="7" width="12.42578125" bestFit="1" customWidth="1"/>
    <col min="8" max="8" width="13.5703125" customWidth="1"/>
    <col min="9" max="9" width="13.42578125" customWidth="1"/>
    <col min="10" max="10" width="11.85546875" style="1660" bestFit="1" customWidth="1"/>
    <col min="11" max="11" width="18" style="11" customWidth="1"/>
    <col min="12" max="12" width="22.5703125" style="22" customWidth="1"/>
    <col min="13" max="13" width="14.85546875" style="22" bestFit="1" customWidth="1"/>
    <col min="15" max="15" width="15.42578125" style="1666" customWidth="1"/>
    <col min="16" max="16" width="13.140625" customWidth="1"/>
    <col min="17" max="17" width="11.5703125" customWidth="1"/>
    <col min="18" max="18" width="21" customWidth="1"/>
    <col min="19" max="19" width="14.85546875" customWidth="1"/>
  </cols>
  <sheetData>
    <row r="2" spans="1:21" ht="21">
      <c r="A2" s="1750" t="s">
        <v>1066</v>
      </c>
      <c r="K2" s="11">
        <f>J5*B5</f>
        <v>100158710.40000001</v>
      </c>
      <c r="L2" s="22">
        <f>J5*E5</f>
        <v>102389791.54958159</v>
      </c>
    </row>
    <row r="3" spans="1:21" ht="15.75" thickBot="1">
      <c r="B3" s="1101" t="s">
        <v>922</v>
      </c>
      <c r="C3" s="1101"/>
      <c r="D3" s="1101"/>
      <c r="E3" s="1101">
        <v>2020</v>
      </c>
      <c r="F3" s="1101"/>
      <c r="G3" s="1101"/>
      <c r="H3" s="1101"/>
      <c r="J3" s="1661" t="s">
        <v>980</v>
      </c>
      <c r="K3" s="1663" t="s">
        <v>980</v>
      </c>
      <c r="R3" s="1101" t="s">
        <v>1063</v>
      </c>
    </row>
    <row r="4" spans="1:21" ht="24" customHeight="1" thickBot="1">
      <c r="A4" s="1563" t="s">
        <v>913</v>
      </c>
      <c r="B4" s="1564" t="s">
        <v>914</v>
      </c>
      <c r="C4" s="1563"/>
      <c r="D4" s="1563"/>
      <c r="E4" s="1736" t="s">
        <v>923</v>
      </c>
      <c r="F4" s="1658"/>
      <c r="G4" s="1658"/>
      <c r="H4" s="1574" t="s">
        <v>942</v>
      </c>
      <c r="I4" s="1573" t="s">
        <v>924</v>
      </c>
      <c r="J4" s="1662" t="s">
        <v>981</v>
      </c>
      <c r="K4" s="1664" t="s">
        <v>982</v>
      </c>
      <c r="L4" s="1730" t="s">
        <v>751</v>
      </c>
      <c r="M4" s="22" t="s">
        <v>987</v>
      </c>
      <c r="R4" s="1742" t="s">
        <v>987</v>
      </c>
      <c r="S4" s="1" t="s">
        <v>1064</v>
      </c>
    </row>
    <row r="5" spans="1:21" ht="16.5" thickTop="1" thickBot="1">
      <c r="A5" s="1565" t="s">
        <v>545</v>
      </c>
      <c r="B5" s="1566">
        <v>40.32</v>
      </c>
      <c r="C5" s="1655"/>
      <c r="D5" s="1655"/>
      <c r="E5" s="1571">
        <f>'Integrated Team (FY21)'!$O$47</f>
        <v>41.218146467659885</v>
      </c>
      <c r="F5" s="1659"/>
      <c r="G5" s="1659"/>
      <c r="H5" s="1575">
        <f>E5-B5</f>
        <v>0.89814646765988471</v>
      </c>
      <c r="I5" s="1576">
        <f>(E5-B5)/B5</f>
        <v>2.2275458027278885E-2</v>
      </c>
      <c r="J5" s="1660">
        <v>2484095</v>
      </c>
      <c r="K5" s="11">
        <v>100158710</v>
      </c>
      <c r="L5" s="22">
        <f>E5*J5</f>
        <v>102389791.54958159</v>
      </c>
      <c r="M5" s="22">
        <f>L5-K5</f>
        <v>2231081.5495815873</v>
      </c>
      <c r="O5" s="1670">
        <f>M5/K5</f>
        <v>2.2275462109901247E-2</v>
      </c>
      <c r="R5" s="22">
        <v>1875267.7767234892</v>
      </c>
      <c r="S5" s="1743">
        <f>M5-R5</f>
        <v>355813.77285809815</v>
      </c>
      <c r="U5" s="1666">
        <f>S5/K5</f>
        <v>3.552499556534805E-3</v>
      </c>
    </row>
    <row r="6" spans="1:21" ht="16.5" thickTop="1" thickBot="1">
      <c r="A6" s="1565" t="s">
        <v>584</v>
      </c>
      <c r="B6" s="1566">
        <v>27.89</v>
      </c>
      <c r="C6" s="1655"/>
      <c r="D6" s="1655"/>
      <c r="E6" s="1571">
        <f>'Integrated Team (FY21)'!$O$95</f>
        <v>28.72414495221259</v>
      </c>
      <c r="F6" s="1659"/>
      <c r="G6" s="1659"/>
      <c r="H6" s="1575">
        <f t="shared" ref="H6:H30" si="0">E6-B6</f>
        <v>0.83414495221258989</v>
      </c>
      <c r="I6" s="1576">
        <f t="shared" ref="I6:I30" si="1">(E6-B6)/B6</f>
        <v>2.9908388390555391E-2</v>
      </c>
      <c r="J6" s="1665">
        <v>875435</v>
      </c>
      <c r="K6" s="11">
        <v>24415882</v>
      </c>
      <c r="L6" s="22">
        <f t="shared" ref="L6:L28" si="2">E6*J6</f>
        <v>25146121.836240228</v>
      </c>
      <c r="M6" s="22">
        <f t="shared" ref="M6:M28" si="3">L6-K6</f>
        <v>730239.83624022827</v>
      </c>
      <c r="O6" s="1670">
        <f t="shared" ref="O6:O28" si="4">M6/K6</f>
        <v>2.9908394717840965E-2</v>
      </c>
      <c r="R6" s="22">
        <v>633365.26078623533</v>
      </c>
      <c r="S6" s="1743">
        <f t="shared" ref="S6:S28" si="5">M6-R6</f>
        <v>96874.575453992933</v>
      </c>
      <c r="U6" s="1666">
        <f t="shared" ref="U6:U28" si="6">S6/K6</f>
        <v>3.9676869119040191E-3</v>
      </c>
    </row>
    <row r="7" spans="1:21" ht="16.5" thickTop="1" thickBot="1">
      <c r="A7" s="1565" t="s">
        <v>915</v>
      </c>
      <c r="B7" s="1567"/>
      <c r="C7" s="1656"/>
      <c r="D7" s="1656"/>
      <c r="E7" s="1571"/>
      <c r="F7" s="1659"/>
      <c r="G7" s="1659"/>
      <c r="H7" s="1575"/>
      <c r="I7" s="1576"/>
      <c r="R7" s="22"/>
      <c r="S7" s="1743"/>
      <c r="U7" s="1666"/>
    </row>
    <row r="8" spans="1:21" ht="16.5" thickTop="1" thickBot="1">
      <c r="A8" s="1565" t="s">
        <v>916</v>
      </c>
      <c r="B8" s="1567"/>
      <c r="C8" s="1656"/>
      <c r="D8" s="1656"/>
      <c r="E8" s="1571"/>
      <c r="F8" s="1659"/>
      <c r="G8" s="1659"/>
      <c r="H8" s="1575"/>
      <c r="I8" s="1576"/>
      <c r="R8" s="22"/>
      <c r="S8" s="1743"/>
      <c r="U8" s="1666"/>
    </row>
    <row r="9" spans="1:21" ht="16.5" thickTop="1" thickBot="1">
      <c r="A9" s="1565" t="s">
        <v>925</v>
      </c>
      <c r="B9" s="1566">
        <v>241.99</v>
      </c>
      <c r="C9" s="1655">
        <f>D9-B9</f>
        <v>27.889999999999986</v>
      </c>
      <c r="D9" s="1655">
        <v>269.88</v>
      </c>
      <c r="E9" s="1571">
        <f>'GLE (FY21)'!$P$37</f>
        <v>245.77656598860119</v>
      </c>
      <c r="F9" s="1659">
        <f>E6</f>
        <v>28.72414495221259</v>
      </c>
      <c r="G9" s="1659">
        <f>F9+E9</f>
        <v>274.5007109408138</v>
      </c>
      <c r="H9" s="1575">
        <f t="shared" si="0"/>
        <v>3.7865659886011827</v>
      </c>
      <c r="I9" s="1576">
        <f t="shared" si="1"/>
        <v>1.5647613490644995E-2</v>
      </c>
      <c r="J9" s="1660">
        <v>220968</v>
      </c>
      <c r="K9" s="11">
        <v>53471834</v>
      </c>
      <c r="L9" s="22">
        <f t="shared" si="2"/>
        <v>54308756.233369231</v>
      </c>
      <c r="M9" s="22">
        <f t="shared" si="3"/>
        <v>836922.23336923122</v>
      </c>
      <c r="O9" s="1670">
        <f t="shared" si="4"/>
        <v>1.5651646311013592E-2</v>
      </c>
      <c r="R9" s="22">
        <v>798745.03249488771</v>
      </c>
      <c r="S9" s="1743">
        <f t="shared" si="5"/>
        <v>38177.200874343514</v>
      </c>
      <c r="U9" s="1666">
        <f t="shared" si="6"/>
        <v>7.1396842072676088E-4</v>
      </c>
    </row>
    <row r="10" spans="1:21" ht="16.5" thickTop="1" thickBot="1">
      <c r="A10" s="1565" t="s">
        <v>926</v>
      </c>
      <c r="B10" s="1566">
        <v>171.08</v>
      </c>
      <c r="C10" s="1655">
        <f>D10-B10</f>
        <v>27.889999999999986</v>
      </c>
      <c r="D10" s="1655">
        <v>198.97</v>
      </c>
      <c r="E10" s="1571">
        <f>'GLE (FY21)'!$V$37</f>
        <v>173.85244704823117</v>
      </c>
      <c r="F10" s="1659">
        <f>E6</f>
        <v>28.72414495221259</v>
      </c>
      <c r="G10" s="1659">
        <f>F10+E10</f>
        <v>202.57659200044375</v>
      </c>
      <c r="H10" s="1575">
        <f t="shared" si="0"/>
        <v>2.7724470482311574</v>
      </c>
      <c r="I10" s="1576">
        <f t="shared" si="1"/>
        <v>1.6205559084820888E-2</v>
      </c>
      <c r="J10" s="1660">
        <v>378478</v>
      </c>
      <c r="K10" s="11">
        <v>64750017</v>
      </c>
      <c r="L10" s="22">
        <f t="shared" si="2"/>
        <v>65799326.453920439</v>
      </c>
      <c r="M10" s="22">
        <f t="shared" si="3"/>
        <v>1049309.4539204389</v>
      </c>
      <c r="O10" s="1670">
        <f t="shared" si="4"/>
        <v>1.6205547157160421E-2</v>
      </c>
      <c r="R10" s="22">
        <v>1003730.4701733664</v>
      </c>
      <c r="S10" s="1743">
        <f t="shared" si="5"/>
        <v>45578.983747072518</v>
      </c>
      <c r="U10" s="1666">
        <f t="shared" si="6"/>
        <v>7.0392234409872852E-4</v>
      </c>
    </row>
    <row r="11" spans="1:21" ht="16.5" thickTop="1" thickBot="1">
      <c r="A11" s="1565" t="s">
        <v>927</v>
      </c>
      <c r="B11" s="1566">
        <v>138.85</v>
      </c>
      <c r="C11" s="1655">
        <f>B6</f>
        <v>27.89</v>
      </c>
      <c r="D11" s="1655">
        <f>SUM(B11:C11)</f>
        <v>166.74</v>
      </c>
      <c r="E11" s="1571">
        <f>'GLE (FY21)'!$AB$37</f>
        <v>141.15966571169938</v>
      </c>
      <c r="F11" s="1659">
        <f>E6</f>
        <v>28.72414495221259</v>
      </c>
      <c r="G11" s="1659">
        <f>SUM(E11:F11)</f>
        <v>169.88381066391196</v>
      </c>
      <c r="H11" s="1575">
        <f t="shared" si="0"/>
        <v>2.3096657116993811</v>
      </c>
      <c r="I11" s="1576">
        <f t="shared" si="1"/>
        <v>1.6634250714435587E-2</v>
      </c>
      <c r="J11" s="1660">
        <v>181359</v>
      </c>
      <c r="K11" s="11">
        <v>25181697</v>
      </c>
      <c r="L11" s="22">
        <f t="shared" si="2"/>
        <v>25600575.813808087</v>
      </c>
      <c r="M11" s="22">
        <f t="shared" si="3"/>
        <v>418878.81380808726</v>
      </c>
      <c r="O11" s="1670">
        <f t="shared" si="4"/>
        <v>1.6634256770228284E-2</v>
      </c>
      <c r="R11" s="22">
        <v>401353.43553339317</v>
      </c>
      <c r="S11" s="1743">
        <f t="shared" si="5"/>
        <v>17525.378274694085</v>
      </c>
      <c r="U11" s="1666">
        <f t="shared" si="6"/>
        <v>6.9595699903362684E-4</v>
      </c>
    </row>
    <row r="12" spans="1:21" ht="16.5" thickTop="1" thickBot="1">
      <c r="A12" s="1565" t="s">
        <v>917</v>
      </c>
      <c r="B12" s="1567"/>
      <c r="C12" s="1656"/>
      <c r="D12" s="1656"/>
      <c r="E12" s="1571"/>
      <c r="F12" s="1659"/>
      <c r="G12" s="1659"/>
      <c r="H12" s="1575"/>
      <c r="I12" s="1576"/>
      <c r="R12" s="22"/>
      <c r="S12" s="1743"/>
      <c r="U12" s="1666"/>
    </row>
    <row r="13" spans="1:21" ht="16.5" thickTop="1" thickBot="1">
      <c r="A13" s="1565" t="s">
        <v>918</v>
      </c>
      <c r="B13" s="1566">
        <v>59.37</v>
      </c>
      <c r="C13" s="1655"/>
      <c r="D13" s="1655"/>
      <c r="E13" s="1571">
        <f>'GLE (FY21)'!$P$73</f>
        <v>61.60544559956606</v>
      </c>
      <c r="F13" s="1659"/>
      <c r="G13" s="1659"/>
      <c r="H13" s="1575">
        <f t="shared" si="0"/>
        <v>2.2354455995660629</v>
      </c>
      <c r="I13" s="1576">
        <f t="shared" si="1"/>
        <v>3.7652780858448087E-2</v>
      </c>
      <c r="J13" s="1660">
        <v>42014</v>
      </c>
      <c r="K13" s="11">
        <v>2494372</v>
      </c>
      <c r="L13" s="22">
        <f t="shared" si="2"/>
        <v>2588291.1914201686</v>
      </c>
      <c r="M13" s="22">
        <f t="shared" si="3"/>
        <v>93919.191420168616</v>
      </c>
      <c r="O13" s="1670">
        <f t="shared" si="4"/>
        <v>3.7652439740411062E-2</v>
      </c>
      <c r="R13" s="22">
        <v>92327.729036003817</v>
      </c>
      <c r="S13" s="1743">
        <f t="shared" si="5"/>
        <v>1591.462384164799</v>
      </c>
      <c r="U13" s="1666">
        <f t="shared" si="6"/>
        <v>6.3802126714251081E-4</v>
      </c>
    </row>
    <row r="14" spans="1:21" ht="16.5" thickTop="1" thickBot="1">
      <c r="A14" s="1565" t="s">
        <v>919</v>
      </c>
      <c r="B14" s="1566">
        <v>46.57</v>
      </c>
      <c r="C14" s="1655"/>
      <c r="D14" s="1655"/>
      <c r="E14" s="1571">
        <f>'GLE (FY21)'!$V$73</f>
        <v>48.529553639674553</v>
      </c>
      <c r="F14" s="1659"/>
      <c r="G14" s="1659"/>
      <c r="H14" s="1575">
        <f t="shared" si="0"/>
        <v>1.959553639674553</v>
      </c>
      <c r="I14" s="1576">
        <f t="shared" si="1"/>
        <v>4.2077595870185808E-2</v>
      </c>
      <c r="J14" s="1660">
        <v>40507</v>
      </c>
      <c r="K14" s="11">
        <v>1886411</v>
      </c>
      <c r="L14" s="22">
        <f t="shared" si="2"/>
        <v>1965786.6292822971</v>
      </c>
      <c r="M14" s="22">
        <f t="shared" si="3"/>
        <v>79375.629282297101</v>
      </c>
      <c r="O14" s="1670">
        <f t="shared" si="4"/>
        <v>4.2077590346057729E-2</v>
      </c>
      <c r="R14" s="22">
        <v>78224.845612650504</v>
      </c>
      <c r="S14" s="1743">
        <f t="shared" si="5"/>
        <v>1150.7836696465965</v>
      </c>
      <c r="U14" s="1666">
        <f t="shared" si="6"/>
        <v>6.1003867643191041E-4</v>
      </c>
    </row>
    <row r="15" spans="1:21" ht="16.5" thickTop="1" thickBot="1">
      <c r="A15" s="1565" t="s">
        <v>920</v>
      </c>
      <c r="B15" s="1566">
        <v>33.76</v>
      </c>
      <c r="C15" s="1655"/>
      <c r="D15" s="1655"/>
      <c r="E15" s="1571">
        <f>'GLE (FY21)'!$AB$73</f>
        <v>35.453661679783032</v>
      </c>
      <c r="F15" s="1659"/>
      <c r="G15" s="1659"/>
      <c r="H15" s="1575">
        <f t="shared" si="0"/>
        <v>1.6936616797830339</v>
      </c>
      <c r="I15" s="1576">
        <f t="shared" si="1"/>
        <v>5.0167703785042476E-2</v>
      </c>
      <c r="J15" s="1660">
        <v>12109</v>
      </c>
      <c r="K15" s="11">
        <v>408800</v>
      </c>
      <c r="L15" s="22">
        <f t="shared" si="2"/>
        <v>429308.38928049273</v>
      </c>
      <c r="M15" s="22">
        <f t="shared" si="3"/>
        <v>20508.389280492731</v>
      </c>
      <c r="O15" s="1670">
        <f t="shared" si="4"/>
        <v>5.016729276050081E-2</v>
      </c>
      <c r="R15" s="22">
        <v>20279.048846234509</v>
      </c>
      <c r="S15" s="1743">
        <f t="shared" si="5"/>
        <v>229.34043425822165</v>
      </c>
      <c r="U15" s="1666">
        <f t="shared" si="6"/>
        <v>5.6100889006414293E-4</v>
      </c>
    </row>
    <row r="16" spans="1:21" ht="16.5" thickTop="1" thickBot="1">
      <c r="A16" s="1565" t="s">
        <v>921</v>
      </c>
      <c r="B16" s="1567"/>
      <c r="C16" s="1656"/>
      <c r="D16" s="1656"/>
      <c r="E16" s="1571"/>
      <c r="F16" s="1659"/>
      <c r="G16" s="1659"/>
      <c r="H16" s="1575"/>
      <c r="I16" s="1576"/>
      <c r="R16" s="22"/>
      <c r="S16" s="1743"/>
      <c r="U16" s="1666"/>
    </row>
    <row r="17" spans="1:21" ht="16.5" thickTop="1" thickBot="1">
      <c r="A17" s="1565" t="s">
        <v>928</v>
      </c>
      <c r="B17" s="1568">
        <v>386.73</v>
      </c>
      <c r="C17" s="1657"/>
      <c r="D17" s="1657"/>
      <c r="E17" s="1571">
        <f>'Med_Int_Spec (FY21)'!$M$45</f>
        <v>395.66733997875275</v>
      </c>
      <c r="F17" s="1659"/>
      <c r="G17" s="1659"/>
      <c r="H17" s="1575">
        <f t="shared" si="0"/>
        <v>8.9373399787527319</v>
      </c>
      <c r="I17" s="1576">
        <f t="shared" si="1"/>
        <v>2.3110025027157789E-2</v>
      </c>
      <c r="J17" s="1660">
        <v>9333</v>
      </c>
      <c r="K17" s="11">
        <v>3609351</v>
      </c>
      <c r="L17" s="22">
        <f t="shared" si="2"/>
        <v>3692763.2840216993</v>
      </c>
      <c r="M17" s="22">
        <f t="shared" si="3"/>
        <v>83412.284021699335</v>
      </c>
      <c r="O17" s="1670">
        <f t="shared" si="4"/>
        <v>2.311005053864236E-2</v>
      </c>
      <c r="R17" s="22">
        <v>80820.424799474888</v>
      </c>
      <c r="S17" s="1743">
        <f t="shared" si="5"/>
        <v>2591.8592222244479</v>
      </c>
      <c r="U17" s="1666">
        <f t="shared" si="6"/>
        <v>7.1809564163320433E-4</v>
      </c>
    </row>
    <row r="18" spans="1:21" ht="16.5" thickTop="1" thickBot="1">
      <c r="A18" s="1565" t="s">
        <v>929</v>
      </c>
      <c r="B18" s="1568">
        <v>322.33</v>
      </c>
      <c r="C18" s="1657"/>
      <c r="D18" s="1657"/>
      <c r="E18" s="1571">
        <f>'Med_Int_Spec (FY21)'!$M$85</f>
        <v>328.22907300409656</v>
      </c>
      <c r="F18" s="1659"/>
      <c r="G18" s="1659"/>
      <c r="H18" s="1575">
        <f t="shared" si="0"/>
        <v>5.8990730040965786</v>
      </c>
      <c r="I18" s="1576">
        <f t="shared" si="1"/>
        <v>1.8301346458897957E-2</v>
      </c>
      <c r="J18" s="1660">
        <v>14230</v>
      </c>
      <c r="K18" s="11">
        <v>4586756</v>
      </c>
      <c r="L18" s="22">
        <f t="shared" si="2"/>
        <v>4670699.7088482939</v>
      </c>
      <c r="M18" s="22">
        <f t="shared" si="3"/>
        <v>83943.708848293871</v>
      </c>
      <c r="O18" s="1670">
        <f t="shared" si="4"/>
        <v>1.8301324257992767E-2</v>
      </c>
      <c r="R18" s="22">
        <v>80682.04447428789</v>
      </c>
      <c r="S18" s="1743">
        <f t="shared" si="5"/>
        <v>3261.6643740059808</v>
      </c>
      <c r="U18" s="1666">
        <f t="shared" si="6"/>
        <v>7.1110483618618057E-4</v>
      </c>
    </row>
    <row r="19" spans="1:21" ht="16.5" thickTop="1" thickBot="1">
      <c r="A19" s="1565" t="s">
        <v>930</v>
      </c>
      <c r="B19" s="1568">
        <v>290.61</v>
      </c>
      <c r="C19" s="1657"/>
      <c r="D19" s="1657"/>
      <c r="E19" s="1571">
        <f>'Med_Int_Spec (FY21)'!$M$123</f>
        <v>295.93743199709513</v>
      </c>
      <c r="F19" s="1659"/>
      <c r="G19" s="1659"/>
      <c r="H19" s="1575">
        <f t="shared" si="0"/>
        <v>5.3274319970951183</v>
      </c>
      <c r="I19" s="1576">
        <f t="shared" si="1"/>
        <v>1.8331894969530017E-2</v>
      </c>
      <c r="J19" s="1660">
        <v>3568</v>
      </c>
      <c r="K19" s="11">
        <v>1036896</v>
      </c>
      <c r="L19" s="22">
        <f t="shared" si="2"/>
        <v>1055904.7573656354</v>
      </c>
      <c r="M19" s="22">
        <f t="shared" si="3"/>
        <v>19008.757365635363</v>
      </c>
      <c r="O19" s="1670">
        <f t="shared" si="4"/>
        <v>1.8332366375832642E-2</v>
      </c>
      <c r="R19" s="22">
        <v>18273.771185189951</v>
      </c>
      <c r="S19" s="1743">
        <f t="shared" si="5"/>
        <v>734.98618044541217</v>
      </c>
      <c r="U19" s="1666">
        <f t="shared" si="6"/>
        <v>7.0883307529917387E-4</v>
      </c>
    </row>
    <row r="20" spans="1:21" ht="16.5" thickTop="1" thickBot="1">
      <c r="A20" s="1565" t="s">
        <v>931</v>
      </c>
      <c r="B20" s="1568">
        <v>395.91</v>
      </c>
      <c r="C20" s="1657"/>
      <c r="D20" s="1657"/>
      <c r="E20" s="1571">
        <f>'Int_Beh (FY21)'!$M$42</f>
        <v>403.62394013326372</v>
      </c>
      <c r="F20" s="1659"/>
      <c r="G20" s="1659"/>
      <c r="H20" s="1575">
        <f t="shared" si="0"/>
        <v>7.7139401332636908</v>
      </c>
      <c r="I20" s="1576">
        <f t="shared" si="1"/>
        <v>1.948407500003458E-2</v>
      </c>
      <c r="J20" s="1660">
        <v>7567</v>
      </c>
      <c r="K20" s="11">
        <v>2995851</v>
      </c>
      <c r="L20" s="22">
        <f t="shared" si="2"/>
        <v>3054222.3549884064</v>
      </c>
      <c r="M20" s="22">
        <f t="shared" si="3"/>
        <v>58371.354988406412</v>
      </c>
      <c r="O20" s="1670">
        <f t="shared" si="4"/>
        <v>1.9484064791074861E-2</v>
      </c>
      <c r="R20" s="22">
        <v>56246.307774862275</v>
      </c>
      <c r="S20" s="1743">
        <f t="shared" si="5"/>
        <v>2125.0472135441378</v>
      </c>
      <c r="U20" s="1666">
        <f t="shared" si="6"/>
        <v>7.0933007467465436E-4</v>
      </c>
    </row>
    <row r="21" spans="1:21" ht="16.5" thickTop="1" thickBot="1">
      <c r="A21" s="1565" t="s">
        <v>932</v>
      </c>
      <c r="B21" s="1568">
        <v>296.63</v>
      </c>
      <c r="C21" s="1657"/>
      <c r="D21" s="1657"/>
      <c r="E21" s="1571">
        <f>'Int_Beh (FY21)'!$M$76</f>
        <v>306.31304534251416</v>
      </c>
      <c r="F21" s="1659"/>
      <c r="G21" s="1659"/>
      <c r="H21" s="1575">
        <f t="shared" si="0"/>
        <v>9.6830453425141627</v>
      </c>
      <c r="I21" s="1576">
        <f t="shared" si="1"/>
        <v>3.2643513274160277E-2</v>
      </c>
      <c r="J21" s="1660">
        <v>14549</v>
      </c>
      <c r="K21" s="11">
        <v>4315670</v>
      </c>
      <c r="L21" s="22">
        <f t="shared" si="2"/>
        <v>4456548.4966882383</v>
      </c>
      <c r="M21" s="22">
        <f t="shared" si="3"/>
        <v>140878.49668823835</v>
      </c>
      <c r="O21" s="1670">
        <f t="shared" si="4"/>
        <v>3.2643482168061587E-2</v>
      </c>
      <c r="R21" s="22">
        <v>137875.93200834002</v>
      </c>
      <c r="S21" s="1743">
        <f t="shared" si="5"/>
        <v>3002.5646798983216</v>
      </c>
      <c r="U21" s="1666">
        <f t="shared" si="6"/>
        <v>6.9573546631191026E-4</v>
      </c>
    </row>
    <row r="22" spans="1:21" ht="16.5" thickTop="1" thickBot="1">
      <c r="A22" s="1565" t="s">
        <v>933</v>
      </c>
      <c r="B22" s="1568">
        <v>252.78</v>
      </c>
      <c r="C22" s="1657">
        <f>D22-B22</f>
        <v>43.619999999999976</v>
      </c>
      <c r="D22" s="1657">
        <v>296.39999999999998</v>
      </c>
      <c r="E22" s="1571">
        <f>'Int_Beh (FY21)'!$M$112</f>
        <v>264.07861958972148</v>
      </c>
      <c r="F22" s="1659"/>
      <c r="G22" s="1659"/>
      <c r="H22" s="1575">
        <f t="shared" si="0"/>
        <v>11.298619589721483</v>
      </c>
      <c r="I22" s="1576">
        <f t="shared" si="1"/>
        <v>4.4697442795005468E-2</v>
      </c>
      <c r="J22" s="1660">
        <v>4346</v>
      </c>
      <c r="K22" s="11">
        <v>1098582</v>
      </c>
      <c r="L22" s="22">
        <f t="shared" si="2"/>
        <v>1147685.6807369296</v>
      </c>
      <c r="M22" s="22">
        <f t="shared" si="3"/>
        <v>49103.680736929644</v>
      </c>
      <c r="O22" s="1670">
        <f t="shared" si="4"/>
        <v>4.4697328680908338E-2</v>
      </c>
      <c r="R22" s="22">
        <v>48353.85274640331</v>
      </c>
      <c r="S22" s="1743">
        <f t="shared" si="5"/>
        <v>749.82799052633345</v>
      </c>
      <c r="U22" s="1666">
        <f t="shared" si="6"/>
        <v>6.8254166782846749E-4</v>
      </c>
    </row>
    <row r="23" spans="1:21" ht="16.5" thickTop="1" thickBot="1">
      <c r="A23" s="1572" t="s">
        <v>934</v>
      </c>
      <c r="B23" s="1568">
        <v>321.33</v>
      </c>
      <c r="C23" s="1657"/>
      <c r="D23" s="1657"/>
      <c r="E23" s="1571">
        <f>'Int_Beh (FY21)'!$M$155</f>
        <v>329.05077138805308</v>
      </c>
      <c r="F23" s="1659"/>
      <c r="G23" s="1659"/>
      <c r="H23" s="1575">
        <f t="shared" si="0"/>
        <v>7.7207713880530946</v>
      </c>
      <c r="I23" s="1576">
        <f t="shared" si="1"/>
        <v>2.4027546099191159E-2</v>
      </c>
      <c r="R23" s="22"/>
      <c r="S23" s="1743"/>
      <c r="U23" s="1666"/>
    </row>
    <row r="24" spans="1:21" ht="16.5" thickTop="1" thickBot="1">
      <c r="A24" s="1572" t="s">
        <v>935</v>
      </c>
      <c r="B24" s="1568">
        <v>220.35</v>
      </c>
      <c r="C24" s="1657"/>
      <c r="D24" s="1657"/>
      <c r="E24" s="1571">
        <f>'Int_Beh (FY21)'!$M$197</f>
        <v>229.15141793807135</v>
      </c>
      <c r="F24" s="1659"/>
      <c r="G24" s="1659"/>
      <c r="H24" s="1575">
        <f t="shared" si="0"/>
        <v>8.8014179380713529</v>
      </c>
      <c r="I24" s="1576">
        <f t="shared" si="1"/>
        <v>3.994289965087975E-2</v>
      </c>
      <c r="J24" s="1660">
        <v>4378</v>
      </c>
      <c r="K24" s="11">
        <v>964692</v>
      </c>
      <c r="L24" s="22">
        <f t="shared" si="2"/>
        <v>1003224.9077328764</v>
      </c>
      <c r="M24" s="22">
        <f t="shared" si="3"/>
        <v>38532.907732876367</v>
      </c>
      <c r="O24" s="1670">
        <f t="shared" si="4"/>
        <v>3.9943223052410888E-2</v>
      </c>
      <c r="R24" s="22">
        <v>37862.243976476835</v>
      </c>
      <c r="S24" s="1743">
        <f t="shared" si="5"/>
        <v>670.66375639953185</v>
      </c>
      <c r="U24" s="1666">
        <f t="shared" si="6"/>
        <v>6.9521023953710806E-4</v>
      </c>
    </row>
    <row r="25" spans="1:21" ht="16.5" thickTop="1" thickBot="1">
      <c r="A25" s="1565" t="s">
        <v>936</v>
      </c>
      <c r="B25" s="1568">
        <v>377.55</v>
      </c>
      <c r="C25" s="1657"/>
      <c r="D25" s="1657"/>
      <c r="E25" s="1571">
        <f>'Int_Fire_Safety (FY21)'!$M$48</f>
        <v>384.54215675982607</v>
      </c>
      <c r="F25" s="1659"/>
      <c r="G25" s="1659"/>
      <c r="H25" s="1575">
        <f t="shared" si="0"/>
        <v>6.9921567598260594</v>
      </c>
      <c r="I25" s="1576">
        <f t="shared" si="1"/>
        <v>1.85198166066112E-2</v>
      </c>
      <c r="R25" s="22"/>
      <c r="S25" s="1743"/>
      <c r="U25" s="1666"/>
    </row>
    <row r="26" spans="1:21" ht="16.5" thickTop="1" thickBot="1">
      <c r="A26" s="1565" t="s">
        <v>937</v>
      </c>
      <c r="B26" s="1568">
        <v>450.98</v>
      </c>
      <c r="C26" s="1657"/>
      <c r="D26" s="1657"/>
      <c r="E26" s="1571">
        <f>'Clin_Int (FY21)'!$L$45</f>
        <v>458.31480795177919</v>
      </c>
      <c r="F26" s="1659"/>
      <c r="G26" s="1659"/>
      <c r="H26" s="1575">
        <f t="shared" si="0"/>
        <v>7.3348079517791689</v>
      </c>
      <c r="I26" s="1576">
        <f t="shared" si="1"/>
        <v>1.6264153514078603E-2</v>
      </c>
      <c r="J26" s="1660">
        <v>5282</v>
      </c>
      <c r="K26" s="11">
        <v>2382076</v>
      </c>
      <c r="L26" s="22">
        <f t="shared" si="2"/>
        <v>2420818.8156012977</v>
      </c>
      <c r="M26" s="22">
        <f t="shared" si="3"/>
        <v>38742.815601297654</v>
      </c>
      <c r="O26" s="1670">
        <f t="shared" si="4"/>
        <v>1.6264307100738035E-2</v>
      </c>
      <c r="R26" s="22">
        <v>37034.51935012592</v>
      </c>
      <c r="S26" s="1743">
        <f t="shared" si="5"/>
        <v>1708.2962511717342</v>
      </c>
      <c r="U26" s="1666">
        <f t="shared" si="6"/>
        <v>7.1714598995654803E-4</v>
      </c>
    </row>
    <row r="27" spans="1:21" ht="16.5" thickTop="1" thickBot="1">
      <c r="A27" s="1565" t="s">
        <v>938</v>
      </c>
      <c r="B27" s="1568">
        <v>395.72</v>
      </c>
      <c r="C27" s="1657"/>
      <c r="D27" s="1657"/>
      <c r="E27" s="1571">
        <f>'Clin_Int (FY21)'!$F$98</f>
        <v>402.33322394882401</v>
      </c>
      <c r="F27" s="1659"/>
      <c r="G27" s="1659"/>
      <c r="H27" s="1575">
        <f t="shared" si="0"/>
        <v>6.6132239488239861</v>
      </c>
      <c r="I27" s="1576">
        <f t="shared" si="1"/>
        <v>1.6711876955483641E-2</v>
      </c>
      <c r="J27" s="1660">
        <v>8997</v>
      </c>
      <c r="K27" s="11">
        <v>3560293</v>
      </c>
      <c r="L27" s="22">
        <f t="shared" si="2"/>
        <v>3619792.0158675695</v>
      </c>
      <c r="M27" s="22">
        <f t="shared" si="3"/>
        <v>59499.015867569484</v>
      </c>
      <c r="O27" s="1670">
        <f t="shared" si="4"/>
        <v>1.6711831264328382E-2</v>
      </c>
      <c r="R27" s="22">
        <v>56955.401162718423</v>
      </c>
      <c r="S27" s="1743">
        <f t="shared" si="5"/>
        <v>2543.6147048510611</v>
      </c>
      <c r="U27" s="1666">
        <f t="shared" si="6"/>
        <v>7.1443971180210758E-4</v>
      </c>
    </row>
    <row r="28" spans="1:21" ht="16.5" thickTop="1" thickBot="1">
      <c r="A28" s="1565" t="s">
        <v>939</v>
      </c>
      <c r="B28" s="1568">
        <v>359.61</v>
      </c>
      <c r="C28" s="1657"/>
      <c r="D28" s="1657"/>
      <c r="E28" s="1571">
        <f>'Clin_Int (FY21)'!$L$97</f>
        <v>364.62152740133428</v>
      </c>
      <c r="F28" s="1659"/>
      <c r="G28" s="1659"/>
      <c r="H28" s="1575">
        <f t="shared" si="0"/>
        <v>5.0115274013342628</v>
      </c>
      <c r="I28" s="1576">
        <f t="shared" si="1"/>
        <v>1.3936006788838638E-2</v>
      </c>
      <c r="J28" s="1660">
        <v>3308</v>
      </c>
      <c r="K28" s="11">
        <v>1189590</v>
      </c>
      <c r="L28" s="22">
        <f t="shared" si="2"/>
        <v>1206168.0126436139</v>
      </c>
      <c r="M28" s="22">
        <f t="shared" si="3"/>
        <v>16578.012643613853</v>
      </c>
      <c r="O28" s="1670">
        <f t="shared" si="4"/>
        <v>1.3935904507951355E-2</v>
      </c>
      <c r="R28" s="22">
        <v>15733.50710955495</v>
      </c>
      <c r="S28" s="1743">
        <f t="shared" si="5"/>
        <v>844.50553405890241</v>
      </c>
      <c r="U28" s="1666">
        <f t="shared" si="6"/>
        <v>7.0991310792701894E-4</v>
      </c>
    </row>
    <row r="29" spans="1:21" ht="16.5" thickTop="1" thickBot="1">
      <c r="A29" s="1572" t="s">
        <v>940</v>
      </c>
      <c r="B29" s="1568">
        <v>379.36</v>
      </c>
      <c r="C29" s="1657"/>
      <c r="D29" s="1657"/>
      <c r="E29" s="1571">
        <f>'Int_DBT(FY21)'!$M$47</f>
        <v>386.07389804641952</v>
      </c>
      <c r="F29" s="1659"/>
      <c r="G29" s="1659"/>
      <c r="H29" s="1575">
        <f t="shared" si="0"/>
        <v>6.7138980464195015</v>
      </c>
      <c r="I29" s="1576">
        <f t="shared" si="1"/>
        <v>1.7697959843999106E-2</v>
      </c>
      <c r="R29" s="22"/>
      <c r="S29" s="1743"/>
    </row>
    <row r="30" spans="1:21" ht="16.5" thickTop="1" thickBot="1">
      <c r="A30" s="1572" t="s">
        <v>941</v>
      </c>
      <c r="B30" s="1568">
        <v>294.89999999999998</v>
      </c>
      <c r="C30" s="1657"/>
      <c r="D30" s="1657"/>
      <c r="E30" s="1571">
        <f>'Int_DBT(FY21)'!$M$90</f>
        <v>299.36603857138306</v>
      </c>
      <c r="F30" s="1659"/>
      <c r="G30" s="1659"/>
      <c r="H30" s="1575">
        <f t="shared" si="0"/>
        <v>4.4660385713830806</v>
      </c>
      <c r="I30" s="1576">
        <f t="shared" si="1"/>
        <v>1.5144247444500105E-2</v>
      </c>
      <c r="J30" s="1667"/>
      <c r="K30" s="1668"/>
      <c r="L30" s="1731"/>
      <c r="M30" s="1731"/>
      <c r="N30" s="1669"/>
      <c r="O30" s="1671"/>
      <c r="R30" s="1731"/>
      <c r="S30" s="1744"/>
      <c r="T30" s="1669"/>
      <c r="U30" s="1669"/>
    </row>
    <row r="31" spans="1:21">
      <c r="K31" s="1678">
        <f>SUM(K5:K30)</f>
        <v>298507480</v>
      </c>
      <c r="L31" s="1730">
        <f>SUM(L5:L30)</f>
        <v>304555786.13139719</v>
      </c>
      <c r="M31" s="1730">
        <f>SUM(M5:M30)</f>
        <v>6048306.1313970918</v>
      </c>
      <c r="N31" s="10"/>
      <c r="O31" s="1674">
        <f>(L31-K31)/K31</f>
        <v>2.0261824364994765E-2</v>
      </c>
      <c r="R31" s="1745">
        <f>SUM(R5:R30)</f>
        <v>5473131.6037936956</v>
      </c>
      <c r="S31" s="1745">
        <f>SUM(S5:S30)</f>
        <v>575174.52760339668</v>
      </c>
      <c r="T31" s="10"/>
      <c r="U31" s="1674">
        <f>S31/K31</f>
        <v>1.9268345557149746E-3</v>
      </c>
    </row>
    <row r="32" spans="1:21" ht="15.75" thickBot="1">
      <c r="I32" s="780" t="s">
        <v>790</v>
      </c>
      <c r="J32" s="1679" t="s">
        <v>989</v>
      </c>
      <c r="K32" s="1681">
        <v>20013089.66</v>
      </c>
      <c r="L32" s="1732">
        <f>K32*('CAF 2019 Fall'!BZ25+1)</f>
        <v>20368927.374805659</v>
      </c>
      <c r="M32" s="1732">
        <f>L32-K32</f>
        <v>355837.71480565891</v>
      </c>
      <c r="N32" s="1682"/>
      <c r="O32" s="1683">
        <f>(L32-K32)/K32</f>
        <v>1.7780248869661983E-2</v>
      </c>
    </row>
    <row r="33" spans="1:18" ht="16.5" thickTop="1" thickBot="1">
      <c r="J33" s="1679"/>
      <c r="K33" s="1680"/>
      <c r="L33" s="1730"/>
      <c r="M33" s="1730"/>
      <c r="N33" s="10"/>
      <c r="O33" s="1674"/>
    </row>
    <row r="34" spans="1:18" ht="15.75" thickBot="1">
      <c r="J34" s="1679" t="s">
        <v>348</v>
      </c>
      <c r="K34" s="1678">
        <f>K31+K32</f>
        <v>318520569.66000003</v>
      </c>
      <c r="L34" s="1730">
        <f>L31+L32</f>
        <v>324924713.50620282</v>
      </c>
      <c r="M34" s="1730">
        <f>M31+M32</f>
        <v>6404143.8462027507</v>
      </c>
      <c r="N34" s="10"/>
      <c r="O34" s="1674">
        <f>(L34-K34)/K34</f>
        <v>2.0105903530936158E-2</v>
      </c>
      <c r="P34" s="2493" t="s">
        <v>1065</v>
      </c>
      <c r="Q34" s="2494"/>
    </row>
    <row r="35" spans="1:18" ht="15.75" thickBot="1"/>
    <row r="36" spans="1:18" ht="15.75" thickBot="1">
      <c r="H36" s="2493" t="s">
        <v>1060</v>
      </c>
      <c r="I36" s="2495"/>
      <c r="J36" s="1737" t="s">
        <v>348</v>
      </c>
      <c r="K36" s="1740">
        <v>318520569.66000003</v>
      </c>
      <c r="L36" s="1738">
        <v>324349538.97859943</v>
      </c>
      <c r="M36" s="1738">
        <v>5828969.3185993545</v>
      </c>
      <c r="N36" s="702"/>
      <c r="O36" s="1739">
        <v>1.8300134665781391E-2</v>
      </c>
    </row>
    <row r="37" spans="1:18" ht="21.75" thickBot="1">
      <c r="A37" s="1748" t="s">
        <v>1061</v>
      </c>
      <c r="B37" s="1741"/>
      <c r="F37" s="1754"/>
    </row>
    <row r="38" spans="1:18" ht="21">
      <c r="A38" s="1746" t="s">
        <v>1062</v>
      </c>
      <c r="B38" s="1756">
        <f>207862.735163124</f>
        <v>207862.73516312399</v>
      </c>
      <c r="C38" s="1751">
        <f>B38/K36</f>
        <v>6.5258810564417836E-4</v>
      </c>
      <c r="E38" s="17"/>
      <c r="F38" s="1"/>
      <c r="H38" s="795"/>
      <c r="L38" s="22">
        <f>L34-L36</f>
        <v>575174.52760338783</v>
      </c>
      <c r="M38" s="1660">
        <f>M34-M36</f>
        <v>575174.52760339621</v>
      </c>
      <c r="O38" s="1666">
        <f>O34-O36</f>
        <v>1.8057688651547665E-3</v>
      </c>
      <c r="R38">
        <f>20013090*1.0178</f>
        <v>20369323.002</v>
      </c>
    </row>
    <row r="39" spans="1:18" ht="21">
      <c r="A39" s="1746"/>
      <c r="B39" s="1756"/>
      <c r="C39" s="1751"/>
      <c r="E39" s="17"/>
      <c r="F39" s="1"/>
      <c r="H39" s="795"/>
      <c r="L39" s="22" t="s">
        <v>1069</v>
      </c>
      <c r="M39" s="22">
        <v>222477</v>
      </c>
      <c r="N39" t="s">
        <v>1072</v>
      </c>
    </row>
    <row r="40" spans="1:18" ht="21">
      <c r="A40" s="1746" t="s">
        <v>1067</v>
      </c>
      <c r="B40" s="1752">
        <v>198447.06760616973</v>
      </c>
      <c r="C40" s="1751">
        <f>B40/K36</f>
        <v>6.2302747925510452E-4</v>
      </c>
      <c r="F40" s="1"/>
      <c r="G40" s="795"/>
      <c r="L40" s="22" t="s">
        <v>1070</v>
      </c>
      <c r="M40" s="22">
        <v>198477</v>
      </c>
      <c r="N40" t="s">
        <v>1073</v>
      </c>
    </row>
    <row r="41" spans="1:18" ht="21.75" thickBot="1">
      <c r="A41" s="1746" t="s">
        <v>1068</v>
      </c>
      <c r="B41" s="1752">
        <v>168864.72</v>
      </c>
      <c r="C41" s="1751">
        <f>B41/K36</f>
        <v>5.3015326507877371E-4</v>
      </c>
      <c r="E41" s="17"/>
      <c r="F41" s="1"/>
      <c r="H41" s="795"/>
      <c r="K41" s="1666"/>
      <c r="L41" s="22" t="s">
        <v>1071</v>
      </c>
      <c r="M41" s="1761">
        <v>154221</v>
      </c>
      <c r="N41" t="s">
        <v>1073</v>
      </c>
    </row>
    <row r="42" spans="1:18" ht="21.75" thickTop="1">
      <c r="A42" s="1746"/>
      <c r="B42" s="1752"/>
      <c r="C42" s="779"/>
      <c r="E42" s="795"/>
      <c r="K42" s="1753"/>
    </row>
    <row r="43" spans="1:18" ht="21.75" thickBot="1">
      <c r="A43" s="1747"/>
      <c r="B43" s="1755"/>
      <c r="C43" s="1751"/>
      <c r="E43" s="795"/>
      <c r="K43" s="1753"/>
    </row>
    <row r="44" spans="1:18">
      <c r="B44" s="795"/>
      <c r="K44" s="1666"/>
      <c r="L44" s="22" t="s">
        <v>1074</v>
      </c>
    </row>
    <row r="45" spans="1:18">
      <c r="B45" s="1757"/>
      <c r="M45" s="22">
        <f>M40+M41</f>
        <v>352698</v>
      </c>
    </row>
    <row r="46" spans="1:18">
      <c r="B46" s="1757"/>
    </row>
    <row r="47" spans="1:18">
      <c r="B47" s="1757"/>
      <c r="M47" s="1660"/>
    </row>
    <row r="48" spans="1:18">
      <c r="B48" s="1757"/>
    </row>
    <row r="49" spans="1:16">
      <c r="B49" s="1757"/>
    </row>
    <row r="50" spans="1:16" ht="15.75" thickBot="1"/>
    <row r="51" spans="1:16">
      <c r="A51" s="1721"/>
      <c r="B51" s="1722"/>
      <c r="C51" s="1722"/>
      <c r="D51" s="1722"/>
      <c r="E51" s="1722"/>
      <c r="F51" s="1722"/>
      <c r="G51" s="1722"/>
      <c r="H51" s="1722"/>
      <c r="I51" s="1722"/>
      <c r="J51" s="1723"/>
      <c r="K51" s="1724"/>
      <c r="L51" s="1733"/>
      <c r="M51" s="1733"/>
      <c r="N51" s="1725"/>
    </row>
    <row r="52" spans="1:16" ht="34.5" thickBot="1">
      <c r="A52" s="1749" t="s">
        <v>1059</v>
      </c>
      <c r="B52" s="1272"/>
      <c r="C52" s="1272"/>
      <c r="D52" s="1272"/>
      <c r="E52" s="1272"/>
      <c r="F52" s="1272"/>
      <c r="G52" s="1272"/>
      <c r="H52" s="1272"/>
      <c r="I52" s="1272"/>
      <c r="J52" s="1728"/>
      <c r="K52" s="1729"/>
      <c r="L52" s="1734"/>
      <c r="M52" s="1734"/>
      <c r="N52" s="1273"/>
    </row>
    <row r="53" spans="1:16" ht="15.75" thickBot="1">
      <c r="B53" s="1101" t="s">
        <v>922</v>
      </c>
      <c r="C53" s="1101"/>
      <c r="D53" s="1101"/>
      <c r="E53" s="1101">
        <v>2020</v>
      </c>
      <c r="F53" s="1101"/>
      <c r="G53" s="1101"/>
      <c r="H53" s="1101"/>
      <c r="J53" s="1661" t="s">
        <v>980</v>
      </c>
      <c r="K53" s="1663" t="s">
        <v>980</v>
      </c>
    </row>
    <row r="54" spans="1:16" ht="29.25" thickBot="1">
      <c r="A54" s="1563" t="s">
        <v>913</v>
      </c>
      <c r="B54" s="1564" t="s">
        <v>914</v>
      </c>
      <c r="C54" s="1563"/>
      <c r="D54" s="1563"/>
      <c r="E54" s="1736" t="s">
        <v>923</v>
      </c>
      <c r="F54" s="1658"/>
      <c r="G54" s="1658"/>
      <c r="H54" s="1574" t="s">
        <v>942</v>
      </c>
      <c r="I54" s="1573" t="s">
        <v>924</v>
      </c>
      <c r="J54" s="1662" t="s">
        <v>981</v>
      </c>
      <c r="K54" s="1664" t="s">
        <v>982</v>
      </c>
      <c r="L54" s="1730" t="s">
        <v>751</v>
      </c>
      <c r="M54" s="22" t="s">
        <v>987</v>
      </c>
    </row>
    <row r="55" spans="1:16" ht="16.5" thickTop="1" thickBot="1">
      <c r="A55" s="1565" t="s">
        <v>545</v>
      </c>
      <c r="B55" s="1566">
        <v>40.32</v>
      </c>
      <c r="C55" s="1655"/>
      <c r="D55" s="1655"/>
      <c r="E55" s="1571">
        <v>41.074909686112441</v>
      </c>
      <c r="F55" s="1659"/>
      <c r="G55" s="1659"/>
      <c r="H55" s="1575">
        <v>0.75490968611244114</v>
      </c>
      <c r="I55" s="1576">
        <v>1.8722958484931575E-2</v>
      </c>
      <c r="J55" s="1660">
        <v>2484095</v>
      </c>
      <c r="K55" s="11">
        <v>100158710</v>
      </c>
      <c r="L55" s="22">
        <v>102033977.77672349</v>
      </c>
      <c r="M55" s="22">
        <v>1875267.7767234892</v>
      </c>
      <c r="O55" s="1670">
        <v>1.8722962553366442E-2</v>
      </c>
    </row>
    <row r="56" spans="1:16" ht="16.5" thickTop="1" thickBot="1">
      <c r="A56" s="1565" t="s">
        <v>584</v>
      </c>
      <c r="B56" s="1566">
        <v>27.89</v>
      </c>
      <c r="C56" s="1655"/>
      <c r="D56" s="1655"/>
      <c r="E56" s="1571">
        <v>28.613486164919422</v>
      </c>
      <c r="F56" s="1659"/>
      <c r="G56" s="1659"/>
      <c r="H56" s="1575">
        <v>0.72348616491942153</v>
      </c>
      <c r="I56" s="1576">
        <v>2.5940701503026947E-2</v>
      </c>
      <c r="J56" s="1665">
        <v>875435</v>
      </c>
      <c r="K56" s="11">
        <v>24415882</v>
      </c>
      <c r="L56" s="22">
        <v>25049247.260786235</v>
      </c>
      <c r="M56" s="22">
        <v>633365.26078623533</v>
      </c>
      <c r="O56" s="1670">
        <v>2.5940707805936946E-2</v>
      </c>
    </row>
    <row r="57" spans="1:16" ht="16.5" thickTop="1" thickBot="1">
      <c r="A57" s="1565" t="s">
        <v>915</v>
      </c>
      <c r="B57" s="1567"/>
      <c r="C57" s="1656"/>
      <c r="D57" s="1656"/>
      <c r="E57" s="1571"/>
      <c r="F57" s="1659"/>
      <c r="G57" s="1659"/>
      <c r="H57" s="1575"/>
      <c r="I57" s="1576"/>
    </row>
    <row r="58" spans="1:16" ht="16.5" thickTop="1" thickBot="1">
      <c r="A58" s="1565" t="s">
        <v>916</v>
      </c>
      <c r="B58" s="1567"/>
      <c r="C58" s="1656"/>
      <c r="D58" s="1656"/>
      <c r="E58" s="1571"/>
      <c r="F58" s="1659"/>
      <c r="G58" s="1659"/>
      <c r="H58" s="1575"/>
      <c r="I58" s="1576"/>
    </row>
    <row r="59" spans="1:16" ht="16.5" thickTop="1" thickBot="1">
      <c r="A59" s="1565" t="s">
        <v>925</v>
      </c>
      <c r="B59" s="1566">
        <v>241.99</v>
      </c>
      <c r="C59" s="1655">
        <v>27.889999999999986</v>
      </c>
      <c r="D59" s="1655">
        <v>269.88</v>
      </c>
      <c r="E59" s="1571">
        <v>245.60379345649545</v>
      </c>
      <c r="F59" s="1659">
        <v>28.613486164919422</v>
      </c>
      <c r="G59" s="1659">
        <v>274.21727962141489</v>
      </c>
      <c r="H59" s="1575">
        <v>3.6137934564954435</v>
      </c>
      <c r="I59" s="1576">
        <v>1.4933647904853272E-2</v>
      </c>
      <c r="J59" s="1660">
        <v>220968</v>
      </c>
      <c r="K59" s="11">
        <v>53471834</v>
      </c>
      <c r="L59" s="22">
        <v>54270579.032494888</v>
      </c>
      <c r="M59" s="22">
        <v>798745.03249488771</v>
      </c>
      <c r="O59" s="1670">
        <v>1.4937677890286832E-2</v>
      </c>
    </row>
    <row r="60" spans="1:16" ht="16.5" thickTop="1" thickBot="1">
      <c r="A60" s="1565" t="s">
        <v>926</v>
      </c>
      <c r="B60" s="1566">
        <v>171.08</v>
      </c>
      <c r="C60" s="1655">
        <v>27.889999999999986</v>
      </c>
      <c r="D60" s="1655">
        <v>198.97</v>
      </c>
      <c r="E60" s="1571">
        <v>173.73202001218925</v>
      </c>
      <c r="F60" s="1659">
        <v>28.613486164919422</v>
      </c>
      <c r="G60" s="1659">
        <v>202.34550617710869</v>
      </c>
      <c r="H60" s="1575">
        <v>2.6520200121892401</v>
      </c>
      <c r="I60" s="1576">
        <v>1.5501636732459901E-2</v>
      </c>
      <c r="J60" s="1660">
        <v>378478</v>
      </c>
      <c r="K60" s="11">
        <v>64750017</v>
      </c>
      <c r="L60" s="22">
        <v>65753747.470173366</v>
      </c>
      <c r="M60" s="22">
        <v>1003730.4701733664</v>
      </c>
      <c r="O60" s="1670">
        <v>1.5501624813061691E-2</v>
      </c>
    </row>
    <row r="61" spans="1:16" ht="16.5" thickTop="1" thickBot="1">
      <c r="A61" s="1565" t="s">
        <v>927</v>
      </c>
      <c r="B61" s="1566">
        <v>138.85</v>
      </c>
      <c r="C61" s="1655">
        <v>27.89</v>
      </c>
      <c r="D61" s="1655">
        <v>166.74</v>
      </c>
      <c r="E61" s="1571">
        <v>141.06303208295918</v>
      </c>
      <c r="F61" s="1659">
        <v>28.613486164919422</v>
      </c>
      <c r="G61" s="1659">
        <v>169.67651824787862</v>
      </c>
      <c r="H61" s="1575">
        <v>2.2130320829591881</v>
      </c>
      <c r="I61" s="1576">
        <v>1.5938293719547629E-2</v>
      </c>
      <c r="J61" s="1660">
        <v>181359</v>
      </c>
      <c r="K61" s="11">
        <v>25181697</v>
      </c>
      <c r="L61" s="22">
        <v>25583050.435533393</v>
      </c>
      <c r="M61" s="22">
        <v>401353.43553339317</v>
      </c>
      <c r="O61" s="1670">
        <v>1.5938299771194656E-2</v>
      </c>
    </row>
    <row r="62" spans="1:16" ht="16.5" thickTop="1" thickBot="1">
      <c r="A62" s="1565" t="s">
        <v>917</v>
      </c>
      <c r="B62" s="1567"/>
      <c r="C62" s="1656"/>
      <c r="D62" s="1656"/>
      <c r="E62" s="1571"/>
      <c r="F62" s="1659"/>
      <c r="G62" s="1659"/>
      <c r="H62" s="1575"/>
      <c r="I62" s="1576"/>
    </row>
    <row r="63" spans="1:16" ht="16.5" thickTop="1" thickBot="1">
      <c r="A63" s="1565" t="s">
        <v>918</v>
      </c>
      <c r="B63" s="1566">
        <v>59.37</v>
      </c>
      <c r="C63" s="1655"/>
      <c r="D63" s="1655"/>
      <c r="E63" s="1571">
        <v>61.567566264483354</v>
      </c>
      <c r="F63" s="1659"/>
      <c r="G63" s="1659"/>
      <c r="H63" s="1575">
        <v>2.1975662644833562</v>
      </c>
      <c r="I63" s="1576">
        <v>3.7014759381562345E-2</v>
      </c>
      <c r="J63" s="1660">
        <v>42014</v>
      </c>
      <c r="K63" s="11">
        <v>2494372</v>
      </c>
      <c r="L63" s="22">
        <v>2586699.7290360038</v>
      </c>
      <c r="M63" s="22">
        <v>92327.729036003817</v>
      </c>
      <c r="O63" s="1670">
        <v>3.701441847326855E-2</v>
      </c>
      <c r="P63" s="795"/>
    </row>
    <row r="64" spans="1:16" ht="16.5" thickTop="1" thickBot="1">
      <c r="A64" s="1565" t="s">
        <v>919</v>
      </c>
      <c r="B64" s="1566">
        <v>46.57</v>
      </c>
      <c r="C64" s="1655"/>
      <c r="D64" s="1655"/>
      <c r="E64" s="1571">
        <v>48.50114413836252</v>
      </c>
      <c r="F64" s="1659"/>
      <c r="G64" s="1659"/>
      <c r="H64" s="1575">
        <v>1.9311441383625194</v>
      </c>
      <c r="I64" s="1576">
        <v>4.1467557190520067E-2</v>
      </c>
      <c r="J64" s="1660">
        <v>40507</v>
      </c>
      <c r="K64" s="11">
        <v>1886411</v>
      </c>
      <c r="L64" s="22">
        <v>1964635.8456126505</v>
      </c>
      <c r="M64" s="22">
        <v>78224.845612650504</v>
      </c>
      <c r="O64" s="1670">
        <v>4.1467551669625818E-2</v>
      </c>
    </row>
    <row r="65" spans="1:15" ht="16.5" thickTop="1" thickBot="1">
      <c r="A65" s="1565" t="s">
        <v>920</v>
      </c>
      <c r="B65" s="1566">
        <v>33.76</v>
      </c>
      <c r="C65" s="1655"/>
      <c r="D65" s="1655"/>
      <c r="E65" s="1571">
        <v>35.434722012241679</v>
      </c>
      <c r="F65" s="1659"/>
      <c r="G65" s="1659"/>
      <c r="H65" s="1575">
        <v>1.6747220122416806</v>
      </c>
      <c r="I65" s="1576">
        <v>4.9606694675405232E-2</v>
      </c>
      <c r="J65" s="1660">
        <v>12109</v>
      </c>
      <c r="K65" s="11">
        <v>408800</v>
      </c>
      <c r="L65" s="22">
        <v>429079.04884623451</v>
      </c>
      <c r="M65" s="22">
        <v>20279.048846234509</v>
      </c>
      <c r="O65" s="1670">
        <v>4.9606283870436668E-2</v>
      </c>
    </row>
    <row r="66" spans="1:15" ht="16.5" thickTop="1" thickBot="1">
      <c r="A66" s="1565" t="s">
        <v>921</v>
      </c>
      <c r="B66" s="1567"/>
      <c r="C66" s="1656"/>
      <c r="D66" s="1656"/>
      <c r="E66" s="1571"/>
      <c r="F66" s="1659"/>
      <c r="G66" s="1659"/>
      <c r="H66" s="1575"/>
      <c r="I66" s="1576"/>
    </row>
    <row r="67" spans="1:15" ht="16.5" thickTop="1" thickBot="1">
      <c r="A67" s="1565" t="s">
        <v>1045</v>
      </c>
      <c r="B67" s="1568">
        <v>386.73</v>
      </c>
      <c r="C67" s="1657"/>
      <c r="D67" s="1657"/>
      <c r="E67" s="1571">
        <v>395.3896308581887</v>
      </c>
      <c r="F67" s="1659"/>
      <c r="G67" s="1659"/>
      <c r="H67" s="1575">
        <v>8.6596308581886774</v>
      </c>
      <c r="I67" s="1576">
        <v>2.2391929403430499E-2</v>
      </c>
      <c r="J67" s="1660">
        <v>9333</v>
      </c>
      <c r="K67" s="11">
        <v>3609351</v>
      </c>
      <c r="L67" s="22">
        <v>3690171.4247994749</v>
      </c>
      <c r="M67" s="22">
        <v>80820.424799474888</v>
      </c>
      <c r="O67" s="1670">
        <v>2.2391954897009153E-2</v>
      </c>
    </row>
    <row r="68" spans="1:15" ht="16.5" thickTop="1" thickBot="1">
      <c r="A68" s="1565" t="s">
        <v>1046</v>
      </c>
      <c r="B68" s="1568">
        <v>322.33</v>
      </c>
      <c r="C68" s="1657"/>
      <c r="D68" s="1657"/>
      <c r="E68" s="1571">
        <v>327.99986257725146</v>
      </c>
      <c r="F68" s="1659"/>
      <c r="G68" s="1659"/>
      <c r="H68" s="1575">
        <v>5.6698625772514788</v>
      </c>
      <c r="I68" s="1576">
        <v>1.7590241607208387E-2</v>
      </c>
      <c r="J68" s="1660">
        <v>14230</v>
      </c>
      <c r="K68" s="11">
        <v>4586756</v>
      </c>
      <c r="L68" s="22">
        <v>4667438.0444742879</v>
      </c>
      <c r="M68" s="22">
        <v>80682.04447428789</v>
      </c>
      <c r="O68" s="1670">
        <v>1.7590219421806587E-2</v>
      </c>
    </row>
    <row r="69" spans="1:15" ht="16.5" thickTop="1" thickBot="1">
      <c r="A69" s="1565" t="s">
        <v>1047</v>
      </c>
      <c r="B69" s="1568">
        <v>290.61</v>
      </c>
      <c r="C69" s="1657"/>
      <c r="D69" s="1657"/>
      <c r="E69" s="1571">
        <v>295.73143811244114</v>
      </c>
      <c r="F69" s="1659"/>
      <c r="G69" s="1659"/>
      <c r="H69" s="1575">
        <v>5.1214381124411261</v>
      </c>
      <c r="I69" s="1576">
        <v>1.7623062222363737E-2</v>
      </c>
      <c r="J69" s="1660">
        <v>3568</v>
      </c>
      <c r="K69" s="11">
        <v>1036896</v>
      </c>
      <c r="L69" s="22">
        <v>1055169.77118519</v>
      </c>
      <c r="M69" s="22">
        <v>18273.771185189951</v>
      </c>
      <c r="O69" s="1670">
        <v>1.762353330053347E-2</v>
      </c>
    </row>
    <row r="70" spans="1:15" ht="16.5" thickTop="1" thickBot="1">
      <c r="A70" s="1565" t="s">
        <v>1048</v>
      </c>
      <c r="B70" s="1568">
        <v>395.91</v>
      </c>
      <c r="C70" s="1657"/>
      <c r="D70" s="1657"/>
      <c r="E70" s="1571">
        <v>403.34310926058708</v>
      </c>
      <c r="F70" s="1659"/>
      <c r="G70" s="1659"/>
      <c r="H70" s="1575">
        <v>7.4331092605870595</v>
      </c>
      <c r="I70" s="1576">
        <v>1.8774744918256824E-2</v>
      </c>
      <c r="J70" s="1660">
        <v>7567</v>
      </c>
      <c r="K70" s="11">
        <v>2995851</v>
      </c>
      <c r="L70" s="22">
        <v>3052097.3077748623</v>
      </c>
      <c r="M70" s="22">
        <v>56246.307774862275</v>
      </c>
      <c r="O70" s="1670">
        <v>1.8774734716400208E-2</v>
      </c>
    </row>
    <row r="71" spans="1:15" ht="16.5" thickTop="1" thickBot="1">
      <c r="A71" s="1565" t="s">
        <v>1049</v>
      </c>
      <c r="B71" s="1568">
        <v>296.63</v>
      </c>
      <c r="C71" s="1657"/>
      <c r="D71" s="1657"/>
      <c r="E71" s="1571">
        <v>306.10666932492541</v>
      </c>
      <c r="F71" s="1659"/>
      <c r="G71" s="1659"/>
      <c r="H71" s="1575">
        <v>9.4766693249254104</v>
      </c>
      <c r="I71" s="1576">
        <v>3.1947777786890771E-2</v>
      </c>
      <c r="J71" s="1660">
        <v>14549</v>
      </c>
      <c r="K71" s="11">
        <v>4315670</v>
      </c>
      <c r="L71" s="22">
        <v>4453545.93200834</v>
      </c>
      <c r="M71" s="22">
        <v>137875.93200834002</v>
      </c>
      <c r="O71" s="1670">
        <v>3.1947746701749678E-2</v>
      </c>
    </row>
    <row r="72" spans="1:15" ht="16.5" thickTop="1" thickBot="1">
      <c r="A72" s="1565" t="s">
        <v>1050</v>
      </c>
      <c r="B72" s="1568">
        <v>252.78</v>
      </c>
      <c r="C72" s="1657">
        <v>43.619999999999976</v>
      </c>
      <c r="D72" s="1657">
        <v>296.39999999999998</v>
      </c>
      <c r="E72" s="1571">
        <v>263.90608668808176</v>
      </c>
      <c r="F72" s="1659"/>
      <c r="G72" s="1659"/>
      <c r="H72" s="1575">
        <v>11.126086688081756</v>
      </c>
      <c r="I72" s="1576">
        <v>4.4014901052621867E-2</v>
      </c>
      <c r="J72" s="1660">
        <v>4346</v>
      </c>
      <c r="K72" s="11">
        <v>1098582</v>
      </c>
      <c r="L72" s="22">
        <v>1146935.8527464033</v>
      </c>
      <c r="M72" s="22">
        <v>48353.85274640331</v>
      </c>
      <c r="O72" s="1670">
        <v>4.401478701307987E-2</v>
      </c>
    </row>
    <row r="73" spans="1:15" ht="16.5" thickTop="1" thickBot="1">
      <c r="A73" s="1572" t="s">
        <v>1051</v>
      </c>
      <c r="B73" s="1568">
        <v>321.33</v>
      </c>
      <c r="C73" s="1657"/>
      <c r="D73" s="1657"/>
      <c r="E73" s="1571">
        <v>328.82705268539519</v>
      </c>
      <c r="F73" s="1659"/>
      <c r="G73" s="1659"/>
      <c r="H73" s="1575">
        <v>7.4970526853952038</v>
      </c>
      <c r="I73" s="1576">
        <v>2.3331318847898436E-2</v>
      </c>
    </row>
    <row r="74" spans="1:15" ht="16.5" thickTop="1" thickBot="1">
      <c r="A74" s="1572" t="s">
        <v>1052</v>
      </c>
      <c r="B74" s="1568">
        <v>220.35</v>
      </c>
      <c r="C74" s="1657"/>
      <c r="D74" s="1657"/>
      <c r="E74" s="1571">
        <v>228.99822840942824</v>
      </c>
      <c r="F74" s="1659"/>
      <c r="G74" s="1659"/>
      <c r="H74" s="1575">
        <v>8.648228409428242</v>
      </c>
      <c r="I74" s="1576">
        <v>3.9247689627539106E-2</v>
      </c>
      <c r="J74" s="1660">
        <v>4378</v>
      </c>
      <c r="K74" s="11">
        <v>964692</v>
      </c>
      <c r="L74" s="22">
        <v>1002554.2439764768</v>
      </c>
      <c r="M74" s="22">
        <v>37862.243976476835</v>
      </c>
      <c r="O74" s="1670">
        <v>3.9248012812873781E-2</v>
      </c>
    </row>
    <row r="75" spans="1:15" ht="16.5" thickTop="1" thickBot="1">
      <c r="A75" s="1565" t="s">
        <v>1053</v>
      </c>
      <c r="B75" s="1568">
        <v>377.55</v>
      </c>
      <c r="C75" s="1657"/>
      <c r="D75" s="1657"/>
      <c r="E75" s="1571">
        <v>384.27151788150934</v>
      </c>
      <c r="F75" s="1659"/>
      <c r="G75" s="1659"/>
      <c r="H75" s="1575">
        <v>6.7215178815093282</v>
      </c>
      <c r="I75" s="1576">
        <v>1.7802987369909491E-2</v>
      </c>
    </row>
    <row r="76" spans="1:15" ht="16.5" thickTop="1" thickBot="1">
      <c r="A76" s="1565" t="s">
        <v>1054</v>
      </c>
      <c r="B76" s="1568">
        <v>450.98</v>
      </c>
      <c r="C76" s="1657"/>
      <c r="D76" s="1657"/>
      <c r="E76" s="1571">
        <v>457.99138950210641</v>
      </c>
      <c r="F76" s="1659"/>
      <c r="G76" s="1659"/>
      <c r="H76" s="1575">
        <v>7.0113895021063968</v>
      </c>
      <c r="I76" s="1576">
        <v>1.554700763250343E-2</v>
      </c>
      <c r="J76" s="1660">
        <v>5282</v>
      </c>
      <c r="K76" s="11">
        <v>2382076</v>
      </c>
      <c r="L76" s="22">
        <v>2419110.5193501259</v>
      </c>
      <c r="M76" s="22">
        <v>37034.51935012592</v>
      </c>
      <c r="O76" s="1670">
        <v>1.5547161110781487E-2</v>
      </c>
    </row>
    <row r="77" spans="1:15" ht="16.5" thickTop="1" thickBot="1">
      <c r="A77" s="1565" t="s">
        <v>1055</v>
      </c>
      <c r="B77" s="1568">
        <v>395.72</v>
      </c>
      <c r="C77" s="1657"/>
      <c r="D77" s="1657"/>
      <c r="E77" s="1571">
        <v>402.05050585336426</v>
      </c>
      <c r="F77" s="1659"/>
      <c r="G77" s="1659"/>
      <c r="H77" s="1575">
        <v>6.3305058533642296</v>
      </c>
      <c r="I77" s="1576">
        <v>1.5997437211574417E-2</v>
      </c>
      <c r="J77" s="1660">
        <v>8997</v>
      </c>
      <c r="K77" s="11">
        <v>3560293</v>
      </c>
      <c r="L77" s="22">
        <v>3617248.4011627184</v>
      </c>
      <c r="M77" s="22">
        <v>56955.401162718423</v>
      </c>
      <c r="O77" s="1670">
        <v>1.5997391552526274E-2</v>
      </c>
    </row>
    <row r="78" spans="1:15" ht="16.5" thickTop="1" thickBot="1">
      <c r="A78" s="1565" t="s">
        <v>1056</v>
      </c>
      <c r="B78" s="1568">
        <v>359.61</v>
      </c>
      <c r="C78" s="1657"/>
      <c r="D78" s="1657"/>
      <c r="E78" s="1571">
        <v>364.36623552284004</v>
      </c>
      <c r="F78" s="1659"/>
      <c r="G78" s="1659"/>
      <c r="H78" s="1575">
        <v>4.7562355228400293</v>
      </c>
      <c r="I78" s="1576">
        <v>1.3226093609299043E-2</v>
      </c>
      <c r="J78" s="1660">
        <v>3308</v>
      </c>
      <c r="K78" s="11">
        <v>1189590</v>
      </c>
      <c r="L78" s="22">
        <v>1205323.507109555</v>
      </c>
      <c r="M78" s="22">
        <v>15733.50710955495</v>
      </c>
      <c r="O78" s="1670">
        <v>1.3225991400024336E-2</v>
      </c>
    </row>
    <row r="79" spans="1:15" ht="16.5" thickTop="1" thickBot="1">
      <c r="A79" s="1572" t="s">
        <v>1057</v>
      </c>
      <c r="B79" s="1568">
        <v>379.36</v>
      </c>
      <c r="C79" s="1657"/>
      <c r="D79" s="1657"/>
      <c r="E79" s="1571">
        <v>385.80476868397932</v>
      </c>
      <c r="F79" s="1659"/>
      <c r="G79" s="1659"/>
      <c r="H79" s="1575">
        <v>6.444768683979305</v>
      </c>
      <c r="I79" s="1576">
        <v>1.6988529850219591E-2</v>
      </c>
    </row>
    <row r="80" spans="1:15" ht="16.5" thickTop="1" thickBot="1">
      <c r="A80" s="1572" t="s">
        <v>1058</v>
      </c>
      <c r="B80" s="1568">
        <v>294.89999999999998</v>
      </c>
      <c r="C80" s="1657"/>
      <c r="D80" s="1657"/>
      <c r="E80" s="1571">
        <v>299.15648974288877</v>
      </c>
      <c r="F80" s="1659"/>
      <c r="G80" s="1659"/>
      <c r="H80" s="1575">
        <v>4.2564897428887889</v>
      </c>
      <c r="I80" s="1576">
        <v>1.4433671559473683E-2</v>
      </c>
      <c r="J80" s="1667"/>
      <c r="K80" s="1668"/>
      <c r="L80" s="1731"/>
      <c r="M80" s="1731"/>
      <c r="N80" s="1669"/>
      <c r="O80" s="1671"/>
    </row>
    <row r="81" spans="9:15">
      <c r="K81" s="1678">
        <v>298507480</v>
      </c>
      <c r="L81" s="1730">
        <v>303980611.6037938</v>
      </c>
      <c r="M81" s="1730">
        <v>5473131.6037936956</v>
      </c>
      <c r="N81" s="10"/>
      <c r="O81" s="1674">
        <v>1.833498980927982E-2</v>
      </c>
    </row>
    <row r="82" spans="9:15" ht="15.75" thickBot="1">
      <c r="I82" s="780" t="s">
        <v>790</v>
      </c>
      <c r="J82" s="1679" t="s">
        <v>989</v>
      </c>
      <c r="K82" s="1681">
        <v>20013089.66</v>
      </c>
      <c r="L82" s="1732">
        <v>20368927.374805659</v>
      </c>
      <c r="M82" s="1732">
        <v>355837.71480565891</v>
      </c>
      <c r="N82" s="1682"/>
      <c r="O82" s="1683">
        <v>1.7780248869661983E-2</v>
      </c>
    </row>
    <row r="83" spans="9:15" ht="15.75" thickTop="1">
      <c r="J83" s="1679"/>
      <c r="K83" s="1680"/>
      <c r="L83" s="1730"/>
      <c r="M83" s="1730"/>
      <c r="N83" s="10"/>
      <c r="O83" s="1674"/>
    </row>
    <row r="84" spans="9:15">
      <c r="J84" s="1679" t="s">
        <v>348</v>
      </c>
      <c r="K84" s="1678">
        <v>318520569.66000003</v>
      </c>
      <c r="L84" s="1730">
        <v>324349538.97859943</v>
      </c>
      <c r="M84" s="1730">
        <v>5828969.3185993545</v>
      </c>
      <c r="N84" s="10"/>
      <c r="O84" s="1674">
        <v>1.8300134665781391E-2</v>
      </c>
    </row>
    <row r="85" spans="9:15">
      <c r="J85" s="1726"/>
      <c r="K85" s="1727"/>
      <c r="L85" s="1735"/>
      <c r="M85" s="1735"/>
    </row>
    <row r="86" spans="9:15">
      <c r="J86" s="1726"/>
      <c r="K86" s="1727"/>
      <c r="L86" s="1735"/>
      <c r="M86" s="1735"/>
    </row>
    <row r="87" spans="9:15">
      <c r="J87" s="1726"/>
      <c r="K87" s="1727"/>
      <c r="L87" s="1735"/>
      <c r="M87" s="1735"/>
    </row>
    <row r="88" spans="9:15">
      <c r="J88" s="1726"/>
      <c r="K88" s="1727"/>
      <c r="L88" s="1735"/>
      <c r="M88" s="1735"/>
    </row>
  </sheetData>
  <mergeCells count="2">
    <mergeCell ref="H36:I36"/>
    <mergeCell ref="P34:Q34"/>
  </mergeCells>
  <pageMargins left="0.7" right="0.7" top="0.75" bottom="0.75" header="0.3" footer="0.3"/>
  <pageSetup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57</vt:i4>
      </vt:variant>
    </vt:vector>
  </HeadingPairs>
  <TitlesOfParts>
    <vt:vector size="107" baseType="lpstr">
      <vt:lpstr>2017 Pre PH FI</vt:lpstr>
      <vt:lpstr>2017 Post PH FI</vt:lpstr>
      <vt:lpstr>Brooke</vt:lpstr>
      <vt:lpstr>Sheet1</vt:lpstr>
      <vt:lpstr>CAF Spring 2021</vt:lpstr>
      <vt:lpstr>M2020 BLS  SALARY CHART</vt:lpstr>
      <vt:lpstr>new FALL CAF 2021</vt:lpstr>
      <vt:lpstr>FI FY23old</vt:lpstr>
      <vt:lpstr>FI FY21</vt:lpstr>
      <vt:lpstr>Chart</vt:lpstr>
      <vt:lpstr>FY21 Unit Rate Expend</vt:lpstr>
      <vt:lpstr>FY21 Expend Conting &amp; Occup</vt:lpstr>
      <vt:lpstr>Note from 2023 RR</vt:lpstr>
      <vt:lpstr>Food September 2023 ACCS</vt:lpstr>
      <vt:lpstr>Fall CAF 2023</vt:lpstr>
      <vt:lpstr>M2022 BLS SALARY CHART (53_PCT)</vt:lpstr>
      <vt:lpstr>Rates FY25 </vt:lpstr>
      <vt:lpstr>Integrated Team </vt:lpstr>
      <vt:lpstr>Below the line</vt:lpstr>
      <vt:lpstr>Notes </vt:lpstr>
      <vt:lpstr>11.22.19 ALTR Add on Rates</vt:lpstr>
      <vt:lpstr>Integrated Team (FY21)</vt:lpstr>
      <vt:lpstr>shouldve been PH GLE </vt:lpstr>
      <vt:lpstr>GLE (FY21)</vt:lpstr>
      <vt:lpstr>GLE</vt:lpstr>
      <vt:lpstr>GLE SIE</vt:lpstr>
      <vt:lpstr>Med_Int_Spec  </vt:lpstr>
      <vt:lpstr>Med_Int_Spec (FY21)</vt:lpstr>
      <vt:lpstr>Med_Int_Spec</vt:lpstr>
      <vt:lpstr>Int_Beh FY25</vt:lpstr>
      <vt:lpstr>Int_Beh (FY21)</vt:lpstr>
      <vt:lpstr>Int_Beh</vt:lpstr>
      <vt:lpstr>Int_Fire_Safety </vt:lpstr>
      <vt:lpstr>Int_Fire_Safety (FY21)</vt:lpstr>
      <vt:lpstr>Int_Fire_Safety</vt:lpstr>
      <vt:lpstr>Clin_Int </vt:lpstr>
      <vt:lpstr>Clin_Int (FY21)</vt:lpstr>
      <vt:lpstr>Clin_Int</vt:lpstr>
      <vt:lpstr> Enhanced Medical Model</vt:lpstr>
      <vt:lpstr>Int_DBT</vt:lpstr>
      <vt:lpstr>Int_DBT(FY21)</vt:lpstr>
      <vt:lpstr>FY15 Salary Benchmark</vt:lpstr>
      <vt:lpstr>FY15 UFR Summary</vt:lpstr>
      <vt:lpstr>FTE Benchmark Tables</vt:lpstr>
      <vt:lpstr>Lease Mgmt Add-On</vt:lpstr>
      <vt:lpstr>CAF 2019 Fall</vt:lpstr>
      <vt:lpstr>FY19_20 CAF</vt:lpstr>
      <vt:lpstr>Occ. Cost Index</vt:lpstr>
      <vt:lpstr>Occ. Modifiers</vt:lpstr>
      <vt:lpstr>Occupancy - ACCS</vt:lpstr>
      <vt:lpstr>' Enhanced Medical Model'!Print_Area</vt:lpstr>
      <vt:lpstr>'11.22.19 ALTR Add on Rates'!Print_Area</vt:lpstr>
      <vt:lpstr>Chart!Print_Area</vt:lpstr>
      <vt:lpstr>Clin_Int!Print_Area</vt:lpstr>
      <vt:lpstr>'Clin_Int '!Print_Area</vt:lpstr>
      <vt:lpstr>'Clin_Int (FY21)'!Print_Area</vt:lpstr>
      <vt:lpstr>'FI FY21'!Print_Area</vt:lpstr>
      <vt:lpstr>'FI FY23old'!Print_Area</vt:lpstr>
      <vt:lpstr>'FTE Benchmark Tables'!Print_Area</vt:lpstr>
      <vt:lpstr>'FY15 Salary Benchmark'!Print_Area</vt:lpstr>
      <vt:lpstr>'FY15 UFR Summary'!Print_Area</vt:lpstr>
      <vt:lpstr>'FY19_20 CAF'!Print_Area</vt:lpstr>
      <vt:lpstr>GLE!Print_Area</vt:lpstr>
      <vt:lpstr>'GLE (FY21)'!Print_Area</vt:lpstr>
      <vt:lpstr>'GLE SIE'!Print_Area</vt:lpstr>
      <vt:lpstr>Int_Beh!Print_Area</vt:lpstr>
      <vt:lpstr>'Int_Beh (FY21)'!Print_Area</vt:lpstr>
      <vt:lpstr>'Int_Beh FY25'!Print_Area</vt:lpstr>
      <vt:lpstr>Int_DBT!Print_Area</vt:lpstr>
      <vt:lpstr>'Int_DBT(FY21)'!Print_Area</vt:lpstr>
      <vt:lpstr>Int_Fire_Safety!Print_Area</vt:lpstr>
      <vt:lpstr>'Int_Fire_Safety '!Print_Area</vt:lpstr>
      <vt:lpstr>'Int_Fire_Safety (FY21)'!Print_Area</vt:lpstr>
      <vt:lpstr>'Integrated Team '!Print_Area</vt:lpstr>
      <vt:lpstr>'Integrated Team (FY21)'!Print_Area</vt:lpstr>
      <vt:lpstr>'M2020 BLS  SALARY CHART'!Print_Area</vt:lpstr>
      <vt:lpstr>'M2022 BLS SALARY CHART (53_PCT)'!Print_Area</vt:lpstr>
      <vt:lpstr>Med_Int_Spec!Print_Area</vt:lpstr>
      <vt:lpstr>'Med_Int_Spec  '!Print_Area</vt:lpstr>
      <vt:lpstr>'Med_Int_Spec (FY21)'!Print_Area</vt:lpstr>
      <vt:lpstr>'Occ. Cost Index'!Print_Area</vt:lpstr>
      <vt:lpstr>'Rates FY25 '!Print_Area</vt:lpstr>
      <vt:lpstr>'shouldve been PH GLE '!Print_Area</vt:lpstr>
      <vt:lpstr>' Enhanced Medical Model'!Print_Titles</vt:lpstr>
      <vt:lpstr>'CAF 2019 Fall'!Print_Titles</vt:lpstr>
      <vt:lpstr>'CAF Spring 2021'!Print_Titles</vt:lpstr>
      <vt:lpstr>'Fall CAF 2023'!Print_Titles</vt:lpstr>
      <vt:lpstr>'FY15 UFR Summary'!Print_Titles</vt:lpstr>
      <vt:lpstr>'FY19_20 CAF'!Print_Titles</vt:lpstr>
      <vt:lpstr>GLE!Print_Titles</vt:lpstr>
      <vt:lpstr>'GLE (FY21)'!Print_Titles</vt:lpstr>
      <vt:lpstr>'GLE SIE'!Print_Titles</vt:lpstr>
      <vt:lpstr>Int_Beh!Print_Titles</vt:lpstr>
      <vt:lpstr>'Int_Beh (FY21)'!Print_Titles</vt:lpstr>
      <vt:lpstr>'Int_Beh FY25'!Print_Titles</vt:lpstr>
      <vt:lpstr>Int_DBT!Print_Titles</vt:lpstr>
      <vt:lpstr>'Int_DBT(FY21)'!Print_Titles</vt:lpstr>
      <vt:lpstr>Int_Fire_Safety!Print_Titles</vt:lpstr>
      <vt:lpstr>'Int_Fire_Safety '!Print_Titles</vt:lpstr>
      <vt:lpstr>'Int_Fire_Safety (FY21)'!Print_Titles</vt:lpstr>
      <vt:lpstr>Med_Int_Spec!Print_Titles</vt:lpstr>
      <vt:lpstr>'Med_Int_Spec  '!Print_Titles</vt:lpstr>
      <vt:lpstr>'Med_Int_Spec (FY21)'!Print_Titles</vt:lpstr>
      <vt:lpstr>'new FALL CAF 2021'!Print_Titles</vt:lpstr>
      <vt:lpstr>'Occ. Cost Index'!Print_Titles</vt:lpstr>
      <vt:lpstr>'Occupancy - ACCS'!Print_Titles</vt:lpstr>
      <vt:lpstr>'shouldve been PH GLE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hlee</dc:creator>
  <cp:lastModifiedBy>Harrison, Deborah (EHS)</cp:lastModifiedBy>
  <cp:lastPrinted>2020-01-08T17:46:35Z</cp:lastPrinted>
  <dcterms:created xsi:type="dcterms:W3CDTF">2013-08-22T18:51:51Z</dcterms:created>
  <dcterms:modified xsi:type="dcterms:W3CDTF">2024-05-31T16:56:48Z</dcterms:modified>
</cp:coreProperties>
</file>