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https://massgov.sharepoint.com/sites/ocd-doh-gfs/Public_Housing_Notices/Public Housing Notices 2022/"/>
    </mc:Choice>
  </mc:AlternateContent>
  <xr:revisionPtr revIDLastSave="0" documentId="8_{63DE4692-C8E1-4B9D-B2A4-148F5FB542F5}" xr6:coauthVersionLast="47" xr6:coauthVersionMax="47" xr10:uidLastSave="{00000000-0000-0000-0000-000000000000}"/>
  <workbookProtection workbookAlgorithmName="SHA-512" workbookHashValue="MG48Ox6KPtkKpFeNPryxGkGliFIZlPIHsWQhZ5h3POoUVyqK/gNlW8iEveRYU63ZInVE7s+PBnv5lzCrDo1n7w==" workbookSaltValue="wRF8viw/VECgua35+w6prg==" workbookSpinCount="100000" lockStructure="1"/>
  <bookViews>
    <workbookView xWindow="1080" yWindow="3930" windowWidth="25590" windowHeight="11160" xr2:uid="{071E09AD-98BA-4295-B96E-1E92E0DFC38B}"/>
  </bookViews>
  <sheets>
    <sheet name="ED Salary Calculation Worksheet" sheetId="2" r:id="rId1"/>
    <sheet name="LHA Lookup" sheetId="5" state="hidden" r:id="rId2"/>
    <sheet name="Salary Lookup" sheetId="3" r:id="rId3"/>
  </sheets>
  <externalReferences>
    <externalReference r:id="rId4"/>
  </externalReferences>
  <definedNames>
    <definedName name="FAMILY_FACTOR">'Salary Lookup'!$C$36:$D$43</definedName>
    <definedName name="FYE">[1]A!$D$4:$D$4</definedName>
    <definedName name="LHA">[1]A!$D$2:$D$2</definedName>
    <definedName name="_xlnm.Print_Area" localSheetId="0">'ED Salary Calculation Worksheet'!$A$1:$I$179</definedName>
    <definedName name="_xlnm.Print_Area" localSheetId="2">'Salary Lookup'!$A$1:$H$44</definedName>
    <definedName name="PROGRAM_FACTOR">'Salary Lookup'!$C$22:$D$32</definedName>
    <definedName name="Sal">'Salary Lookup'!$D$6:$G$18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2" l="1"/>
  <c r="G13" i="3"/>
  <c r="G7" i="3"/>
  <c r="G8" i="3"/>
  <c r="G9" i="3"/>
  <c r="G10" i="3"/>
  <c r="G11" i="3"/>
  <c r="G12" i="3"/>
  <c r="G14" i="3"/>
  <c r="G15" i="3"/>
  <c r="G16" i="3"/>
  <c r="G17" i="3"/>
  <c r="E146" i="2" l="1"/>
  <c r="E144" i="2" l="1"/>
  <c r="O78" i="2" l="1"/>
  <c r="N78" i="2"/>
  <c r="P78" i="2"/>
  <c r="E78" i="2" l="1"/>
  <c r="E148" i="2" s="1"/>
  <c r="E80" i="2" l="1"/>
  <c r="E156" i="2"/>
  <c r="J27" i="2"/>
  <c r="L27" i="2" s="1"/>
  <c r="J22" i="2"/>
  <c r="L22" i="2" s="1"/>
  <c r="J20" i="2"/>
  <c r="L20" i="2" s="1"/>
  <c r="J21" i="2"/>
  <c r="L21" i="2" s="1"/>
  <c r="J19" i="2"/>
  <c r="L19" i="2" s="1"/>
  <c r="J108" i="2" l="1"/>
  <c r="J116" i="2"/>
  <c r="J117" i="2"/>
  <c r="J118" i="2"/>
  <c r="J119" i="2"/>
  <c r="J120" i="2"/>
  <c r="J121" i="2"/>
  <c r="J122" i="2"/>
  <c r="J115" i="2"/>
  <c r="J109" i="2"/>
  <c r="J110" i="2"/>
  <c r="J111" i="2"/>
  <c r="L115" i="2"/>
  <c r="L116" i="2"/>
  <c r="L117" i="2"/>
  <c r="L118" i="2"/>
  <c r="L119" i="2"/>
  <c r="L120" i="2"/>
  <c r="L121" i="2"/>
  <c r="L122" i="2"/>
  <c r="L109" i="2"/>
  <c r="L110" i="2"/>
  <c r="L111" i="2"/>
  <c r="L108" i="2"/>
  <c r="M108" i="2" s="1"/>
  <c r="J112" i="2" l="1"/>
  <c r="J123" i="2"/>
  <c r="L112" i="2"/>
  <c r="L123" i="2"/>
  <c r="F41" i="2"/>
  <c r="F40" i="2"/>
  <c r="G124" i="2" l="1"/>
  <c r="F110" i="2" l="1"/>
  <c r="F115" i="2" l="1"/>
  <c r="E22" i="2" l="1"/>
  <c r="F111" i="2" l="1"/>
  <c r="F117" i="2"/>
  <c r="F116" i="2"/>
  <c r="F118" i="2"/>
  <c r="F119" i="2"/>
  <c r="F120" i="2"/>
  <c r="F121" i="2"/>
  <c r="F122" i="2"/>
  <c r="F109" i="2"/>
  <c r="F108" i="2"/>
  <c r="D152" i="2" l="1"/>
  <c r="D154" i="2"/>
  <c r="D124" i="2"/>
  <c r="D92" i="2"/>
  <c r="E54" i="2"/>
  <c r="F54" i="2"/>
  <c r="E85" i="2" s="1"/>
  <c r="D55" i="2" l="1"/>
  <c r="E65" i="2"/>
  <c r="E150" i="2"/>
  <c r="D156" i="2" l="1"/>
  <c r="E87" i="2" l="1"/>
  <c r="E67" i="2" l="1"/>
  <c r="E69" i="2" s="1"/>
  <c r="E63" i="2"/>
  <c r="E71" i="2" l="1"/>
  <c r="E73" i="2"/>
  <c r="E92" i="2" l="1"/>
  <c r="E124" i="2" s="1"/>
  <c r="E154" i="2" s="1"/>
  <c r="E152" i="2" l="1"/>
  <c r="E160" i="2" s="1"/>
</calcChain>
</file>

<file path=xl/sharedStrings.xml><?xml version="1.0" encoding="utf-8"?>
<sst xmlns="http://schemas.openxmlformats.org/spreadsheetml/2006/main" count="392" uniqueCount="374">
  <si>
    <t>DEPARTMENT OF HOUSING AND COMMUNITY DEVELOPMENT
Local Housing Authority Executive Director Salary Calculation Worksheet</t>
  </si>
  <si>
    <t>v. 2.2</t>
  </si>
  <si>
    <t>Effective for Fiscal Years Beginning: July 1, 2022, October 1, 2022, January 1, 2023, April 1, 2023</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</si>
  <si>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</si>
  <si>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</si>
  <si>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</si>
  <si>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</si>
  <si>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</si>
  <si>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</si>
  <si>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</si>
  <si>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</si>
  <si>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</si>
  <si>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</si>
  <si>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</si>
  <si>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</si>
  <si>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</si>
  <si>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DHCD-approved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</si>
  <si>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</si>
  <si>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</si>
  <si>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</si>
  <si>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</si>
  <si>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</si>
  <si>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</si>
  <si>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</si>
  <si>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</si>
  <si>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</si>
  <si>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</si>
  <si>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</si>
  <si>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</si>
  <si>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</si>
  <si>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</si>
  <si>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</si>
  <si>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</si>
  <si>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</si>
  <si>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 xml:space="preserve">Other(s) </t>
    </r>
    <r>
      <rPr>
        <i/>
        <sz val="16"/>
        <color theme="1"/>
        <rFont val="Calibri "/>
      </rPr>
      <t xml:space="preserve">Do not count resident service programs such as ABL, FSS or MassLEAP: </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</si>
  <si>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</si>
  <si>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</si>
  <si>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</si>
  <si>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</si>
  <si>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</si>
  <si>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</si>
  <si>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</si>
  <si>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</si>
  <si>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</si>
  <si>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</si>
  <si>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</si>
  <si>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</si>
  <si>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</si>
  <si>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</si>
  <si>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</si>
  <si>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</si>
  <si>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</si>
  <si>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</si>
  <si>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</si>
  <si>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</si>
  <si>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</si>
  <si>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</si>
  <si>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</si>
  <si>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</si>
  <si>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$198,450)</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</si>
  <si>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$198,450,</t>
    </r>
    <r>
      <rPr>
        <i/>
        <sz val="16"/>
        <color theme="1"/>
        <rFont val="Calibri "/>
      </rPr>
      <t xml:space="preserve"> the Salary Cap for an executive director directly employed by one or two LHAs.  
 </t>
    </r>
  </si>
  <si>
    <t xml:space="preserve">Step 6. </t>
  </si>
  <si>
    <t>Salary from Other Sources / Program Activities (Not to Exceed $218,295)</t>
  </si>
  <si>
    <r>
      <rPr>
        <b/>
        <i/>
        <sz val="16"/>
        <color theme="1"/>
        <rFont val="Calibri "/>
      </rPr>
      <t xml:space="preserve">Note: </t>
    </r>
    <r>
      <rPr>
        <i/>
        <sz val="16"/>
        <color theme="1"/>
        <rFont val="Calibri "/>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
      </rPr>
      <t>$218,295.</t>
    </r>
    <r>
      <rPr>
        <i/>
        <sz val="16"/>
        <color theme="1"/>
        <rFont val="Calibri "/>
      </rPr>
      <t xml:space="preserve"> </t>
    </r>
  </si>
  <si>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</si>
  <si>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</si>
  <si>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</si>
  <si>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</si>
  <si>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</si>
  <si>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</si>
  <si>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</si>
  <si>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</si>
  <si>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</si>
  <si>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</si>
  <si>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</si>
  <si>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</si>
  <si>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</si>
  <si>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</si>
  <si>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</si>
  <si>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</si>
  <si>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</si>
  <si>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</si>
  <si>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</si>
  <si>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</si>
  <si>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r>
      <rPr>
        <b/>
        <i/>
        <sz val="16"/>
        <color theme="1"/>
        <rFont val="Calibri "/>
      </rPr>
      <t>Note:</t>
    </r>
    <r>
      <rPr>
        <i/>
        <sz val="16"/>
        <color theme="1"/>
        <rFont val="Calibri "/>
      </rPr>
      <t xml:space="preserve"> Board-Approved Salary is not to exceed the lesser of the LHA Calculated Salary Maximum or </t>
    </r>
    <r>
      <rPr>
        <i/>
        <sz val="16"/>
        <color rgb="FFFF0000"/>
        <rFont val="Calibri "/>
      </rPr>
      <t xml:space="preserve">$198,450 </t>
    </r>
    <r>
      <rPr>
        <i/>
        <sz val="16"/>
        <color theme="1"/>
        <rFont val="Calibri "/>
      </rPr>
      <t xml:space="preserve">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t>
    </r>
    <r>
      <rPr>
        <i/>
        <sz val="16"/>
        <color rgb="FFFF0000"/>
        <rFont val="Calibri "/>
      </rPr>
      <t>$218,295</t>
    </r>
    <r>
      <rPr>
        <i/>
        <sz val="16"/>
        <color theme="1"/>
        <rFont val="Calibri "/>
      </rPr>
      <t xml:space="preserve"> per year (see Step 6, above).
</t>
    </r>
    <r>
      <rPr>
        <i/>
        <u/>
        <sz val="16"/>
        <color theme="1"/>
        <rFont val="Calibri "/>
      </rPr>
      <t>Exception</t>
    </r>
    <r>
      <rPr>
        <i/>
        <sz val="16"/>
        <color theme="1"/>
        <rFont val="Calibri "/>
      </rPr>
      <t xml:space="preserve">: if an existing executive director’s Current Approved Salary exceeds the maximum in Step 5 or Step 6 above, enter the Current Approved Salary in "Enter Board-Approved Salary" below and check the applicable box. The Current Approved Salary will remain the same until DHCD publishes a new Salary Schedule and the Current Approved Salary does not exceed the new limits. </t>
    </r>
  </si>
  <si>
    <t xml:space="preserve">&lt;&lt;&lt; what is the new global max for this salary schedule; I have $208k based on current $198k max x 5.05% </t>
  </si>
  <si>
    <r>
      <rPr>
        <b/>
        <i/>
        <sz val="16"/>
        <color theme="1"/>
        <rFont val="Calibri "/>
      </rPr>
      <t xml:space="preserve">Note: </t>
    </r>
    <r>
      <rPr>
        <i/>
        <sz val="16"/>
        <color theme="1"/>
        <rFont val="Calibri "/>
      </rPr>
      <t xml:space="preserve">Executive Director salary increases must be: absorbed within the LHA’s ANUEL as published in the most current DHCD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r>
  </si>
  <si>
    <t>Summary</t>
  </si>
  <si>
    <t xml:space="preserve">Local Housing Authority: </t>
  </si>
  <si>
    <t xml:space="preserve">Total Programs: </t>
  </si>
  <si>
    <t>Total Units:</t>
  </si>
  <si>
    <t>Enter Board-Approved Salary</t>
  </si>
  <si>
    <t xml:space="preserve">Use this salary in LHA budget submission to DHCD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</si>
  <si>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</si>
  <si>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</si>
  <si>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</si>
  <si>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</si>
  <si>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</si>
  <si>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</si>
  <si>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</si>
  <si>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r>
      <t xml:space="preserve">Print and submit this signed Executive Director’s Salary Calculation Worksheet </t>
    </r>
    <r>
      <rPr>
        <b/>
        <i/>
        <u/>
        <sz val="16"/>
        <color theme="1"/>
        <rFont val="Calibri "/>
      </rPr>
      <t>by email only</t>
    </r>
    <r>
      <rPr>
        <b/>
        <sz val="16"/>
        <color theme="1"/>
        <rFont val="Calibri "/>
      </rPr>
      <t xml:space="preserve"> to the LHA’s Housing Management Specialist </t>
    </r>
    <r>
      <rPr>
        <b/>
        <sz val="16"/>
        <rFont val="Calibri "/>
      </rPr>
      <t>on or before the DHCD Budget Submission / Revision Deadline for your LHA</t>
    </r>
    <r>
      <rPr>
        <b/>
        <sz val="16"/>
        <color theme="1"/>
        <rFont val="Calibri "/>
      </rPr>
      <t>.</t>
    </r>
  </si>
  <si>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</si>
  <si>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</si>
  <si>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</si>
  <si>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</si>
  <si>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</si>
  <si>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</si>
  <si>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</si>
  <si>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</si>
  <si>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</si>
  <si>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</si>
  <si>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</si>
  <si>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</si>
  <si>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</si>
  <si>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</si>
  <si>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</si>
  <si>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</si>
  <si>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</si>
  <si>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</si>
  <si>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</si>
  <si>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</si>
  <si>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</si>
  <si>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</si>
  <si>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</si>
  <si>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</si>
  <si>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</si>
  <si>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</si>
  <si>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</si>
  <si>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</si>
  <si>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</si>
  <si>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</si>
  <si>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</si>
  <si>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</si>
  <si>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</si>
  <si>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</si>
  <si>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</si>
  <si>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</si>
  <si>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</si>
  <si>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</si>
  <si>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</si>
  <si>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</si>
  <si>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</si>
  <si>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</si>
  <si>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</si>
  <si>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</si>
  <si>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</si>
  <si>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</si>
  <si>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</si>
  <si>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</si>
  <si>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</si>
  <si>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</si>
  <si>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</si>
  <si>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</si>
  <si>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</si>
  <si>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</si>
  <si>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</si>
  <si>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</si>
  <si>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</si>
  <si>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</si>
  <si>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</si>
  <si>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</si>
  <si>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</si>
  <si>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</si>
  <si>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</si>
  <si>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</si>
  <si>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</si>
  <si>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</si>
  <si>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</si>
  <si>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</si>
  <si>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</si>
  <si>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</si>
  <si>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</si>
  <si>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</si>
  <si>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</si>
  <si>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</si>
  <si>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</si>
  <si>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</si>
  <si>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</si>
  <si>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</si>
  <si>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</si>
  <si>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</si>
  <si>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</si>
  <si>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</si>
  <si>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</si>
  <si>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</si>
  <si>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</si>
  <si>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</si>
  <si>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</si>
  <si>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</si>
  <si>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</si>
  <si>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</si>
  <si>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</si>
  <si>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</si>
  <si>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</si>
  <si>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</si>
  <si>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</si>
  <si>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</si>
  <si>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</si>
  <si>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</si>
  <si>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</si>
  <si>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</si>
  <si>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</si>
  <si>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</si>
  <si>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</si>
  <si>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</si>
  <si>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</si>
  <si>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</si>
  <si>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</si>
  <si>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</si>
  <si>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</si>
  <si>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</si>
  <si>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</si>
  <si>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</si>
  <si>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</si>
  <si>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</si>
  <si>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</si>
  <si>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</si>
  <si>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</si>
  <si>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</si>
  <si>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</si>
  <si>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</si>
  <si>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</si>
  <si>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</si>
  <si>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</si>
  <si>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</si>
  <si>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</si>
  <si>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</si>
  <si>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</si>
  <si>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</si>
  <si>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</si>
  <si>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</si>
  <si>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</si>
  <si>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</si>
  <si>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</si>
  <si>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</si>
  <si>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</si>
  <si>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</si>
  <si>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</si>
  <si>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</si>
  <si>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</si>
  <si>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</si>
  <si>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</si>
  <si>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</si>
  <si>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</si>
  <si>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</si>
  <si>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</si>
  <si>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</si>
  <si>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</si>
  <si>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</si>
  <si>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</si>
  <si>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</si>
  <si>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</si>
  <si>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</si>
  <si>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</si>
  <si>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</si>
  <si>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</si>
  <si>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</si>
  <si>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</si>
  <si>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</si>
  <si>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</si>
  <si>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</si>
  <si>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</si>
  <si>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</si>
  <si>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</si>
  <si>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</si>
  <si>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</si>
  <si>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</si>
  <si>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</si>
  <si>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</si>
  <si>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</si>
  <si>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</si>
  <si>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</si>
  <si>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</si>
  <si>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</si>
  <si>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</si>
  <si>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</si>
  <si>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</si>
  <si>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</si>
  <si>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</si>
  <si>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</si>
  <si>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</si>
  <si>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</si>
  <si>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</si>
  <si>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</si>
  <si>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</si>
  <si>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</si>
  <si>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</si>
  <si>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</si>
  <si>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</si>
  <si>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</si>
  <si>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</si>
  <si>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</si>
  <si>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</si>
  <si>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</si>
  <si>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</si>
  <si>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</si>
  <si>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</si>
  <si>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</si>
  <si>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</si>
  <si>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</si>
  <si>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</si>
  <si>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</si>
  <si>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</si>
  <si>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</si>
  <si>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</si>
  <si>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</si>
  <si>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</si>
  <si>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</si>
  <si>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</si>
  <si>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</si>
  <si>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</si>
  <si>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</si>
  <si>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</si>
  <si>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</si>
  <si>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</si>
  <si>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</si>
  <si>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</si>
  <si>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</si>
  <si>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</si>
  <si>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</si>
  <si>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</si>
  <si>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</si>
  <si>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</si>
  <si>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</si>
  <si>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</si>
  <si>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</si>
  <si>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</si>
  <si>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</si>
  <si>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</si>
  <si>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</si>
  <si>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</si>
  <si>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</si>
  <si>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</si>
  <si>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</si>
  <si>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</si>
  <si>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</si>
  <si>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</si>
  <si>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</si>
  <si>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 xml:space="preserve">PHN 2022-16 </t>
  </si>
  <si>
    <t>FY23 Budget Guidelines</t>
  </si>
  <si>
    <t>Attatchment A</t>
  </si>
  <si>
    <t>Executive Director Salary Chart</t>
  </si>
  <si>
    <t>FY 2023 (Effective July 1, 2022 - June 30, 2023)*</t>
  </si>
  <si>
    <t>FULL-TIME UNIT-BASED SALARY</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</si>
  <si>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</si>
  <si>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</si>
  <si>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</si>
  <si>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</si>
  <si>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</si>
  <si>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</si>
  <si>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</si>
  <si>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</si>
  <si>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</si>
  <si>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</si>
  <si>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</si>
  <si>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</si>
  <si>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</si>
  <si>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</si>
  <si>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DHCD salary cap for single / dual LHA: </t>
  </si>
  <si>
    <t>PROGRAM FACTOR</t>
  </si>
  <si>
    <t># of Programs</t>
  </si>
  <si>
    <t>Additional Compensation</t>
  </si>
  <si>
    <t>Yes</t>
  </si>
  <si>
    <t>STATE FAMILY FACTOR</t>
  </si>
  <si>
    <t>Number of Chapter 200 / 705 Units Managed</t>
  </si>
  <si>
    <t>1 - 49</t>
  </si>
  <si>
    <t>50 - 99</t>
  </si>
  <si>
    <t>100 - 199</t>
  </si>
  <si>
    <t>200 - 399</t>
  </si>
  <si>
    <t>700+</t>
  </si>
  <si>
    <t>Error</t>
  </si>
  <si>
    <r>
      <t xml:space="preserve">Chapters </t>
    </r>
    <r>
      <rPr>
        <b/>
        <sz val="16"/>
        <rFont val="Calibri "/>
      </rPr>
      <t>689 and 167</t>
    </r>
  </si>
  <si>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</sst>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s>
  <fonts count="56">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b/>
      <i/>
      <u/>
      <sz val="16"/>
      <color theme="1"/>
      <name val="Calibri "/>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u/>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b/>
      <sz val="11"/>
      <color rgb="FFFF0000"/>
      <name val="Calibri"/>
      <family val="2"/>
      <scheme val="minor"/>
    </font>
    <font>
      <sz val="18"/>
      <color rgb="FFFF0000"/>
      <name val="Calibri "/>
    </font>
    <font>
      <sz val="22"/>
      <color theme="0"/>
      <name val="Calibri Light"/>
      <family val="2"/>
      <scheme val="major"/>
    </font>
    <font>
      <sz val="16"/>
      <color rgb="FFFF0000"/>
      <name val="Calibri "/>
    </font>
    <font>
      <sz val="14"/>
      <color rgb="FFFF0000"/>
      <name val="Calibri "/>
    </font>
    <font>
      <b/>
      <sz val="11"/>
      <color theme="0"/>
      <name val="Calibri"/>
      <family val="2"/>
      <scheme val="minor"/>
    </font>
    <font>
      <sz val="11"/>
      <color theme="0"/>
      <name val="Calibri"/>
      <family val="2"/>
      <scheme val="minor"/>
    </font>
    <font>
      <b/>
      <sz val="11"/>
      <name val="Calibri"/>
      <family val="2"/>
      <scheme val="minor"/>
    </font>
    <font>
      <sz val="12"/>
      <color theme="0"/>
      <name val="Times New Roman"/>
      <family val="1"/>
    </font>
    <font>
      <b/>
      <sz val="14"/>
      <color theme="0"/>
      <name val="Calibri"/>
      <family val="2"/>
      <scheme val="minor"/>
    </font>
    <font>
      <sz val="16"/>
      <color rgb="FF7030A0"/>
      <name val="Calibri Light"/>
      <family val="2"/>
      <scheme val="major"/>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4" fontId="16" fillId="4" borderId="4" xfId="0" applyNumberFormat="1" applyFont="1" applyFill="1" applyBorder="1"/>
    <xf numFmtId="165" fontId="16" fillId="0" borderId="0" xfId="2" applyNumberFormat="1" applyFont="1" applyProtection="1"/>
    <xf numFmtId="165" fontId="16" fillId="4" borderId="4" xfId="2" applyNumberFormat="1" applyFont="1" applyFill="1" applyBorder="1" applyAlignment="1" applyProtection="1">
      <alignment horizontal="right"/>
    </xf>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6" fillId="0" borderId="4" xfId="1" applyNumberFormat="1" applyFont="1" applyBorder="1" applyAlignment="1" applyProtection="1">
      <alignment horizontal="left" indent="1"/>
      <protection locked="0"/>
    </xf>
    <xf numFmtId="164" fontId="30" fillId="0" borderId="1" xfId="1" applyNumberFormat="1" applyFont="1" applyFill="1" applyBorder="1" applyAlignment="1" applyProtection="1">
      <alignment vertical="center"/>
      <protection locked="0"/>
    </xf>
    <xf numFmtId="164" fontId="30" fillId="0" borderId="25" xfId="1" applyNumberFormat="1" applyFont="1" applyFill="1" applyBorder="1" applyAlignment="1" applyProtection="1">
      <alignment vertical="center"/>
      <protection locked="0"/>
    </xf>
    <xf numFmtId="164" fontId="14" fillId="4" borderId="26" xfId="1" applyNumberFormat="1" applyFont="1" applyFill="1" applyBorder="1" applyAlignment="1" applyProtection="1">
      <alignment horizontal="right" vertical="center"/>
    </xf>
    <xf numFmtId="164" fontId="14" fillId="4" borderId="26" xfId="0" applyNumberFormat="1" applyFont="1" applyFill="1" applyBorder="1" applyAlignment="1">
      <alignment horizontal="center"/>
    </xf>
    <xf numFmtId="0" fontId="16" fillId="0" borderId="11" xfId="0" applyFont="1" applyBorder="1" applyAlignment="1">
      <alignment horizontal="left" indent="1"/>
    </xf>
    <xf numFmtId="0" fontId="26" fillId="0" borderId="11" xfId="0" applyFont="1" applyBorder="1" applyAlignment="1">
      <alignment horizontal="left" indent="2"/>
    </xf>
    <xf numFmtId="0" fontId="16" fillId="0" borderId="7" xfId="0" applyFont="1" applyBorder="1"/>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23" fillId="7" borderId="1" xfId="0" applyFont="1" applyFill="1" applyBorder="1" applyAlignment="1" applyProtection="1">
      <alignment horizontal="left" vertical="center" wrapText="1" indent="1"/>
      <protection locked="0"/>
    </xf>
    <xf numFmtId="0" fontId="26" fillId="0" borderId="1" xfId="0" applyFont="1" applyBorder="1" applyAlignment="1" applyProtection="1">
      <alignment horizontal="left" vertical="center" wrapText="1" indent="1"/>
      <protection locked="0"/>
    </xf>
    <xf numFmtId="165" fontId="16" fillId="0" borderId="0" xfId="0" applyNumberFormat="1" applyFont="1"/>
    <xf numFmtId="165" fontId="16" fillId="4" borderId="4" xfId="0" applyNumberFormat="1" applyFont="1" applyFill="1" applyBorder="1"/>
    <xf numFmtId="0" fontId="26" fillId="0" borderId="13" xfId="0" applyFont="1" applyBorder="1" applyAlignment="1">
      <alignment horizontal="left" indent="2"/>
    </xf>
    <xf numFmtId="165" fontId="16" fillId="4" borderId="24" xfId="2" applyNumberFormat="1" applyFont="1" applyFill="1" applyBorder="1" applyAlignment="1" applyProtection="1">
      <alignment horizontal="right"/>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14" fillId="4" borderId="26" xfId="0" applyFont="1" applyFill="1" applyBorder="1" applyAlignment="1">
      <alignment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6"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6" fillId="0" borderId="13" xfId="0" quotePrefix="1" applyFont="1" applyBorder="1"/>
    <xf numFmtId="0" fontId="16" fillId="0" borderId="7" xfId="0" applyFont="1" applyBorder="1" applyAlignment="1">
      <alignment horizontal="center"/>
    </xf>
    <xf numFmtId="0" fontId="16" fillId="0" borderId="14" xfId="0" applyFont="1" applyBorder="1"/>
    <xf numFmtId="0" fontId="26"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1" fillId="0" borderId="0" xfId="0" applyFont="1"/>
    <xf numFmtId="0" fontId="22"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9" fillId="2" borderId="6" xfId="0" applyFont="1" applyFill="1" applyBorder="1" applyAlignment="1">
      <alignment horizontal="center" vertical="center"/>
    </xf>
    <xf numFmtId="0" fontId="29" fillId="2" borderId="6" xfId="0" applyFont="1" applyFill="1" applyBorder="1" applyAlignment="1">
      <alignment horizontal="center" vertical="center" wrapText="1"/>
    </xf>
    <xf numFmtId="0" fontId="29"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164" fontId="30" fillId="4" borderId="25" xfId="0" applyNumberFormat="1" applyFont="1" applyFill="1" applyBorder="1" applyAlignment="1">
      <alignment vertical="center"/>
    </xf>
    <xf numFmtId="164" fontId="30" fillId="4" borderId="1" xfId="0" applyNumberFormat="1" applyFont="1" applyFill="1" applyBorder="1" applyAlignment="1">
      <alignment vertical="center"/>
    </xf>
    <xf numFmtId="0" fontId="14" fillId="2" borderId="1" xfId="0" applyFont="1" applyFill="1" applyBorder="1" applyAlignment="1">
      <alignment horizontal="left" vertical="center" wrapText="1" indent="1"/>
    </xf>
    <xf numFmtId="0" fontId="31" fillId="0" borderId="0" xfId="0" applyFont="1"/>
    <xf numFmtId="0" fontId="2" fillId="0" borderId="0" xfId="0" applyFont="1"/>
    <xf numFmtId="0" fontId="17" fillId="0" borderId="0" xfId="0" applyFont="1"/>
    <xf numFmtId="49" fontId="8" fillId="0" borderId="21" xfId="0" applyNumberFormat="1" applyFont="1" applyBorder="1"/>
    <xf numFmtId="0" fontId="37" fillId="0" borderId="0" xfId="0" applyFont="1"/>
    <xf numFmtId="0" fontId="18" fillId="0" borderId="0" xfId="0" applyFont="1" applyAlignment="1">
      <alignment horizontal="center"/>
    </xf>
    <xf numFmtId="0" fontId="38" fillId="0" borderId="0" xfId="0" applyFont="1"/>
    <xf numFmtId="0" fontId="14" fillId="0" borderId="4" xfId="0" applyFont="1" applyBorder="1"/>
    <xf numFmtId="165" fontId="14" fillId="4" borderId="4" xfId="2" applyNumberFormat="1" applyFont="1" applyFill="1" applyBorder="1" applyProtection="1"/>
    <xf numFmtId="0" fontId="39"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6" fillId="0" borderId="0" xfId="0" applyFont="1" applyAlignment="1">
      <alignment horizontal="left" indent="1"/>
    </xf>
    <xf numFmtId="164" fontId="16" fillId="0" borderId="0" xfId="1" applyNumberFormat="1" applyFont="1" applyBorder="1" applyProtection="1"/>
    <xf numFmtId="0" fontId="20" fillId="0" borderId="0" xfId="0" applyFont="1" applyAlignment="1">
      <alignment horizontal="left" indent="1"/>
    </xf>
    <xf numFmtId="49" fontId="26" fillId="0" borderId="0" xfId="0" applyNumberFormat="1" applyFont="1" applyAlignment="1">
      <alignment horizontal="left" indent="1"/>
    </xf>
    <xf numFmtId="0" fontId="34"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8"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41" fillId="0" borderId="0" xfId="0" applyFont="1"/>
    <xf numFmtId="0" fontId="42" fillId="0" borderId="0" xfId="0" applyFont="1"/>
    <xf numFmtId="0" fontId="43" fillId="0" borderId="0" xfId="0" applyFont="1"/>
    <xf numFmtId="0" fontId="36" fillId="0" borderId="0" xfId="0" applyFont="1" applyAlignment="1">
      <alignment vertical="top" wrapText="1"/>
    </xf>
    <xf numFmtId="0" fontId="16" fillId="0" borderId="1" xfId="0" applyFont="1" applyBorder="1" applyAlignment="1" applyProtection="1">
      <alignment horizontal="right"/>
      <protection locked="0"/>
    </xf>
    <xf numFmtId="164" fontId="16" fillId="4" borderId="4" xfId="1" applyNumberFormat="1" applyFont="1" applyFill="1" applyBorder="1" applyProtection="1"/>
    <xf numFmtId="43" fontId="0" fillId="0" borderId="0" xfId="1" applyFont="1" applyProtection="1"/>
    <xf numFmtId="164" fontId="16" fillId="4" borderId="4" xfId="1" applyNumberFormat="1" applyFont="1" applyFill="1" applyBorder="1" applyAlignment="1" applyProtection="1">
      <alignment horizontal="right" indent="1"/>
    </xf>
    <xf numFmtId="0" fontId="16" fillId="0" borderId="8" xfId="0" applyFont="1" applyBorder="1" applyAlignment="1">
      <alignment horizontal="left" indent="2"/>
    </xf>
    <xf numFmtId="0" fontId="16" fillId="0" borderId="11" xfId="0" applyFont="1" applyBorder="1" applyAlignment="1">
      <alignment horizontal="left" indent="2"/>
    </xf>
    <xf numFmtId="0" fontId="44" fillId="0" borderId="0" xfId="0" applyFont="1" applyAlignment="1">
      <alignment horizontal="right"/>
    </xf>
    <xf numFmtId="0" fontId="6" fillId="0" borderId="0" xfId="0" applyFont="1" applyAlignment="1">
      <alignment vertical="center"/>
    </xf>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0" fontId="47" fillId="0" borderId="0" xfId="0" applyFont="1"/>
    <xf numFmtId="167" fontId="16" fillId="4" borderId="4" xfId="2" applyNumberFormat="1" applyFont="1" applyFill="1" applyBorder="1" applyProtection="1"/>
    <xf numFmtId="2" fontId="8" fillId="0" borderId="0" xfId="0" applyNumberFormat="1" applyFont="1"/>
    <xf numFmtId="0" fontId="49" fillId="0" borderId="0" xfId="0" applyFont="1"/>
    <xf numFmtId="164" fontId="49" fillId="0" borderId="0" xfId="0" applyNumberFormat="1" applyFont="1"/>
    <xf numFmtId="0" fontId="16" fillId="0" borderId="31" xfId="0" applyFont="1" applyBorder="1"/>
    <xf numFmtId="165" fontId="16" fillId="4" borderId="31" xfId="2" applyNumberFormat="1" applyFont="1" applyFill="1" applyBorder="1" applyProtection="1"/>
    <xf numFmtId="0" fontId="48" fillId="0" borderId="0" xfId="0" applyFont="1"/>
    <xf numFmtId="164" fontId="48" fillId="0" borderId="0" xfId="0" applyNumberFormat="1" applyFont="1"/>
    <xf numFmtId="165" fontId="48" fillId="0" borderId="0" xfId="2" applyNumberFormat="1" applyFont="1" applyFill="1" applyBorder="1" applyProtection="1"/>
    <xf numFmtId="0" fontId="2" fillId="0" borderId="11" xfId="0" applyFont="1" applyBorder="1" applyAlignment="1">
      <alignment horizontal="center" vertical="center" wrapText="1"/>
    </xf>
    <xf numFmtId="0" fontId="51" fillId="0" borderId="0" xfId="0" applyFont="1"/>
    <xf numFmtId="0" fontId="45" fillId="0" borderId="0" xfId="0" applyFont="1" applyAlignment="1">
      <alignment horizontal="left"/>
    </xf>
    <xf numFmtId="0" fontId="2" fillId="0" borderId="1" xfId="0" applyFont="1" applyBorder="1" applyAlignment="1">
      <alignment horizontal="left" vertical="center" wrapText="1"/>
    </xf>
    <xf numFmtId="164" fontId="4" fillId="0" borderId="1" xfId="1" applyNumberFormat="1" applyFont="1" applyBorder="1" applyAlignment="1" applyProtection="1">
      <alignment horizontal="left" vertical="center"/>
    </xf>
    <xf numFmtId="0" fontId="0" fillId="0" borderId="0" xfId="0" applyAlignment="1">
      <alignment horizontal="left"/>
    </xf>
    <xf numFmtId="0" fontId="5" fillId="2" borderId="1" xfId="0" applyFont="1" applyFill="1" applyBorder="1" applyAlignment="1">
      <alignment horizontal="left" vertical="center" wrapText="1"/>
    </xf>
    <xf numFmtId="0" fontId="4" fillId="0" borderId="1" xfId="0" applyFont="1" applyBorder="1" applyAlignment="1">
      <alignment horizontal="left" vertical="center"/>
    </xf>
    <xf numFmtId="0" fontId="3" fillId="2" borderId="1" xfId="0" applyFont="1" applyFill="1" applyBorder="1" applyAlignment="1">
      <alignment horizontal="left" vertical="center" wrapText="1"/>
    </xf>
    <xf numFmtId="0" fontId="4" fillId="3" borderId="1" xfId="0" applyFont="1" applyFill="1" applyBorder="1" applyAlignment="1">
      <alignment horizontal="left" vertical="center"/>
    </xf>
    <xf numFmtId="0" fontId="51" fillId="0" borderId="0" xfId="0" applyFont="1" applyAlignment="1">
      <alignment horizontal="left"/>
    </xf>
    <xf numFmtId="43" fontId="0" fillId="0" borderId="0" xfId="1" applyFont="1" applyAlignment="1" applyProtection="1">
      <alignment horizontal="left"/>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5" fontId="4" fillId="0" borderId="1" xfId="2" applyNumberFormat="1" applyFont="1" applyFill="1" applyBorder="1" applyAlignment="1" applyProtection="1">
      <alignment horizontal="left" vertical="center"/>
    </xf>
    <xf numFmtId="44" fontId="4" fillId="3" borderId="1" xfId="2" applyFont="1" applyFill="1" applyBorder="1" applyAlignment="1" applyProtection="1">
      <alignment horizontal="left" vertical="center"/>
    </xf>
    <xf numFmtId="49" fontId="4" fillId="3" borderId="1" xfId="0" applyNumberFormat="1" applyFont="1" applyFill="1" applyBorder="1" applyAlignment="1">
      <alignment horizontal="left" vertical="center"/>
    </xf>
    <xf numFmtId="49" fontId="4" fillId="0" borderId="1" xfId="1" applyNumberFormat="1" applyFont="1" applyBorder="1" applyAlignment="1" applyProtection="1">
      <alignment horizontal="left" vertical="center"/>
    </xf>
    <xf numFmtId="0" fontId="52" fillId="0" borderId="0" xfId="0" applyFont="1" applyAlignment="1">
      <alignment horizontal="left"/>
    </xf>
    <xf numFmtId="0" fontId="53" fillId="7" borderId="1" xfId="0" applyFont="1" applyFill="1" applyBorder="1" applyAlignment="1">
      <alignment horizontal="left"/>
    </xf>
    <xf numFmtId="0" fontId="54" fillId="0" borderId="0" xfId="0" applyFont="1" applyAlignment="1">
      <alignment horizontal="left"/>
    </xf>
    <xf numFmtId="0" fontId="50" fillId="0" borderId="0" xfId="0" applyFont="1" applyAlignment="1">
      <alignment horizontal="left"/>
    </xf>
    <xf numFmtId="0" fontId="50" fillId="0" borderId="0" xfId="0" applyFont="1"/>
    <xf numFmtId="0" fontId="50" fillId="8" borderId="0" xfId="0" applyFont="1" applyFill="1"/>
    <xf numFmtId="0" fontId="51" fillId="8" borderId="0" xfId="0" applyFont="1" applyFill="1"/>
    <xf numFmtId="0" fontId="14" fillId="2" borderId="1" xfId="0" applyFont="1" applyFill="1" applyBorder="1" applyAlignment="1">
      <alignment horizontal="center" vertical="center"/>
    </xf>
    <xf numFmtId="0" fontId="14" fillId="0" borderId="0" xfId="0" applyFont="1" applyAlignment="1">
      <alignment horizontal="left"/>
    </xf>
    <xf numFmtId="0" fontId="55" fillId="0" borderId="0" xfId="0" applyFont="1"/>
    <xf numFmtId="164" fontId="11" fillId="7" borderId="0" xfId="1" applyNumberFormat="1" applyFont="1" applyFill="1" applyBorder="1" applyAlignment="1" applyProtection="1">
      <alignment vertical="center"/>
    </xf>
    <xf numFmtId="0" fontId="35" fillId="5" borderId="15"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0" xfId="0" applyFont="1" applyFill="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1"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14" fillId="2" borderId="1" xfId="0" applyFont="1" applyFill="1" applyBorder="1" applyAlignment="1">
      <alignment horizontal="center" vertical="center"/>
    </xf>
    <xf numFmtId="0" fontId="46" fillId="0" borderId="0" xfId="0" applyFont="1" applyAlignment="1">
      <alignment horizontal="center"/>
    </xf>
    <xf numFmtId="0" fontId="23" fillId="0" borderId="8" xfId="0" applyFont="1" applyBorder="1" applyAlignment="1">
      <alignment horizontal="left" vertical="top" wrapText="1" indent="1"/>
    </xf>
    <xf numFmtId="0" fontId="23" fillId="0" borderId="9" xfId="0" applyFont="1" applyBorder="1" applyAlignment="1">
      <alignment horizontal="left" vertical="top" wrapText="1" indent="1"/>
    </xf>
    <xf numFmtId="0" fontId="23" fillId="0" borderId="10" xfId="0" applyFont="1" applyBorder="1" applyAlignment="1">
      <alignment horizontal="left" vertical="top" wrapText="1" indent="1"/>
    </xf>
    <xf numFmtId="0" fontId="23" fillId="0" borderId="11" xfId="0" applyFont="1" applyBorder="1" applyAlignment="1">
      <alignment horizontal="left" vertical="top" wrapText="1" indent="1"/>
    </xf>
    <xf numFmtId="0" fontId="23" fillId="0" borderId="0" xfId="0" applyFont="1" applyAlignment="1">
      <alignment horizontal="left" vertical="top" wrapText="1" indent="1"/>
    </xf>
    <xf numFmtId="0" fontId="23" fillId="0" borderId="12" xfId="0" applyFont="1" applyBorder="1" applyAlignment="1">
      <alignment horizontal="left" vertical="top" wrapText="1" indent="1"/>
    </xf>
    <xf numFmtId="0" fontId="23" fillId="0" borderId="13" xfId="0" applyFont="1" applyBorder="1" applyAlignment="1">
      <alignment horizontal="left" vertical="top" wrapText="1" indent="1"/>
    </xf>
    <xf numFmtId="0" fontId="23" fillId="0" borderId="7" xfId="0" applyFont="1" applyBorder="1" applyAlignment="1">
      <alignment horizontal="left" vertical="top" wrapText="1" indent="1"/>
    </xf>
    <xf numFmtId="0" fontId="23" fillId="0" borderId="14" xfId="0" applyFont="1" applyBorder="1" applyAlignment="1">
      <alignment horizontal="left" vertical="top" wrapText="1" indent="1"/>
    </xf>
    <xf numFmtId="0" fontId="26" fillId="0" borderId="16" xfId="0" applyFont="1" applyBorder="1" applyAlignment="1">
      <alignment horizontal="left"/>
    </xf>
    <xf numFmtId="0" fontId="26" fillId="0" borderId="17" xfId="0" applyFont="1" applyBorder="1" applyAlignment="1">
      <alignment horizontal="left"/>
    </xf>
    <xf numFmtId="0" fontId="26" fillId="0" borderId="0" xfId="0" applyFont="1" applyAlignment="1">
      <alignment horizontal="left"/>
    </xf>
    <xf numFmtId="0" fontId="26"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26" fillId="0" borderId="8" xfId="0" applyFont="1" applyBorder="1" applyAlignment="1">
      <alignment horizontal="left" vertical="center" wrapText="1" indent="1"/>
    </xf>
    <xf numFmtId="0" fontId="26" fillId="0" borderId="9" xfId="0" applyFont="1" applyBorder="1" applyAlignment="1">
      <alignment horizontal="left" vertical="center" wrapText="1" indent="1"/>
    </xf>
    <xf numFmtId="0" fontId="26" fillId="0" borderId="10" xfId="0" applyFont="1" applyBorder="1" applyAlignment="1">
      <alignment horizontal="left" vertical="center" wrapText="1" indent="1"/>
    </xf>
    <xf numFmtId="0" fontId="26" fillId="0" borderId="11" xfId="0" applyFont="1" applyBorder="1" applyAlignment="1">
      <alignment horizontal="left" vertical="center" wrapText="1" indent="1"/>
    </xf>
    <xf numFmtId="0" fontId="26" fillId="0" borderId="0" xfId="0" applyFont="1" applyAlignment="1">
      <alignment horizontal="left" vertical="center" wrapText="1" indent="1"/>
    </xf>
    <xf numFmtId="0" fontId="26" fillId="0" borderId="12" xfId="0" applyFont="1" applyBorder="1" applyAlignment="1">
      <alignment horizontal="left" vertical="center" wrapText="1" indent="1"/>
    </xf>
    <xf numFmtId="0" fontId="40" fillId="0" borderId="11" xfId="0" applyFont="1" applyBorder="1" applyAlignment="1">
      <alignment horizontal="left" wrapText="1"/>
    </xf>
    <xf numFmtId="0" fontId="40" fillId="0" borderId="0" xfId="0" applyFont="1" applyAlignment="1">
      <alignment horizontal="left"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49" fontId="12" fillId="0" borderId="0" xfId="0" applyNumberFormat="1" applyFont="1" applyAlignment="1">
      <alignment horizontal="center"/>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0" fontId="26" fillId="0" borderId="13" xfId="0" applyFont="1" applyBorder="1" applyAlignment="1">
      <alignment horizontal="left" vertical="center" wrapText="1" indent="1"/>
    </xf>
    <xf numFmtId="0" fontId="26" fillId="0" borderId="7" xfId="0" applyFont="1" applyBorder="1" applyAlignment="1">
      <alignment horizontal="left" vertical="center" wrapText="1" indent="1"/>
    </xf>
    <xf numFmtId="0" fontId="26" fillId="0" borderId="14" xfId="0" applyFont="1" applyBorder="1" applyAlignment="1">
      <alignment horizontal="left" vertical="center" wrapText="1" indent="1"/>
    </xf>
    <xf numFmtId="0" fontId="47" fillId="0" borderId="0" xfId="0" applyFont="1" applyAlignment="1">
      <alignment horizontal="center" wrapText="1"/>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6" borderId="25" xfId="0" applyFont="1" applyFill="1" applyBorder="1" applyAlignment="1">
      <alignment horizontal="center" vertical="center"/>
    </xf>
    <xf numFmtId="0" fontId="16" fillId="4" borderId="5" xfId="0" applyFont="1" applyFill="1" applyBorder="1" applyAlignment="1">
      <alignment horizontal="left"/>
    </xf>
    <xf numFmtId="0" fontId="16" fillId="4" borderId="24" xfId="0" applyFont="1" applyFill="1" applyBorder="1" applyAlignment="1">
      <alignment horizontal="left"/>
    </xf>
    <xf numFmtId="41" fontId="16" fillId="4" borderId="5" xfId="0" applyNumberFormat="1" applyFont="1" applyFill="1" applyBorder="1" applyAlignment="1">
      <alignment horizontal="left"/>
    </xf>
    <xf numFmtId="41" fontId="16" fillId="4" borderId="24" xfId="0" applyNumberFormat="1" applyFont="1" applyFill="1" applyBorder="1" applyAlignment="1">
      <alignment horizontal="left"/>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12">
    <dxf>
      <font>
        <color theme="0"/>
      </font>
      <fill>
        <patternFill>
          <bgColor theme="0"/>
        </patternFill>
      </fill>
    </dxf>
    <dxf>
      <font>
        <color theme="0"/>
      </font>
      <fill>
        <patternFill patternType="solid">
          <fgColor theme="0"/>
          <bgColor theme="0"/>
        </patternFill>
      </fill>
      <border>
        <left/>
        <right/>
        <top/>
        <bottom/>
      </border>
    </dxf>
    <dxf>
      <font>
        <color rgb="FFFF0000"/>
      </font>
    </dxf>
    <dxf>
      <font>
        <color theme="0" tint="-0.14996795556505021"/>
      </font>
    </dxf>
    <dxf>
      <font>
        <color theme="0" tint="-0.14996795556505021"/>
      </font>
    </dxf>
    <dxf>
      <font>
        <color rgb="FFFF0000"/>
      </font>
    </dxf>
    <dxf>
      <font>
        <b val="0"/>
        <i/>
        <color rgb="FFFF0000"/>
      </font>
    </dxf>
    <dxf>
      <font>
        <b/>
        <i val="0"/>
        <color rgb="FFFF0000"/>
      </font>
    </dxf>
    <dxf>
      <font>
        <color rgb="FFFF0000"/>
      </font>
    </dxf>
    <dxf>
      <font>
        <color theme="0"/>
      </font>
      <fill>
        <patternFill patternType="solid">
          <fgColor theme="0"/>
          <bgColor theme="0"/>
        </patternFill>
      </fill>
      <border>
        <left/>
        <right/>
        <top/>
        <bottom/>
        <vertical/>
        <horizontal/>
      </border>
    </dxf>
    <dxf>
      <font>
        <b/>
        <i val="0"/>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162</xdr:row>
          <xdr:rowOff>19050</xdr:rowOff>
        </xdr:from>
        <xdr:to>
          <xdr:col>4</xdr:col>
          <xdr:colOff>1000125</xdr:colOff>
          <xdr:row>162</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163</xdr:row>
          <xdr:rowOff>38100</xdr:rowOff>
        </xdr:from>
        <xdr:to>
          <xdr:col>4</xdr:col>
          <xdr:colOff>1000125</xdr:colOff>
          <xdr:row>163</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row r="2">
          <cell r="D2" t="str">
            <v>LYNN HOUSING AUTHORITY</v>
          </cell>
        </row>
        <row r="4">
          <cell r="D4">
            <v>42825</v>
          </cell>
        </row>
      </sheetData>
      <sheetData sheetId="1"/>
      <sheetData sheetId="2"/>
      <sheetData sheetId="3"/>
      <sheetData sheetId="4"/>
      <sheetData sheetId="5"/>
      <sheetData sheetId="6">
        <row r="5">
          <cell r="D5">
            <v>42825</v>
          </cell>
        </row>
      </sheetData>
      <sheetData sheetId="7"/>
      <sheetData sheetId="8"/>
      <sheetData sheetId="9"/>
      <sheetData sheetId="10">
        <row r="5">
          <cell r="D5" t="str">
            <v>Extraordinary Maintenance - Account 4610</v>
          </cell>
        </row>
      </sheetData>
      <sheetData sheetId="11"/>
      <sheetData sheetId="12"/>
      <sheetData sheetId="13">
        <row r="5">
          <cell r="D5" t="str">
            <v>163024001</v>
          </cell>
        </row>
      </sheetData>
      <sheetData sheetId="14"/>
      <sheetData sheetId="15"/>
      <sheetData sheetId="16"/>
      <sheetData sheetId="17"/>
      <sheetData sheetId="18"/>
      <sheetData sheetId="19"/>
      <sheetData sheetId="20">
        <row r="5">
          <cell r="D5">
            <v>0.41399999999999998</v>
          </cell>
        </row>
      </sheetData>
      <sheetData sheetId="21"/>
      <sheetData sheetId="22"/>
      <sheetData sheetId="23"/>
      <sheetData sheetId="24">
        <row r="6">
          <cell r="D6">
            <v>0.48</v>
          </cell>
        </row>
      </sheetData>
      <sheetData sheetId="25">
        <row r="6">
          <cell r="D6">
            <v>133571.29</v>
          </cell>
        </row>
      </sheetData>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1"/>
  <sheetViews>
    <sheetView tabSelected="1" zoomScale="55" zoomScaleNormal="55" workbookViewId="0">
      <selection activeCell="E119" sqref="E119"/>
    </sheetView>
  </sheetViews>
  <sheetFormatPr defaultColWidth="9.140625" defaultRowHeight="18"/>
  <cols>
    <col min="1" max="1" width="9.140625" style="3"/>
    <col min="2" max="2" width="19.140625" style="3" customWidth="1"/>
    <col min="3" max="3" width="6" style="3" customWidth="1"/>
    <col min="4" max="4" width="130" style="3" customWidth="1"/>
    <col min="5" max="5" width="19.85546875" style="3" customWidth="1"/>
    <col min="6" max="6" width="20.85546875" style="3" customWidth="1"/>
    <col min="7" max="8" width="17.42578125" style="3" customWidth="1"/>
    <col min="9" max="9" width="15.42578125" style="42" customWidth="1"/>
    <col min="10" max="12" width="9.140625" style="42" hidden="1" customWidth="1"/>
    <col min="13" max="16" width="0" style="42" hidden="1" customWidth="1"/>
    <col min="17" max="16384" width="9.140625" style="42"/>
  </cols>
  <sheetData>
    <row r="1" spans="2:13" ht="18.75" thickBot="1"/>
    <row r="2" spans="2:13" ht="15.75" customHeight="1">
      <c r="B2" s="151" t="s">
        <v>0</v>
      </c>
      <c r="C2" s="152"/>
      <c r="D2" s="152"/>
      <c r="E2" s="152"/>
      <c r="F2" s="152"/>
      <c r="G2" s="153"/>
      <c r="H2" s="104"/>
      <c r="I2" s="104"/>
    </row>
    <row r="3" spans="2:13" ht="56.25" customHeight="1">
      <c r="B3" s="154"/>
      <c r="C3" s="155"/>
      <c r="D3" s="155"/>
      <c r="E3" s="155"/>
      <c r="F3" s="155"/>
      <c r="G3" s="156"/>
      <c r="I3" s="105" t="s">
        <v>1</v>
      </c>
    </row>
    <row r="4" spans="2:13" ht="15.75" customHeight="1" thickBot="1">
      <c r="B4" s="157"/>
      <c r="C4" s="158"/>
      <c r="D4" s="158"/>
      <c r="E4" s="158"/>
      <c r="F4" s="158"/>
      <c r="G4" s="159"/>
    </row>
    <row r="5" spans="2:13" ht="15.75" customHeight="1">
      <c r="B5" s="43"/>
      <c r="C5" s="43"/>
      <c r="D5" s="43"/>
      <c r="E5" s="43"/>
      <c r="F5" s="43"/>
      <c r="G5" s="43"/>
    </row>
    <row r="6" spans="2:13" ht="23.25">
      <c r="C6" s="161" t="s">
        <v>2</v>
      </c>
      <c r="D6" s="161"/>
      <c r="E6" s="161"/>
      <c r="F6" s="161"/>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3</v>
      </c>
      <c r="C10" s="44"/>
      <c r="D10" s="182" t="s">
        <v>4</v>
      </c>
      <c r="E10" s="183"/>
      <c r="F10" s="183"/>
      <c r="G10" s="184"/>
    </row>
    <row r="11" spans="2:13" ht="30" customHeight="1">
      <c r="B11" s="45"/>
      <c r="C11" s="44"/>
      <c r="D11" s="185"/>
      <c r="E11" s="186"/>
      <c r="F11" s="186"/>
      <c r="G11" s="187"/>
    </row>
    <row r="12" spans="2:13" ht="30" customHeight="1">
      <c r="B12" s="45"/>
      <c r="C12" s="44"/>
      <c r="D12" s="185"/>
      <c r="E12" s="186"/>
      <c r="F12" s="186"/>
      <c r="G12" s="187"/>
    </row>
    <row r="13" spans="2:13" ht="42" customHeight="1" thickBot="1">
      <c r="B13" s="45"/>
      <c r="C13" s="44"/>
      <c r="D13" s="185"/>
      <c r="E13" s="186"/>
      <c r="F13" s="186"/>
      <c r="G13" s="187"/>
    </row>
    <row r="14" spans="2:13" ht="21.95" customHeight="1" thickBot="1">
      <c r="B14" s="11"/>
      <c r="C14" s="46"/>
      <c r="D14" s="47" t="s">
        <v>5</v>
      </c>
      <c r="E14" s="12"/>
      <c r="G14" s="48"/>
    </row>
    <row r="15" spans="2:13" ht="21.95" customHeight="1" thickBot="1">
      <c r="B15" s="11"/>
      <c r="C15" s="49"/>
      <c r="D15" s="47" t="s">
        <v>6</v>
      </c>
      <c r="E15" s="13"/>
      <c r="G15" s="48"/>
    </row>
    <row r="16" spans="2:13" ht="12" customHeight="1">
      <c r="B16" s="11"/>
      <c r="C16" s="49"/>
      <c r="D16" s="50"/>
      <c r="E16" s="30"/>
      <c r="F16" s="51"/>
      <c r="G16" s="52"/>
      <c r="M16" s="54"/>
    </row>
    <row r="17" spans="2:13" ht="12" customHeight="1">
      <c r="B17" s="11"/>
      <c r="C17" s="49"/>
      <c r="D17" s="53"/>
      <c r="E17" s="11"/>
      <c r="F17" s="49"/>
      <c r="G17" s="11"/>
      <c r="M17" s="54"/>
    </row>
    <row r="18" spans="2:13" ht="21" thickBot="1">
      <c r="B18" s="11"/>
      <c r="C18" s="49"/>
      <c r="D18" s="7"/>
      <c r="E18" s="7"/>
      <c r="F18" s="7"/>
      <c r="M18" s="55"/>
    </row>
    <row r="19" spans="2:13" ht="24.95" customHeight="1" thickBot="1">
      <c r="B19" s="56" t="s">
        <v>7</v>
      </c>
      <c r="C19" s="57" t="s">
        <v>8</v>
      </c>
      <c r="D19" s="102" t="s">
        <v>9</v>
      </c>
      <c r="E19" s="175"/>
      <c r="F19" s="176"/>
      <c r="G19" s="177"/>
      <c r="J19" s="42" t="b">
        <f>ISTEXT(E19)</f>
        <v>0</v>
      </c>
      <c r="L19" s="42">
        <f>COUNTIF(J19,"True")</f>
        <v>0</v>
      </c>
    </row>
    <row r="20" spans="2:13" ht="24.95" customHeight="1" thickBot="1">
      <c r="B20" s="11"/>
      <c r="C20" s="44"/>
      <c r="D20" s="103" t="s">
        <v>10</v>
      </c>
      <c r="E20" s="178"/>
      <c r="F20" s="179"/>
      <c r="G20" s="180"/>
      <c r="J20" s="42" t="b">
        <f t="shared" ref="J20:J21" si="0">ISTEXT(E20)</f>
        <v>0</v>
      </c>
      <c r="L20" s="42">
        <f t="shared" ref="L20:L21" si="1">COUNTIF(J20,"True")</f>
        <v>0</v>
      </c>
    </row>
    <row r="21" spans="2:13" ht="24.95" customHeight="1" thickBot="1">
      <c r="B21" s="11"/>
      <c r="C21" s="44"/>
      <c r="D21" s="103" t="s">
        <v>11</v>
      </c>
      <c r="E21" s="181"/>
      <c r="F21" s="179"/>
      <c r="G21" s="180"/>
      <c r="J21" s="42" t="b">
        <f t="shared" si="0"/>
        <v>0</v>
      </c>
      <c r="L21" s="42">
        <f t="shared" si="1"/>
        <v>0</v>
      </c>
    </row>
    <row r="22" spans="2:13" ht="24.95" customHeight="1" thickBot="1">
      <c r="B22" s="11"/>
      <c r="C22" s="44"/>
      <c r="D22" s="28" t="s">
        <v>12</v>
      </c>
      <c r="E22" s="171" t="str">
        <f>IF(G22&gt;37.5,"Hours Must Not Exceed 37.5",IF(G22&lt;=0,"Hours Must Exceed 0","  "))</f>
        <v xml:space="preserve">  </v>
      </c>
      <c r="F22" s="172"/>
      <c r="G22" s="14">
        <v>37.5</v>
      </c>
      <c r="J22" s="42" t="b">
        <f>ISTEXT(G22)</f>
        <v>0</v>
      </c>
      <c r="L22" s="42">
        <f t="shared" ref="L22" si="2">COUNTIF(J22,"True")</f>
        <v>0</v>
      </c>
    </row>
    <row r="23" spans="2:13" ht="24.95" customHeight="1" thickBot="1">
      <c r="B23" s="11"/>
      <c r="C23" s="49"/>
      <c r="D23" s="29" t="s">
        <v>13</v>
      </c>
      <c r="E23" s="173"/>
      <c r="F23" s="174"/>
      <c r="G23" s="13" t="str">
        <f>IF(G22=37.5,"Full Time",IF(AND(G22&lt;37.5,G22&gt;0),"Part Time",IF(OR(G22&gt;37.5,G22&lt;1),"Error")))</f>
        <v>Full Time</v>
      </c>
    </row>
    <row r="24" spans="2:13" ht="24.95" customHeight="1">
      <c r="B24" s="11"/>
      <c r="C24" s="49"/>
      <c r="D24" s="29" t="s">
        <v>14</v>
      </c>
      <c r="E24" s="58"/>
      <c r="F24" s="58"/>
      <c r="G24" s="48"/>
    </row>
    <row r="25" spans="2:13" ht="20.25">
      <c r="B25" s="11"/>
      <c r="C25" s="49"/>
      <c r="D25" s="28"/>
      <c r="E25" s="58"/>
      <c r="F25" s="58"/>
      <c r="G25" s="48"/>
    </row>
    <row r="26" spans="2:13" ht="21" thickBot="1">
      <c r="B26" s="11"/>
      <c r="C26" s="49"/>
      <c r="D26" s="28" t="s">
        <v>15</v>
      </c>
      <c r="E26" s="11"/>
      <c r="F26" s="11"/>
      <c r="G26" s="48"/>
    </row>
    <row r="27" spans="2:13" ht="21" thickBot="1">
      <c r="B27" s="11"/>
      <c r="C27" s="49"/>
      <c r="D27" s="37" t="s">
        <v>16</v>
      </c>
      <c r="E27" s="30"/>
      <c r="F27" s="30"/>
      <c r="G27" s="20">
        <v>0</v>
      </c>
      <c r="J27" s="42" t="b">
        <f>IF(G27&gt;0,TRUE,FALSE)</f>
        <v>0</v>
      </c>
      <c r="L27" s="42">
        <f t="shared" ref="L27" si="3">COUNTIF(J27,"True")</f>
        <v>0</v>
      </c>
    </row>
    <row r="28" spans="2:13" ht="20.25">
      <c r="B28" s="11"/>
      <c r="C28" s="49"/>
      <c r="D28" s="91"/>
      <c r="E28" s="11"/>
      <c r="F28" s="11"/>
      <c r="G28" s="21"/>
    </row>
    <row r="29" spans="2:13" ht="20.25">
      <c r="B29" s="11"/>
      <c r="C29" s="49"/>
    </row>
    <row r="30" spans="2:13" ht="23.25">
      <c r="B30" s="9" t="s">
        <v>17</v>
      </c>
      <c r="C30" s="57" t="s">
        <v>8</v>
      </c>
      <c r="D30" s="9" t="s">
        <v>18</v>
      </c>
    </row>
    <row r="31" spans="2:13">
      <c r="B31" s="4"/>
      <c r="C31" s="59"/>
      <c r="D31" s="4"/>
    </row>
    <row r="32" spans="2:13" ht="18" customHeight="1">
      <c r="D32" s="162" t="s">
        <v>19</v>
      </c>
      <c r="E32" s="163"/>
      <c r="F32" s="163"/>
      <c r="G32" s="164"/>
    </row>
    <row r="33" spans="3:9" ht="18" customHeight="1">
      <c r="D33" s="165"/>
      <c r="E33" s="166"/>
      <c r="F33" s="166"/>
      <c r="G33" s="167"/>
    </row>
    <row r="34" spans="3:9" ht="18" customHeight="1">
      <c r="D34" s="165"/>
      <c r="E34" s="166"/>
      <c r="F34" s="166"/>
      <c r="G34" s="167"/>
    </row>
    <row r="35" spans="3:9" ht="18" customHeight="1">
      <c r="D35" s="165"/>
      <c r="E35" s="166"/>
      <c r="F35" s="166"/>
      <c r="G35" s="167"/>
    </row>
    <row r="36" spans="3:9" ht="18" customHeight="1">
      <c r="D36" s="165"/>
      <c r="E36" s="166"/>
      <c r="F36" s="166"/>
      <c r="G36" s="167"/>
    </row>
    <row r="37" spans="3:9" ht="144" customHeight="1">
      <c r="D37" s="168"/>
      <c r="E37" s="169"/>
      <c r="F37" s="169"/>
      <c r="G37" s="170"/>
    </row>
    <row r="38" spans="3:9" ht="19.5" thickBot="1">
      <c r="D38" s="60"/>
      <c r="E38" s="60"/>
      <c r="F38" s="60"/>
      <c r="G38" s="60"/>
    </row>
    <row r="39" spans="3:9" ht="41.25" thickBot="1">
      <c r="C39" s="61" t="s">
        <v>20</v>
      </c>
      <c r="D39" s="62" t="s">
        <v>21</v>
      </c>
      <c r="E39" s="63" t="s">
        <v>22</v>
      </c>
      <c r="F39" s="64" t="s">
        <v>23</v>
      </c>
      <c r="H39" s="42"/>
    </row>
    <row r="40" spans="3:9" ht="24" customHeight="1">
      <c r="C40" s="65">
        <v>1</v>
      </c>
      <c r="D40" s="31" t="s">
        <v>24</v>
      </c>
      <c r="E40" s="25">
        <v>0</v>
      </c>
      <c r="F40" s="66">
        <f>E40</f>
        <v>0</v>
      </c>
      <c r="H40" s="42"/>
    </row>
    <row r="41" spans="3:9" ht="24" customHeight="1">
      <c r="C41" s="65">
        <v>2</v>
      </c>
      <c r="D41" s="32" t="s">
        <v>25</v>
      </c>
      <c r="E41" s="24">
        <v>0</v>
      </c>
      <c r="F41" s="67">
        <f>E41</f>
        <v>0</v>
      </c>
      <c r="H41" s="42"/>
    </row>
    <row r="42" spans="3:9" ht="24" customHeight="1">
      <c r="C42" s="65">
        <v>3</v>
      </c>
      <c r="D42" s="32" t="s">
        <v>26</v>
      </c>
      <c r="E42" s="24">
        <v>0</v>
      </c>
      <c r="F42" s="210"/>
      <c r="H42" s="42"/>
    </row>
    <row r="43" spans="3:9" ht="24" customHeight="1">
      <c r="C43" s="65">
        <v>4</v>
      </c>
      <c r="D43" s="32" t="s">
        <v>27</v>
      </c>
      <c r="E43" s="24">
        <v>0</v>
      </c>
      <c r="F43" s="211"/>
      <c r="H43" s="42"/>
    </row>
    <row r="44" spans="3:9" ht="24" customHeight="1">
      <c r="C44" s="65">
        <v>5</v>
      </c>
      <c r="D44" s="32" t="s">
        <v>371</v>
      </c>
      <c r="E44" s="24">
        <v>0</v>
      </c>
      <c r="F44" s="211"/>
      <c r="G44" s="188"/>
      <c r="H44" s="189"/>
      <c r="I44" s="189"/>
    </row>
    <row r="45" spans="3:9" ht="24" customHeight="1">
      <c r="C45" s="65">
        <v>6</v>
      </c>
      <c r="D45" s="32" t="s">
        <v>28</v>
      </c>
      <c r="E45" s="24">
        <v>0</v>
      </c>
      <c r="F45" s="211"/>
      <c r="G45" s="188"/>
      <c r="H45" s="189"/>
      <c r="I45" s="189"/>
    </row>
    <row r="46" spans="3:9" ht="24" customHeight="1">
      <c r="C46" s="65">
        <v>7</v>
      </c>
      <c r="D46" s="32" t="s">
        <v>29</v>
      </c>
      <c r="E46" s="24">
        <v>0</v>
      </c>
      <c r="F46" s="211"/>
      <c r="H46" s="42"/>
    </row>
    <row r="47" spans="3:9" ht="24" customHeight="1">
      <c r="C47" s="65">
        <v>8</v>
      </c>
      <c r="D47" s="32" t="s">
        <v>30</v>
      </c>
      <c r="E47" s="24">
        <v>0</v>
      </c>
      <c r="F47" s="211"/>
      <c r="H47" s="42"/>
    </row>
    <row r="48" spans="3:9" ht="24" customHeight="1">
      <c r="C48" s="65">
        <v>9</v>
      </c>
      <c r="D48" s="32" t="s">
        <v>31</v>
      </c>
      <c r="E48" s="24">
        <v>0</v>
      </c>
      <c r="F48" s="211"/>
      <c r="H48" s="42"/>
    </row>
    <row r="49" spans="2:8" ht="24" customHeight="1">
      <c r="C49" s="65">
        <v>10</v>
      </c>
      <c r="D49" s="32" t="s">
        <v>32</v>
      </c>
      <c r="E49" s="24">
        <v>0</v>
      </c>
      <c r="F49" s="211"/>
      <c r="H49" s="42"/>
    </row>
    <row r="50" spans="2:8" ht="24" customHeight="1">
      <c r="C50" s="65">
        <v>11</v>
      </c>
      <c r="D50" s="32" t="s">
        <v>33</v>
      </c>
      <c r="E50" s="24">
        <v>0</v>
      </c>
      <c r="F50" s="211"/>
      <c r="H50" s="42"/>
    </row>
    <row r="51" spans="2:8" ht="24" customHeight="1">
      <c r="C51" s="160">
        <v>12</v>
      </c>
      <c r="D51" s="68" t="s">
        <v>34</v>
      </c>
      <c r="E51" s="24">
        <v>0</v>
      </c>
      <c r="F51" s="211"/>
      <c r="H51" s="42"/>
    </row>
    <row r="52" spans="2:8" ht="24" customHeight="1">
      <c r="C52" s="160"/>
      <c r="D52" s="33"/>
      <c r="E52" s="24">
        <v>0</v>
      </c>
      <c r="F52" s="211"/>
      <c r="H52" s="42"/>
    </row>
    <row r="53" spans="2:8" ht="24" customHeight="1">
      <c r="C53" s="160"/>
      <c r="D53" s="34"/>
      <c r="E53" s="24">
        <v>0</v>
      </c>
      <c r="F53" s="212"/>
      <c r="H53" s="42"/>
    </row>
    <row r="54" spans="2:8" ht="24" customHeight="1" thickBot="1">
      <c r="C54" s="40">
        <v>13</v>
      </c>
      <c r="D54" s="41" t="s">
        <v>35</v>
      </c>
      <c r="E54" s="26">
        <f>SUM(E40:E53)</f>
        <v>0</v>
      </c>
      <c r="F54" s="27">
        <f>IF(OR(F41&gt;E41,F40&gt;E40),"Error",F40+F41)</f>
        <v>0</v>
      </c>
      <c r="H54" s="42"/>
    </row>
    <row r="55" spans="2:8" ht="19.5" customHeight="1" thickTop="1">
      <c r="D55" s="92" t="str">
        <f>IF(E54&lt;0,"Missing Information Above","")</f>
        <v/>
      </c>
      <c r="F55" s="97"/>
      <c r="G55" s="97"/>
    </row>
    <row r="56" spans="2:8" ht="24" customHeight="1">
      <c r="D56" s="94" t="s">
        <v>36</v>
      </c>
      <c r="F56" s="97"/>
      <c r="G56" s="97"/>
    </row>
    <row r="57" spans="2:8" ht="10.5" customHeight="1">
      <c r="D57" s="94"/>
      <c r="F57" s="97"/>
      <c r="G57" s="97"/>
    </row>
    <row r="58" spans="2:8" ht="24" customHeight="1">
      <c r="C58" s="147">
        <v>14</v>
      </c>
      <c r="D58" s="93" t="s">
        <v>37</v>
      </c>
      <c r="E58" s="98" t="s">
        <v>38</v>
      </c>
      <c r="F58" s="97"/>
      <c r="G58" s="97"/>
    </row>
    <row r="59" spans="2:8" ht="24" customHeight="1">
      <c r="C59" s="65">
        <v>15</v>
      </c>
      <c r="D59" s="93" t="s">
        <v>39</v>
      </c>
      <c r="E59" s="98" t="s">
        <v>38</v>
      </c>
      <c r="F59" s="97"/>
      <c r="G59" s="97"/>
    </row>
    <row r="60" spans="2:8" ht="29.25" customHeight="1">
      <c r="F60" s="97"/>
      <c r="G60" s="97"/>
    </row>
    <row r="61" spans="2:8" ht="23.25">
      <c r="B61" s="9" t="s">
        <v>40</v>
      </c>
      <c r="C61" s="69"/>
      <c r="D61" s="9" t="s">
        <v>41</v>
      </c>
      <c r="F61" s="97"/>
      <c r="G61" s="97"/>
    </row>
    <row r="62" spans="2:8" ht="18.75" thickBot="1">
      <c r="B62" s="3" t="s">
        <v>42</v>
      </c>
      <c r="D62" s="4"/>
      <c r="F62" s="97"/>
      <c r="G62" s="97"/>
    </row>
    <row r="63" spans="2:8" ht="23.1" customHeight="1" thickBot="1">
      <c r="C63" s="7"/>
      <c r="D63" s="39" t="s">
        <v>43</v>
      </c>
      <c r="E63" s="15" t="str">
        <f>IF(E54&gt;=5000,VLOOKUP(5000,Sal,2,FALS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1" thickBot="1">
      <c r="C64" s="7"/>
      <c r="D64" s="10"/>
      <c r="E64" s="35"/>
      <c r="G64" s="5"/>
    </row>
    <row r="65" spans="2:17" ht="23.1" customHeight="1" thickBot="1">
      <c r="C65" s="7"/>
      <c r="D65" s="39" t="s">
        <v>44</v>
      </c>
      <c r="E65" s="99"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1" thickBot="1">
      <c r="C66" s="7"/>
      <c r="D66" s="10"/>
      <c r="E66" s="35"/>
      <c r="F66" s="7"/>
      <c r="G66" s="5"/>
    </row>
    <row r="67" spans="2:17" ht="23.1" customHeight="1" thickBot="1">
      <c r="C67" s="7"/>
      <c r="D67" s="39" t="s">
        <v>45</v>
      </c>
      <c r="E67" s="113"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1" thickBot="1">
      <c r="C68" s="7"/>
      <c r="D68" s="10"/>
      <c r="E68" s="35"/>
      <c r="F68" s="7"/>
      <c r="G68" s="5"/>
    </row>
    <row r="69" spans="2:17" ht="23.1" customHeight="1" thickBot="1">
      <c r="C69" s="7"/>
      <c r="D69" s="39" t="s">
        <v>46</v>
      </c>
      <c r="E69" s="15" t="e">
        <f>MIN(189000,IF(E54&gt;=5000,(E54-5000)*E67,IF(E54&gt;=3000,(E54-3000)*E67,IF(E54&gt;=2000,(E54-2000)*E67,IF(E54&gt;=1500,(E54-1500)*E67,IF(E54&gt;=1000,(E54-1000)*E67,IF(E54&gt;=700,(E54-700)*E67,IF(E54&gt;=400,(E54-400)*E67,IF(E54&gt;=170,(E54-170)*E67,IF(E54&gt;=60,(E54-60)*E67,IF(E54&gt;=30,(E54-30)*E67,IF(E54&gt;=1,(E54-1)*E67,IF(E54&gt;=0," ")))))))))))))</f>
        <v>#VALUE!</v>
      </c>
      <c r="F69" s="7"/>
      <c r="G69" s="5"/>
    </row>
    <row r="70" spans="2:17" ht="21" thickBot="1">
      <c r="D70" s="11"/>
      <c r="E70" s="18"/>
      <c r="G70" s="5"/>
    </row>
    <row r="71" spans="2:17" ht="23.1" customHeight="1">
      <c r="D71" s="117" t="s">
        <v>47</v>
      </c>
      <c r="E71" s="118" t="e">
        <f>MIN(189000,E69+E63)</f>
        <v>#VALUE!</v>
      </c>
      <c r="F71" s="107"/>
      <c r="G71" s="5"/>
      <c r="Q71" s="112" t="s">
        <v>48</v>
      </c>
    </row>
    <row r="72" spans="2:17" ht="20.25">
      <c r="D72" s="119"/>
      <c r="E72" s="120"/>
      <c r="F72" s="115"/>
      <c r="G72" s="8"/>
    </row>
    <row r="73" spans="2:17" ht="20.25">
      <c r="D73" s="119" t="s">
        <v>49</v>
      </c>
      <c r="E73" s="121" t="str">
        <f>IF(G22&gt;=37.5,"Error",IF(G22&lt;37.5,(G22/37.5)*E71,""))</f>
        <v>Error</v>
      </c>
      <c r="F73" s="115"/>
      <c r="G73" s="8"/>
    </row>
    <row r="74" spans="2:17">
      <c r="D74" s="115"/>
      <c r="E74" s="116"/>
      <c r="F74" s="115"/>
      <c r="G74" s="114"/>
    </row>
    <row r="75" spans="2:17">
      <c r="D75" s="115"/>
      <c r="E75" s="116"/>
      <c r="F75" s="115"/>
      <c r="G75" s="8"/>
    </row>
    <row r="76" spans="2:17" ht="23.25">
      <c r="B76" s="9" t="s">
        <v>50</v>
      </c>
      <c r="C76" s="57"/>
      <c r="D76" s="9" t="s">
        <v>51</v>
      </c>
      <c r="E76" s="6"/>
      <c r="G76" s="8"/>
    </row>
    <row r="77" spans="2:17" ht="18.75" thickBot="1">
      <c r="B77" s="3" t="s">
        <v>42</v>
      </c>
      <c r="E77" s="6"/>
      <c r="G77" s="8"/>
    </row>
    <row r="78" spans="2:17" ht="23.1" customHeight="1" thickBot="1">
      <c r="D78" s="39" t="s">
        <v>52</v>
      </c>
      <c r="E78" s="17">
        <f>N78+O78+P78</f>
        <v>0</v>
      </c>
      <c r="F78" s="107"/>
      <c r="H78" s="8"/>
      <c r="N78" s="95">
        <f>COUNTIF(E58,"Yes")</f>
        <v>0</v>
      </c>
      <c r="O78" s="95">
        <f>COUNTIF(E59,"Yes")</f>
        <v>0</v>
      </c>
      <c r="P78" s="96">
        <f>COUNTIF(E40:E53,"&gt;0")</f>
        <v>0</v>
      </c>
    </row>
    <row r="79" spans="2:17" ht="21" thickBot="1">
      <c r="D79" s="10"/>
      <c r="E79" s="16"/>
      <c r="G79" s="8"/>
    </row>
    <row r="80" spans="2:17" ht="23.1" customHeight="1" thickBot="1">
      <c r="D80" s="39" t="s">
        <v>53</v>
      </c>
      <c r="E80" s="15" t="e">
        <f>VLOOKUP(MIN(E78,10),PROGRAM_FACTOR,2,FALSE)</f>
        <v>#N/A</v>
      </c>
      <c r="G80" s="8"/>
    </row>
    <row r="81" spans="2:17">
      <c r="G81" s="8"/>
    </row>
    <row r="82" spans="2:17">
      <c r="G82" s="8"/>
    </row>
    <row r="83" spans="2:17" ht="23.25">
      <c r="B83" s="9" t="s">
        <v>54</v>
      </c>
      <c r="C83" s="57"/>
      <c r="D83" s="9" t="s">
        <v>55</v>
      </c>
      <c r="G83" s="8"/>
    </row>
    <row r="84" spans="2:17" ht="18.75" thickBot="1">
      <c r="B84" s="3" t="s">
        <v>42</v>
      </c>
      <c r="G84" s="8"/>
    </row>
    <row r="85" spans="2:17" ht="23.1" customHeight="1" thickBot="1">
      <c r="D85" s="39" t="s">
        <v>56</v>
      </c>
      <c r="E85" s="101">
        <f>F54</f>
        <v>0</v>
      </c>
      <c r="G85" s="8"/>
    </row>
    <row r="86" spans="2:17" ht="21" thickBot="1">
      <c r="D86" s="10"/>
      <c r="E86" s="11"/>
      <c r="G86" s="8"/>
    </row>
    <row r="87" spans="2:17" ht="23.1" customHeight="1" thickBot="1">
      <c r="D87" s="39" t="s">
        <v>57</v>
      </c>
      <c r="E87" s="19" t="str">
        <f>IF(E85&gt;=700,'Salary Lookup'!D43,IF(E85&gt;=400,'Salary Lookup'!D42,IF(E85&gt;=200,'Salary Lookup'!D41,IF(E85&gt;=100,'Salary Lookup'!D40,IF(E85&gt;=50,'Salary Lookup'!D39,IF(E85&gt;=1,'Salary Lookup'!D38,IF(E85&gt;=0,"0",IF(E85 = "Error",'Salary Lookup'!D44))))))))</f>
        <v>0</v>
      </c>
      <c r="G87" s="8"/>
    </row>
    <row r="88" spans="2:17" ht="23.25">
      <c r="B88" s="69"/>
      <c r="G88" s="8"/>
    </row>
    <row r="89" spans="2:17" ht="23.25">
      <c r="B89" s="69"/>
      <c r="G89" s="8"/>
    </row>
    <row r="90" spans="2:17" ht="23.25">
      <c r="B90" s="9" t="s">
        <v>58</v>
      </c>
      <c r="C90" s="57"/>
      <c r="D90" s="9" t="s">
        <v>59</v>
      </c>
      <c r="G90" s="8"/>
    </row>
    <row r="91" spans="2:17" ht="18.75" thickBot="1">
      <c r="B91" s="3" t="s">
        <v>42</v>
      </c>
      <c r="G91" s="8"/>
    </row>
    <row r="92" spans="2:17" ht="23.1" customHeight="1" thickBot="1">
      <c r="D92" s="39" t="str">
        <f>IF(G23="Full Time","Full Time LHA Calculated Salary Maximum",IF(G23="Part Time","Part Time (Prorated) LHA Calculated Salary Maximum",IF(G23="Error","Error")))</f>
        <v>Full Time LHA Calculated Salary Maximum</v>
      </c>
      <c r="E92" s="38" t="e">
        <f>IF(G23="Error","Error",IF(F54="Error","Error",IF(G23="Full Time",MIN(198450,E71+E80+E87),IF(G23="Part Time",MIN(198450,E73+E80+E87)))))</f>
        <v>#VALUE!</v>
      </c>
      <c r="F92" s="107"/>
      <c r="G92" s="8"/>
      <c r="Q92" s="112" t="s">
        <v>48</v>
      </c>
    </row>
    <row r="93" spans="2:17" ht="20.25">
      <c r="D93" s="10"/>
      <c r="E93" s="11"/>
      <c r="G93" s="8"/>
    </row>
    <row r="94" spans="2:17" ht="20.25">
      <c r="D94" s="10"/>
      <c r="E94" s="11"/>
      <c r="G94" s="8"/>
    </row>
    <row r="95" spans="2:17" ht="18" customHeight="1">
      <c r="D95" s="182" t="s">
        <v>60</v>
      </c>
      <c r="E95" s="183"/>
      <c r="F95" s="183"/>
      <c r="G95" s="184"/>
    </row>
    <row r="96" spans="2:17" ht="18" customHeight="1">
      <c r="D96" s="185"/>
      <c r="E96" s="186"/>
      <c r="F96" s="186"/>
      <c r="G96" s="187"/>
    </row>
    <row r="97" spans="2:28" ht="33" customHeight="1">
      <c r="D97" s="206"/>
      <c r="E97" s="207"/>
      <c r="F97" s="207"/>
      <c r="G97" s="208"/>
    </row>
    <row r="98" spans="2:28">
      <c r="G98" s="8"/>
    </row>
    <row r="99" spans="2:28">
      <c r="G99" s="8"/>
    </row>
    <row r="100" spans="2:28" ht="23.25">
      <c r="B100" s="9" t="s">
        <v>61</v>
      </c>
      <c r="C100" s="44" t="s">
        <v>8</v>
      </c>
      <c r="D100" s="9" t="s">
        <v>62</v>
      </c>
      <c r="G100" s="8"/>
    </row>
    <row r="101" spans="2:28" ht="20.25">
      <c r="B101" s="45"/>
      <c r="C101" s="11"/>
      <c r="D101" s="45"/>
      <c r="G101" s="8"/>
    </row>
    <row r="102" spans="2:28" ht="20.25">
      <c r="B102" s="45"/>
      <c r="C102" s="11"/>
      <c r="D102" s="182" t="s">
        <v>63</v>
      </c>
      <c r="E102" s="183"/>
      <c r="F102" s="183"/>
      <c r="G102" s="184"/>
    </row>
    <row r="103" spans="2:28" ht="83.25" customHeight="1">
      <c r="B103" s="45"/>
      <c r="C103" s="11"/>
      <c r="D103" s="206"/>
      <c r="E103" s="207"/>
      <c r="F103" s="207"/>
      <c r="G103" s="208"/>
      <c r="Q103" s="209" t="s">
        <v>64</v>
      </c>
      <c r="R103" s="209"/>
      <c r="S103" s="209"/>
      <c r="T103" s="209"/>
      <c r="U103" s="209"/>
      <c r="V103" s="209"/>
      <c r="W103" s="209"/>
      <c r="X103" s="209"/>
      <c r="Y103" s="209"/>
      <c r="Z103" s="209"/>
      <c r="AA103" s="209"/>
      <c r="AB103" s="209"/>
    </row>
    <row r="104" spans="2:28" ht="21.75" customHeight="1">
      <c r="B104" s="45"/>
      <c r="C104" s="11"/>
      <c r="D104" s="70"/>
      <c r="G104" s="8"/>
    </row>
    <row r="105" spans="2:28" ht="21.75" customHeight="1">
      <c r="B105" s="45"/>
      <c r="C105" s="11"/>
      <c r="D105" s="70"/>
      <c r="G105" s="8"/>
    </row>
    <row r="106" spans="2:28" ht="23.25">
      <c r="B106" s="71"/>
      <c r="C106" s="44" t="s">
        <v>8</v>
      </c>
      <c r="D106" s="9" t="s">
        <v>65</v>
      </c>
      <c r="F106" s="4"/>
      <c r="G106" s="203" t="s">
        <v>66</v>
      </c>
      <c r="H106" s="203"/>
    </row>
    <row r="107" spans="2:28" ht="18.75" thickBot="1">
      <c r="G107" s="72"/>
      <c r="H107" s="72"/>
      <c r="J107" s="73"/>
      <c r="K107" s="73"/>
      <c r="L107" s="73"/>
      <c r="M107" s="73"/>
    </row>
    <row r="108" spans="2:28" ht="23.1" customHeight="1" thickBot="1">
      <c r="D108" s="39" t="s">
        <v>67</v>
      </c>
      <c r="E108" s="20">
        <v>0</v>
      </c>
      <c r="F108" s="74" t="str">
        <f>IF(E108&gt;0,"è","  ")</f>
        <v xml:space="preserve">  </v>
      </c>
      <c r="G108" s="201"/>
      <c r="H108" s="202"/>
      <c r="J108" s="73">
        <f>IF(E108&gt;0,1,0)</f>
        <v>0</v>
      </c>
      <c r="K108" s="73"/>
      <c r="L108" s="73" t="b">
        <f>ISTEXT(G108)</f>
        <v>0</v>
      </c>
      <c r="M108" s="73" t="str">
        <f>IF(ISTEXT(L108),1,"")</f>
        <v/>
      </c>
      <c r="N108" s="75"/>
    </row>
    <row r="109" spans="2:28" ht="23.1" customHeight="1" thickBot="1">
      <c r="D109" s="39" t="s">
        <v>68</v>
      </c>
      <c r="E109" s="20">
        <v>0</v>
      </c>
      <c r="F109" s="74" t="str">
        <f t="shared" ref="F109:F111" si="4">IF(E109&gt;0,"è","  ")</f>
        <v xml:space="preserve">  </v>
      </c>
      <c r="G109" s="201"/>
      <c r="H109" s="202"/>
      <c r="J109" s="73">
        <f>IF(E109&gt;0,1,0)</f>
        <v>0</v>
      </c>
      <c r="K109" s="73"/>
      <c r="L109" s="73" t="b">
        <f>ISTEXT(G109)</f>
        <v>0</v>
      </c>
      <c r="M109" s="73"/>
      <c r="N109" s="75"/>
    </row>
    <row r="110" spans="2:28" ht="23.1" customHeight="1" thickBot="1">
      <c r="D110" s="39" t="s">
        <v>69</v>
      </c>
      <c r="E110" s="20">
        <v>0</v>
      </c>
      <c r="F110" s="74" t="str">
        <f t="shared" si="4"/>
        <v xml:space="preserve">  </v>
      </c>
      <c r="G110" s="201"/>
      <c r="H110" s="202"/>
      <c r="J110" s="73">
        <f>IF(E110&gt;0,1,0)</f>
        <v>0</v>
      </c>
      <c r="K110" s="73"/>
      <c r="L110" s="73" t="b">
        <f>ISTEXT(G110)</f>
        <v>0</v>
      </c>
      <c r="M110" s="73"/>
      <c r="N110" s="75"/>
    </row>
    <row r="111" spans="2:28" ht="23.1" customHeight="1" thickBot="1">
      <c r="D111" s="39" t="s">
        <v>70</v>
      </c>
      <c r="E111" s="20">
        <v>0</v>
      </c>
      <c r="F111" s="74" t="str">
        <f t="shared" si="4"/>
        <v xml:space="preserve">  </v>
      </c>
      <c r="G111" s="201"/>
      <c r="H111" s="202"/>
      <c r="J111" s="73">
        <f>IF(E111&gt;0,1,0)</f>
        <v>0</v>
      </c>
      <c r="K111" s="73"/>
      <c r="L111" s="73" t="b">
        <f>ISTEXT(G111)</f>
        <v>0</v>
      </c>
      <c r="M111" s="73"/>
      <c r="N111" s="75"/>
    </row>
    <row r="112" spans="2:28" ht="20.25">
      <c r="C112" s="11"/>
      <c r="D112" s="11"/>
      <c r="F112" s="11"/>
      <c r="G112" s="8"/>
      <c r="J112" s="73">
        <f>SUM(J108:J111)</f>
        <v>0</v>
      </c>
      <c r="K112" s="73"/>
      <c r="L112" s="73">
        <f>COUNTIF(L108:L111,"True")</f>
        <v>0</v>
      </c>
      <c r="M112" s="73"/>
      <c r="N112" s="75"/>
    </row>
    <row r="113" spans="1:17" ht="23.25">
      <c r="C113" s="44" t="s">
        <v>8</v>
      </c>
      <c r="D113" s="9" t="s">
        <v>71</v>
      </c>
      <c r="F113" s="11"/>
      <c r="G113" s="203" t="s">
        <v>72</v>
      </c>
      <c r="H113" s="203"/>
      <c r="J113" s="73"/>
      <c r="K113" s="73"/>
      <c r="L113" s="73"/>
      <c r="M113" s="73"/>
      <c r="N113" s="75"/>
    </row>
    <row r="114" spans="1:17" ht="21" thickBot="1">
      <c r="D114" s="4"/>
      <c r="F114" s="11"/>
      <c r="G114" s="8"/>
      <c r="J114" s="73"/>
      <c r="K114" s="73"/>
      <c r="L114" s="73"/>
      <c r="M114" s="73"/>
      <c r="N114" s="75"/>
    </row>
    <row r="115" spans="1:17" ht="23.1" customHeight="1" thickBot="1">
      <c r="D115" s="39" t="s">
        <v>73</v>
      </c>
      <c r="E115" s="20">
        <v>0</v>
      </c>
      <c r="F115" s="74" t="str">
        <f>IF(E115&gt;0,"è","  ")</f>
        <v xml:space="preserve">  </v>
      </c>
      <c r="G115" s="204"/>
      <c r="H115" s="205"/>
      <c r="J115" s="73">
        <f>IF(E115&gt;0,1,0)</f>
        <v>0</v>
      </c>
      <c r="K115" s="73"/>
      <c r="L115" s="73" t="b">
        <f t="shared" ref="L115:L122" si="5">ISTEXT(G115)</f>
        <v>0</v>
      </c>
      <c r="M115" s="73"/>
      <c r="N115" s="75"/>
    </row>
    <row r="116" spans="1:17" ht="23.1" customHeight="1" thickBot="1">
      <c r="D116" s="39" t="s">
        <v>74</v>
      </c>
      <c r="E116" s="20">
        <v>0</v>
      </c>
      <c r="F116" s="74" t="str">
        <f>IF(E116&gt;0,"è","  ")</f>
        <v xml:space="preserve">  </v>
      </c>
      <c r="G116" s="204"/>
      <c r="H116" s="205"/>
      <c r="J116" s="73">
        <f t="shared" ref="J116:J122" si="6">IF(E116&gt;0,1,0)</f>
        <v>0</v>
      </c>
      <c r="K116" s="73"/>
      <c r="L116" s="73" t="b">
        <f t="shared" si="5"/>
        <v>0</v>
      </c>
      <c r="M116" s="73"/>
      <c r="N116" s="75"/>
    </row>
    <row r="117" spans="1:17" ht="23.1" customHeight="1" thickBot="1">
      <c r="D117" s="39" t="s">
        <v>75</v>
      </c>
      <c r="E117" s="20">
        <v>0</v>
      </c>
      <c r="F117" s="74" t="str">
        <f>IF(E117&gt;0,"è","  ")</f>
        <v xml:space="preserve">  </v>
      </c>
      <c r="G117" s="204"/>
      <c r="H117" s="205"/>
      <c r="J117" s="73">
        <f t="shared" si="6"/>
        <v>0</v>
      </c>
      <c r="K117" s="73"/>
      <c r="L117" s="73" t="b">
        <f t="shared" si="5"/>
        <v>0</v>
      </c>
      <c r="M117" s="73"/>
      <c r="N117" s="75"/>
    </row>
    <row r="118" spans="1:17" ht="23.1" customHeight="1" thickBot="1">
      <c r="D118" s="39" t="s">
        <v>76</v>
      </c>
      <c r="E118" s="20">
        <v>0</v>
      </c>
      <c r="F118" s="74" t="str">
        <f t="shared" ref="F118:F122" si="7">IF(E118&gt;0,"è","  ")</f>
        <v xml:space="preserve">  </v>
      </c>
      <c r="G118" s="204"/>
      <c r="H118" s="205"/>
      <c r="J118" s="73">
        <f t="shared" si="6"/>
        <v>0</v>
      </c>
      <c r="K118" s="73"/>
      <c r="L118" s="73" t="b">
        <f t="shared" si="5"/>
        <v>0</v>
      </c>
      <c r="M118" s="73"/>
      <c r="N118" s="75"/>
    </row>
    <row r="119" spans="1:17" ht="23.1" customHeight="1" thickBot="1">
      <c r="D119" s="39" t="s">
        <v>77</v>
      </c>
      <c r="E119" s="20" t="s">
        <v>373</v>
      </c>
      <c r="F119" s="74" t="str">
        <f t="shared" si="7"/>
        <v>è</v>
      </c>
      <c r="G119" s="204"/>
      <c r="H119" s="205"/>
      <c r="J119" s="73">
        <f t="shared" si="6"/>
        <v>1</v>
      </c>
      <c r="K119" s="73"/>
      <c r="L119" s="73" t="b">
        <f t="shared" si="5"/>
        <v>0</v>
      </c>
      <c r="M119" s="73"/>
      <c r="N119" s="75"/>
    </row>
    <row r="120" spans="1:17" ht="23.1" customHeight="1" thickBot="1">
      <c r="D120" s="39" t="s">
        <v>78</v>
      </c>
      <c r="E120" s="20">
        <v>0</v>
      </c>
      <c r="F120" s="74" t="str">
        <f t="shared" si="7"/>
        <v xml:space="preserve">  </v>
      </c>
      <c r="G120" s="204"/>
      <c r="H120" s="205"/>
      <c r="J120" s="73">
        <f t="shared" si="6"/>
        <v>0</v>
      </c>
      <c r="K120" s="73"/>
      <c r="L120" s="73" t="b">
        <f t="shared" si="5"/>
        <v>0</v>
      </c>
      <c r="M120" s="73"/>
      <c r="N120" s="75"/>
    </row>
    <row r="121" spans="1:17" ht="23.1" customHeight="1" thickBot="1">
      <c r="D121" s="39" t="s">
        <v>79</v>
      </c>
      <c r="E121" s="20">
        <v>0</v>
      </c>
      <c r="F121" s="74" t="str">
        <f t="shared" si="7"/>
        <v xml:space="preserve">  </v>
      </c>
      <c r="G121" s="204"/>
      <c r="H121" s="205"/>
      <c r="J121" s="73">
        <f t="shared" si="6"/>
        <v>0</v>
      </c>
      <c r="K121" s="73"/>
      <c r="L121" s="73" t="b">
        <f t="shared" si="5"/>
        <v>0</v>
      </c>
      <c r="M121" s="73"/>
      <c r="N121" s="75"/>
    </row>
    <row r="122" spans="1:17" ht="23.1" customHeight="1" thickBot="1">
      <c r="D122" s="39" t="s">
        <v>80</v>
      </c>
      <c r="E122" s="20">
        <v>0</v>
      </c>
      <c r="F122" s="74" t="str">
        <f t="shared" si="7"/>
        <v xml:space="preserve">  </v>
      </c>
      <c r="G122" s="204"/>
      <c r="H122" s="205"/>
      <c r="J122" s="73">
        <f t="shared" si="6"/>
        <v>0</v>
      </c>
      <c r="K122" s="73"/>
      <c r="L122" s="73" t="b">
        <f t="shared" si="5"/>
        <v>0</v>
      </c>
      <c r="M122" s="73"/>
      <c r="N122" s="75"/>
    </row>
    <row r="123" spans="1:17" ht="18.75" thickBot="1">
      <c r="G123" s="8"/>
      <c r="J123" s="73">
        <f>SUM(J115:J122)</f>
        <v>1</v>
      </c>
      <c r="K123" s="73"/>
      <c r="L123" s="73">
        <f>COUNTIF(L115:L122, TRUE)</f>
        <v>0</v>
      </c>
      <c r="M123" s="73"/>
      <c r="N123" s="75"/>
    </row>
    <row r="124" spans="1:17" ht="23.1" customHeight="1" thickBot="1">
      <c r="D124" s="76" t="str">
        <f>IF(G23="Full Time","Full Time LHA Calculated Salary Maximum Including Other Sources",IF(G23="Part Time","Part Time (Prorated) LHA Calculated Salary Maximum Including Other Sources",IF(G23="Error","Error")))</f>
        <v>Full Time LHA Calculated Salary Maximum Including Other Sources</v>
      </c>
      <c r="E124" s="77" t="e">
        <f>MIN(218295,E92+E108+E109+E110+E111+E115+E116+E117+E118+E119+E120+E121+E122)</f>
        <v>#VALUE!</v>
      </c>
      <c r="G124" s="78" t="str">
        <f>IF(J112&gt;L112,"Add Owner LHA",IF(J123&gt;L123,"Add Source / Description",""))</f>
        <v>Add Source / Description</v>
      </c>
      <c r="J124" s="73"/>
      <c r="K124" s="73"/>
      <c r="L124" s="73"/>
      <c r="M124" s="73"/>
      <c r="N124" s="75"/>
      <c r="Q124" s="112" t="s">
        <v>81</v>
      </c>
    </row>
    <row r="125" spans="1:17" ht="20.25">
      <c r="E125" s="45"/>
      <c r="G125" s="8"/>
      <c r="J125" s="73"/>
      <c r="K125" s="73"/>
      <c r="L125" s="73"/>
      <c r="M125" s="73"/>
    </row>
    <row r="126" spans="1:17">
      <c r="H126" s="79"/>
      <c r="I126" s="8"/>
      <c r="J126" s="73"/>
      <c r="K126" s="73"/>
      <c r="L126" s="73"/>
      <c r="M126" s="73"/>
    </row>
    <row r="127" spans="1:17" ht="23.25">
      <c r="A127" s="42"/>
      <c r="B127" s="9" t="s">
        <v>82</v>
      </c>
      <c r="C127" s="57"/>
      <c r="D127" s="9" t="s">
        <v>83</v>
      </c>
      <c r="G127" s="8"/>
      <c r="H127" s="42"/>
      <c r="J127" s="73"/>
      <c r="K127" s="73"/>
      <c r="L127" s="73"/>
      <c r="M127" s="73"/>
    </row>
    <row r="128" spans="1:17">
      <c r="A128" s="42"/>
      <c r="B128" s="4"/>
      <c r="C128" s="80"/>
      <c r="D128" s="4"/>
      <c r="G128" s="8"/>
      <c r="H128" s="42"/>
      <c r="J128" s="73"/>
      <c r="K128" s="73"/>
      <c r="L128" s="73"/>
      <c r="M128" s="73"/>
    </row>
    <row r="129" spans="1:17" ht="18" customHeight="1">
      <c r="A129" s="42"/>
      <c r="B129" s="42"/>
      <c r="C129" s="42"/>
      <c r="D129" s="182" t="s">
        <v>84</v>
      </c>
      <c r="E129" s="183"/>
      <c r="F129" s="183"/>
      <c r="G129" s="184"/>
      <c r="H129" s="42"/>
    </row>
    <row r="130" spans="1:17">
      <c r="A130" s="42"/>
      <c r="D130" s="185"/>
      <c r="E130" s="186"/>
      <c r="F130" s="186"/>
      <c r="G130" s="187"/>
      <c r="H130" s="42"/>
    </row>
    <row r="131" spans="1:17">
      <c r="A131" s="42"/>
      <c r="D131" s="185"/>
      <c r="E131" s="186"/>
      <c r="F131" s="186"/>
      <c r="G131" s="187"/>
      <c r="H131" s="42"/>
    </row>
    <row r="132" spans="1:17">
      <c r="A132" s="42"/>
      <c r="D132" s="185"/>
      <c r="E132" s="186"/>
      <c r="F132" s="186"/>
      <c r="G132" s="187"/>
      <c r="H132" s="42"/>
    </row>
    <row r="133" spans="1:17" ht="167.25" customHeight="1">
      <c r="A133" s="42"/>
      <c r="D133" s="206"/>
      <c r="E133" s="207"/>
      <c r="F133" s="207"/>
      <c r="G133" s="208"/>
      <c r="H133" s="42"/>
      <c r="Q133" s="112" t="s">
        <v>85</v>
      </c>
    </row>
    <row r="134" spans="1:17">
      <c r="A134" s="42"/>
      <c r="D134" s="81"/>
      <c r="E134" s="81"/>
      <c r="G134" s="8"/>
      <c r="H134" s="42"/>
    </row>
    <row r="135" spans="1:17" ht="18" customHeight="1">
      <c r="A135" s="42"/>
      <c r="D135" s="182" t="s">
        <v>86</v>
      </c>
      <c r="E135" s="183"/>
      <c r="F135" s="183"/>
      <c r="G135" s="184"/>
      <c r="H135" s="42"/>
    </row>
    <row r="136" spans="1:17">
      <c r="A136" s="42"/>
      <c r="D136" s="185"/>
      <c r="E136" s="186"/>
      <c r="F136" s="186"/>
      <c r="G136" s="187"/>
      <c r="H136" s="42"/>
    </row>
    <row r="137" spans="1:17">
      <c r="A137" s="42"/>
      <c r="D137" s="185"/>
      <c r="E137" s="186"/>
      <c r="F137" s="186"/>
      <c r="G137" s="187"/>
      <c r="H137" s="42"/>
    </row>
    <row r="138" spans="1:17">
      <c r="A138" s="42"/>
      <c r="D138" s="185"/>
      <c r="E138" s="186"/>
      <c r="F138" s="186"/>
      <c r="G138" s="187"/>
      <c r="H138" s="42"/>
    </row>
    <row r="139" spans="1:17">
      <c r="A139" s="42"/>
      <c r="D139" s="185"/>
      <c r="E139" s="186"/>
      <c r="F139" s="186"/>
      <c r="G139" s="187"/>
      <c r="H139" s="42"/>
    </row>
    <row r="140" spans="1:17" ht="57.75" customHeight="1">
      <c r="A140" s="42"/>
      <c r="D140" s="206"/>
      <c r="E140" s="207"/>
      <c r="F140" s="207"/>
      <c r="G140" s="208"/>
      <c r="H140" s="42"/>
    </row>
    <row r="141" spans="1:17">
      <c r="A141" s="42"/>
      <c r="G141" s="8"/>
      <c r="H141" s="42"/>
    </row>
    <row r="142" spans="1:17" ht="23.25">
      <c r="A142" s="42"/>
      <c r="D142" s="9" t="s">
        <v>87</v>
      </c>
      <c r="G142" s="8"/>
      <c r="H142" s="42"/>
    </row>
    <row r="143" spans="1:17" ht="18.75" thickBot="1">
      <c r="A143" s="42"/>
      <c r="D143" s="4"/>
      <c r="G143" s="8"/>
      <c r="H143" s="42"/>
    </row>
    <row r="144" spans="1:17" ht="21" thickBot="1">
      <c r="A144" s="42"/>
      <c r="D144" s="82" t="s">
        <v>88</v>
      </c>
      <c r="E144" s="215">
        <f>E19</f>
        <v>0</v>
      </c>
      <c r="F144" s="216"/>
      <c r="G144" s="8"/>
      <c r="H144" s="42"/>
    </row>
    <row r="145" spans="1:8" ht="21" thickBot="1">
      <c r="A145" s="42"/>
      <c r="D145" s="10"/>
      <c r="E145" s="11"/>
      <c r="G145" s="8"/>
      <c r="H145" s="42"/>
    </row>
    <row r="146" spans="1:8" ht="21" thickBot="1">
      <c r="A146" s="42"/>
      <c r="D146" s="39" t="s">
        <v>11</v>
      </c>
      <c r="E146" s="213" t="str">
        <f>IF(E21="","",E21)</f>
        <v/>
      </c>
      <c r="F146" s="214"/>
      <c r="G146" s="8"/>
      <c r="H146" s="42"/>
    </row>
    <row r="147" spans="1:8" ht="21" thickBot="1">
      <c r="A147" s="42"/>
      <c r="D147" s="45"/>
      <c r="E147" s="11"/>
      <c r="G147" s="8"/>
      <c r="H147" s="42"/>
    </row>
    <row r="148" spans="1:8" ht="21" thickBot="1">
      <c r="A148" s="42"/>
      <c r="D148" s="39" t="s">
        <v>89</v>
      </c>
      <c r="E148" s="17">
        <f>E78</f>
        <v>0</v>
      </c>
      <c r="G148" s="8"/>
      <c r="H148" s="42"/>
    </row>
    <row r="149" spans="1:8" ht="21" thickBot="1">
      <c r="A149" s="42"/>
      <c r="D149" s="10"/>
      <c r="E149" s="11"/>
      <c r="G149" s="8"/>
      <c r="H149" s="42"/>
    </row>
    <row r="150" spans="1:8" ht="21" thickBot="1">
      <c r="A150" s="42"/>
      <c r="D150" s="39" t="s">
        <v>90</v>
      </c>
      <c r="E150" s="17">
        <f>E54</f>
        <v>0</v>
      </c>
      <c r="G150" s="8"/>
      <c r="H150" s="42"/>
    </row>
    <row r="151" spans="1:8" ht="21" thickBot="1">
      <c r="A151" s="42"/>
      <c r="D151" s="10"/>
      <c r="E151" s="11"/>
      <c r="G151" s="8"/>
      <c r="H151" s="42"/>
    </row>
    <row r="152" spans="1:8" ht="21" thickBot="1">
      <c r="A152" s="42"/>
      <c r="D152" s="39" t="str">
        <f>IF(G23="Full Time","Full Time LHA Calculated Salary Maximum:",IF(G23="Part Time","Part Time (Prorated) LHA Calculated Salary Maximum:"))</f>
        <v>Full Time LHA Calculated Salary Maximum:</v>
      </c>
      <c r="E152" s="15" t="e">
        <f>E92</f>
        <v>#VALUE!</v>
      </c>
      <c r="G152" s="8"/>
      <c r="H152" s="42"/>
    </row>
    <row r="153" spans="1:8" ht="21" thickBot="1">
      <c r="A153" s="42"/>
      <c r="D153" s="10"/>
      <c r="E153" s="21"/>
      <c r="G153" s="8"/>
      <c r="H153" s="42"/>
    </row>
    <row r="154" spans="1:8" ht="21" thickBot="1">
      <c r="A154" s="42"/>
      <c r="D154" s="39" t="str">
        <f>IF(G23="Full Time","Full Time LHA Calculated Salary Maximum Including All Other Sources:",IF(G23="Part Time","Part Time (Prorated) LHA Calculated Salary Maximum Including All Other Sources:"))</f>
        <v>Full Time LHA Calculated Salary Maximum Including All Other Sources:</v>
      </c>
      <c r="E154" s="15" t="e">
        <f>E124</f>
        <v>#VALUE!</v>
      </c>
      <c r="G154" s="8"/>
      <c r="H154" s="42"/>
    </row>
    <row r="155" spans="1:8" ht="21" thickBot="1">
      <c r="A155" s="42"/>
      <c r="D155" s="11"/>
      <c r="E155" s="11"/>
      <c r="G155" s="8"/>
      <c r="H155" s="42"/>
    </row>
    <row r="156" spans="1:8" ht="21" thickBot="1">
      <c r="A156" s="42"/>
      <c r="D156" s="39" t="str">
        <f>IF(G27&gt;0,"Current Approved Salary:"," ")</f>
        <v xml:space="preserve"> </v>
      </c>
      <c r="E156" s="36" t="str">
        <f>IF(G27&gt;0,G27," ")</f>
        <v xml:space="preserve"> </v>
      </c>
      <c r="G156" s="8"/>
      <c r="H156" s="42"/>
    </row>
    <row r="157" spans="1:8">
      <c r="A157" s="42"/>
      <c r="G157" s="8"/>
      <c r="H157" s="42"/>
    </row>
    <row r="158" spans="1:8" ht="18.75" thickBot="1">
      <c r="A158" s="42"/>
      <c r="G158" s="8"/>
      <c r="H158" s="42"/>
    </row>
    <row r="159" spans="1:8" ht="21.75" thickBot="1">
      <c r="A159" s="42"/>
      <c r="C159" s="44" t="s">
        <v>8</v>
      </c>
      <c r="D159" s="45" t="s">
        <v>91</v>
      </c>
      <c r="E159" s="20">
        <v>0</v>
      </c>
      <c r="F159" s="11"/>
      <c r="G159" s="83"/>
      <c r="H159" s="149" t="s">
        <v>372</v>
      </c>
    </row>
    <row r="160" spans="1:8" ht="22.5" customHeight="1">
      <c r="A160" s="42"/>
      <c r="D160" s="84" t="s">
        <v>92</v>
      </c>
      <c r="E160" s="150" t="e">
        <f>IF(AND(E159&gt;E154,E159&gt;E152,E159&gt;E156),"Error: Board-Approved Salary Exceeds Allowable Maximum","")</f>
        <v>#VALUE!</v>
      </c>
      <c r="F160" s="11"/>
      <c r="G160" s="83"/>
      <c r="H160" s="71"/>
    </row>
    <row r="161" spans="1:8" ht="21">
      <c r="A161" s="42"/>
      <c r="D161" s="84"/>
      <c r="F161" s="11"/>
      <c r="G161" s="83"/>
      <c r="H161" s="71"/>
    </row>
    <row r="162" spans="1:8" ht="21.75" thickBot="1">
      <c r="A162" s="42"/>
      <c r="C162" s="44" t="s">
        <v>8</v>
      </c>
      <c r="D162" s="148" t="s">
        <v>93</v>
      </c>
      <c r="E162" s="85"/>
      <c r="F162" s="11"/>
      <c r="G162" s="83"/>
      <c r="H162" s="71"/>
    </row>
    <row r="163" spans="1:8" ht="21.75" thickBot="1">
      <c r="A163" s="42"/>
      <c r="D163" s="10" t="s">
        <v>94</v>
      </c>
      <c r="E163" s="22"/>
      <c r="F163" s="11"/>
      <c r="G163" s="83"/>
      <c r="H163" s="71"/>
    </row>
    <row r="164" spans="1:8" s="86" customFormat="1" ht="21.75" thickBot="1">
      <c r="B164" s="54"/>
      <c r="C164" s="54"/>
      <c r="D164" s="10" t="s">
        <v>95</v>
      </c>
      <c r="E164" s="23"/>
      <c r="F164" s="84"/>
      <c r="G164" s="87"/>
      <c r="H164" s="88"/>
    </row>
    <row r="165" spans="1:8" ht="21">
      <c r="A165" s="42"/>
      <c r="B165" s="42"/>
      <c r="D165" s="45"/>
      <c r="E165" s="85"/>
      <c r="F165" s="11"/>
      <c r="G165" s="83"/>
      <c r="H165" s="71"/>
    </row>
    <row r="166" spans="1:8" ht="21">
      <c r="A166" s="42"/>
      <c r="B166" s="42"/>
      <c r="D166" s="45"/>
      <c r="E166" s="85"/>
      <c r="F166" s="11"/>
      <c r="G166" s="83"/>
      <c r="H166" s="71"/>
    </row>
    <row r="167" spans="1:8" ht="21">
      <c r="A167" s="42"/>
      <c r="B167" s="42"/>
      <c r="D167" s="45"/>
      <c r="E167" s="85"/>
      <c r="F167" s="11"/>
      <c r="G167" s="83"/>
      <c r="H167" s="71"/>
    </row>
    <row r="168" spans="1:8" ht="18" customHeight="1">
      <c r="A168" s="42"/>
      <c r="B168" s="42"/>
      <c r="D168" s="199" t="s">
        <v>96</v>
      </c>
      <c r="E168" s="199"/>
      <c r="F168" s="89" t="s">
        <v>97</v>
      </c>
      <c r="G168" s="11" t="s">
        <v>98</v>
      </c>
      <c r="H168" s="71"/>
    </row>
    <row r="169" spans="1:8" ht="21">
      <c r="A169" s="42"/>
      <c r="B169" s="42"/>
      <c r="D169" s="45"/>
      <c r="E169" s="85"/>
      <c r="F169" s="11"/>
      <c r="G169" s="11"/>
      <c r="H169" s="71"/>
    </row>
    <row r="170" spans="1:8" ht="21">
      <c r="A170" s="42"/>
      <c r="B170" s="42"/>
      <c r="D170" s="200" t="s">
        <v>99</v>
      </c>
      <c r="E170" s="200"/>
      <c r="F170" s="11"/>
      <c r="G170" s="11"/>
      <c r="H170" s="71"/>
    </row>
    <row r="171" spans="1:8" ht="21">
      <c r="A171" s="42"/>
      <c r="B171" s="42"/>
      <c r="D171" s="45"/>
      <c r="E171" s="85"/>
      <c r="F171" s="11"/>
      <c r="G171" s="11"/>
      <c r="H171" s="71"/>
    </row>
    <row r="172" spans="1:8" ht="18.75" thickBot="1">
      <c r="A172" s="42"/>
      <c r="B172" s="42"/>
      <c r="D172" s="4"/>
      <c r="E172" s="90"/>
      <c r="H172" s="42"/>
    </row>
    <row r="173" spans="1:8" ht="18" customHeight="1">
      <c r="A173" s="42"/>
      <c r="B173" s="42"/>
      <c r="D173" s="190" t="s">
        <v>100</v>
      </c>
      <c r="E173" s="191"/>
      <c r="F173" s="191"/>
      <c r="G173" s="192"/>
      <c r="H173" s="42"/>
    </row>
    <row r="174" spans="1:8">
      <c r="A174" s="42"/>
      <c r="B174" s="42"/>
      <c r="D174" s="193"/>
      <c r="E174" s="194"/>
      <c r="F174" s="194"/>
      <c r="G174" s="195"/>
      <c r="H174" s="42"/>
    </row>
    <row r="175" spans="1:8">
      <c r="A175" s="42"/>
      <c r="B175" s="42"/>
      <c r="D175" s="193"/>
      <c r="E175" s="194"/>
      <c r="F175" s="194"/>
      <c r="G175" s="195"/>
      <c r="H175" s="42"/>
    </row>
    <row r="176" spans="1:8">
      <c r="A176" s="42"/>
      <c r="B176" s="42"/>
      <c r="D176" s="193"/>
      <c r="E176" s="194"/>
      <c r="F176" s="194"/>
      <c r="G176" s="195"/>
      <c r="H176" s="42"/>
    </row>
    <row r="177" spans="1:8" ht="10.5" customHeight="1" thickBot="1">
      <c r="A177" s="42"/>
      <c r="B177" s="42"/>
      <c r="D177" s="196"/>
      <c r="E177" s="197"/>
      <c r="F177" s="197"/>
      <c r="G177" s="198"/>
      <c r="H177" s="42"/>
    </row>
    <row r="178" spans="1:8" ht="0.75" customHeight="1">
      <c r="A178" s="42"/>
      <c r="B178" s="42"/>
      <c r="D178" s="4"/>
      <c r="E178" s="90"/>
      <c r="H178" s="42"/>
    </row>
    <row r="179" spans="1:8">
      <c r="A179" s="42"/>
      <c r="B179" s="42"/>
      <c r="D179" s="4"/>
      <c r="E179" s="90"/>
      <c r="H179" s="42"/>
    </row>
    <row r="180" spans="1:8">
      <c r="A180" s="42"/>
      <c r="B180" s="42"/>
      <c r="D180" s="4"/>
      <c r="E180" s="90"/>
      <c r="H180" s="42"/>
    </row>
    <row r="181" spans="1:8">
      <c r="A181" s="42"/>
      <c r="B181" s="42"/>
      <c r="D181" s="4"/>
      <c r="E181" s="90"/>
      <c r="H181" s="42"/>
    </row>
  </sheetData>
  <sheetProtection algorithmName="SHA-512" hashValue="9q41fC4aHkqB5F5iqiRkVIIXgN47MDoiXCU75JEEuovKx0jno9M45cmy+S1gHqfTdaWTIN/sflWaud5q5Be+5w==" saltValue="P1BwPOaL+2Sw2qwvXGNq4g==" spinCount="100000" sheet="1" objects="1" scenarios="1" selectLockedCells="1"/>
  <protectedRanges>
    <protectedRange sqref="I3 E19:E21 G22 G27 E40:E53 D52:D53 E58:E59 E108:E111 G108:H111 E115:E122 G115:H122 E159" name="User Input"/>
  </protectedRanges>
  <mergeCells count="36">
    <mergeCell ref="Q103:AB103"/>
    <mergeCell ref="D102:G103"/>
    <mergeCell ref="G110:H110"/>
    <mergeCell ref="F42:F53"/>
    <mergeCell ref="E146:F146"/>
    <mergeCell ref="E144:F144"/>
    <mergeCell ref="D95:G97"/>
    <mergeCell ref="G109:H109"/>
    <mergeCell ref="G117:H117"/>
    <mergeCell ref="G116:H116"/>
    <mergeCell ref="G106:H106"/>
    <mergeCell ref="G111:H111"/>
    <mergeCell ref="D135:G140"/>
    <mergeCell ref="D173:G177"/>
    <mergeCell ref="D168:E168"/>
    <mergeCell ref="D170:E170"/>
    <mergeCell ref="G108:H108"/>
    <mergeCell ref="G113:H113"/>
    <mergeCell ref="G115:H115"/>
    <mergeCell ref="G122:H122"/>
    <mergeCell ref="G121:H121"/>
    <mergeCell ref="G120:H120"/>
    <mergeCell ref="G119:H119"/>
    <mergeCell ref="G118:H118"/>
    <mergeCell ref="D129:G133"/>
    <mergeCell ref="B2:G4"/>
    <mergeCell ref="C51:C53"/>
    <mergeCell ref="C6:F6"/>
    <mergeCell ref="D32:G37"/>
    <mergeCell ref="E22:F22"/>
    <mergeCell ref="E23:F23"/>
    <mergeCell ref="E19:G19"/>
    <mergeCell ref="E20:G20"/>
    <mergeCell ref="E21:G21"/>
    <mergeCell ref="D10:G13"/>
    <mergeCell ref="G44:I45"/>
  </mergeCells>
  <conditionalFormatting sqref="E69 E71 E73 E80 E92 E85 E87 E67 E65 E63">
    <cfRule type="containsErrors" dxfId="11" priority="31">
      <formula>ISERROR(E63)</formula>
    </cfRule>
  </conditionalFormatting>
  <conditionalFormatting sqref="E159">
    <cfRule type="cellIs" dxfId="10" priority="28" operator="greaterThan">
      <formula>0</formula>
    </cfRule>
  </conditionalFormatting>
  <conditionalFormatting sqref="D73:E73">
    <cfRule type="expression" dxfId="9" priority="21">
      <formula>$G$23="Full Time"</formula>
    </cfRule>
  </conditionalFormatting>
  <conditionalFormatting sqref="E22:F22">
    <cfRule type="cellIs" dxfId="8" priority="19" operator="notBetween">
      <formula>37.5</formula>
      <formula>1</formula>
    </cfRule>
  </conditionalFormatting>
  <conditionalFormatting sqref="F54">
    <cfRule type="containsText" dxfId="7" priority="18" operator="containsText" text="Error">
      <formula>NOT(ISERROR(SEARCH("Error",F54)))</formula>
    </cfRule>
  </conditionalFormatting>
  <conditionalFormatting sqref="E23:F23">
    <cfRule type="expression" dxfId="6" priority="16">
      <formula>$G$22&lt;1</formula>
    </cfRule>
    <cfRule type="expression" dxfId="5" priority="17">
      <formula>$G$22&gt;37.5</formula>
    </cfRule>
  </conditionalFormatting>
  <conditionalFormatting sqref="E152">
    <cfRule type="containsErrors" dxfId="4" priority="15">
      <formula>ISERROR(E152)</formula>
    </cfRule>
  </conditionalFormatting>
  <conditionalFormatting sqref="E154">
    <cfRule type="containsErrors" dxfId="3" priority="14">
      <formula>ISERROR(E154)</formula>
    </cfRule>
  </conditionalFormatting>
  <conditionalFormatting sqref="C156">
    <cfRule type="expression" dxfId="2" priority="4">
      <formula>$E$156=0</formula>
    </cfRule>
  </conditionalFormatting>
  <conditionalFormatting sqref="D156:F156">
    <cfRule type="expression" dxfId="1" priority="3">
      <formula>$G$27&lt;1</formula>
    </cfRule>
  </conditionalFormatting>
  <conditionalFormatting sqref="E160">
    <cfRule type="containsBlanks" dxfId="0" priority="1">
      <formula>LEN(TRIM(E160))=0</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5:H122" xr:uid="{00000000-0002-0000-0000-000001000000}"/>
  </dataValidations>
  <pageMargins left="0.25" right="0.25" top="0.75" bottom="0.75" header="0.3" footer="0.3"/>
  <pageSetup scale="45" fitToHeight="0" orientation="portrait" r:id="rId1"/>
  <headerFooter>
    <oddFooter>&amp;LMA Department of Housing and Community Development &amp;CPage &amp;P of &amp;N&amp;RLHA Executive Director Salary Calculation Worksheet v.1.3</oddFooter>
  </headerFooter>
  <rowBreaks count="2" manualBreakCount="2">
    <brk id="60" max="8" man="1"/>
    <brk id="125" max="8" man="1"/>
  </rowBreaks>
  <ignoredErrors>
    <ignoredError sqref="E65 E80 E152 E15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162</xdr:row>
                    <xdr:rowOff>19050</xdr:rowOff>
                  </from>
                  <to>
                    <xdr:col>4</xdr:col>
                    <xdr:colOff>1000125</xdr:colOff>
                    <xdr:row>162</xdr:row>
                    <xdr:rowOff>219075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163</xdr:row>
                    <xdr:rowOff>38100</xdr:rowOff>
                  </from>
                  <to>
                    <xdr:col>4</xdr:col>
                    <xdr:colOff>1000125</xdr:colOff>
                    <xdr:row>163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G108:H111</xm:sqref>
        </x14:dataValidation>
        <x14:dataValidation type="list" allowBlank="1" showInputMessage="1" showErrorMessage="1" xr:uid="{00000000-0002-0000-0000-000004000000}">
          <x14:formula1>
            <xm:f>'Salary Lookup'!$F$23:$F$24</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37"/>
  <sheetViews>
    <sheetView workbookViewId="0"/>
  </sheetViews>
  <sheetFormatPr defaultRowHeight="18.75"/>
  <cols>
    <col min="1" max="1" width="35.7109375" style="2" bestFit="1" customWidth="1"/>
  </cols>
  <sheetData>
    <row r="1" spans="1:1">
      <c r="A1" s="2" t="s">
        <v>101</v>
      </c>
    </row>
    <row r="2" spans="1:1">
      <c r="A2" s="2" t="s">
        <v>102</v>
      </c>
    </row>
    <row r="3" spans="1:1">
      <c r="A3" s="2" t="s">
        <v>103</v>
      </c>
    </row>
    <row r="4" spans="1:1">
      <c r="A4" s="2" t="s">
        <v>104</v>
      </c>
    </row>
    <row r="5" spans="1:1">
      <c r="A5" s="2" t="s">
        <v>105</v>
      </c>
    </row>
    <row r="6" spans="1:1">
      <c r="A6" s="2" t="s">
        <v>106</v>
      </c>
    </row>
    <row r="7" spans="1:1">
      <c r="A7" s="2" t="s">
        <v>107</v>
      </c>
    </row>
    <row r="8" spans="1:1">
      <c r="A8" s="2" t="s">
        <v>108</v>
      </c>
    </row>
    <row r="9" spans="1:1">
      <c r="A9" s="2" t="s">
        <v>109</v>
      </c>
    </row>
    <row r="10" spans="1:1">
      <c r="A10" s="2" t="s">
        <v>110</v>
      </c>
    </row>
    <row r="11" spans="1:1">
      <c r="A11" s="2" t="s">
        <v>111</v>
      </c>
    </row>
    <row r="12" spans="1:1">
      <c r="A12" s="2" t="s">
        <v>112</v>
      </c>
    </row>
    <row r="13" spans="1:1">
      <c r="A13" s="2" t="s">
        <v>113</v>
      </c>
    </row>
    <row r="14" spans="1:1">
      <c r="A14" s="2" t="s">
        <v>114</v>
      </c>
    </row>
    <row r="15" spans="1:1">
      <c r="A15" s="2" t="s">
        <v>115</v>
      </c>
    </row>
    <row r="16" spans="1:1">
      <c r="A16" s="2" t="s">
        <v>116</v>
      </c>
    </row>
    <row r="17" spans="1:1">
      <c r="A17" s="2" t="s">
        <v>117</v>
      </c>
    </row>
    <row r="18" spans="1:1">
      <c r="A18" s="2" t="s">
        <v>118</v>
      </c>
    </row>
    <row r="19" spans="1:1">
      <c r="A19" s="2" t="s">
        <v>119</v>
      </c>
    </row>
    <row r="20" spans="1:1">
      <c r="A20" s="2" t="s">
        <v>120</v>
      </c>
    </row>
    <row r="21" spans="1:1">
      <c r="A21" s="2" t="s">
        <v>121</v>
      </c>
    </row>
    <row r="22" spans="1:1">
      <c r="A22" s="2" t="s">
        <v>122</v>
      </c>
    </row>
    <row r="23" spans="1:1">
      <c r="A23" s="2" t="s">
        <v>123</v>
      </c>
    </row>
    <row r="24" spans="1:1">
      <c r="A24" s="2" t="s">
        <v>124</v>
      </c>
    </row>
    <row r="25" spans="1:1">
      <c r="A25" s="2" t="s">
        <v>125</v>
      </c>
    </row>
    <row r="26" spans="1:1">
      <c r="A26" s="2" t="s">
        <v>126</v>
      </c>
    </row>
    <row r="27" spans="1:1">
      <c r="A27" s="2" t="s">
        <v>127</v>
      </c>
    </row>
    <row r="28" spans="1:1">
      <c r="A28" s="2" t="s">
        <v>128</v>
      </c>
    </row>
    <row r="29" spans="1:1">
      <c r="A29" s="2" t="s">
        <v>129</v>
      </c>
    </row>
    <row r="30" spans="1:1">
      <c r="A30" s="2" t="s">
        <v>130</v>
      </c>
    </row>
    <row r="31" spans="1:1">
      <c r="A31" s="2" t="s">
        <v>131</v>
      </c>
    </row>
    <row r="32" spans="1:1">
      <c r="A32" s="2" t="s">
        <v>132</v>
      </c>
    </row>
    <row r="33" spans="1:1">
      <c r="A33" s="2" t="s">
        <v>133</v>
      </c>
    </row>
    <row r="34" spans="1:1">
      <c r="A34" s="2" t="s">
        <v>134</v>
      </c>
    </row>
    <row r="35" spans="1:1">
      <c r="A35" s="2" t="s">
        <v>135</v>
      </c>
    </row>
    <row r="36" spans="1:1">
      <c r="A36" s="2" t="s">
        <v>136</v>
      </c>
    </row>
    <row r="37" spans="1:1">
      <c r="A37" s="2" t="s">
        <v>137</v>
      </c>
    </row>
    <row r="38" spans="1:1">
      <c r="A38" s="2" t="s">
        <v>138</v>
      </c>
    </row>
    <row r="39" spans="1:1">
      <c r="A39" s="2" t="s">
        <v>139</v>
      </c>
    </row>
    <row r="40" spans="1:1">
      <c r="A40" s="2" t="s">
        <v>140</v>
      </c>
    </row>
    <row r="41" spans="1:1">
      <c r="A41" s="2" t="s">
        <v>141</v>
      </c>
    </row>
    <row r="42" spans="1:1">
      <c r="A42" s="2" t="s">
        <v>142</v>
      </c>
    </row>
    <row r="43" spans="1:1">
      <c r="A43" s="2" t="s">
        <v>143</v>
      </c>
    </row>
    <row r="44" spans="1:1">
      <c r="A44" s="2" t="s">
        <v>144</v>
      </c>
    </row>
    <row r="45" spans="1:1">
      <c r="A45" s="2" t="s">
        <v>145</v>
      </c>
    </row>
    <row r="46" spans="1:1">
      <c r="A46" s="2" t="s">
        <v>146</v>
      </c>
    </row>
    <row r="47" spans="1:1">
      <c r="A47" s="2" t="s">
        <v>147</v>
      </c>
    </row>
    <row r="48" spans="1:1">
      <c r="A48" s="2" t="s">
        <v>148</v>
      </c>
    </row>
    <row r="49" spans="1:1">
      <c r="A49" s="2" t="s">
        <v>149</v>
      </c>
    </row>
    <row r="50" spans="1:1">
      <c r="A50" s="2" t="s">
        <v>150</v>
      </c>
    </row>
    <row r="51" spans="1:1">
      <c r="A51" s="2" t="s">
        <v>151</v>
      </c>
    </row>
    <row r="52" spans="1:1">
      <c r="A52" s="2" t="s">
        <v>152</v>
      </c>
    </row>
    <row r="53" spans="1:1">
      <c r="A53" s="2" t="s">
        <v>153</v>
      </c>
    </row>
    <row r="54" spans="1:1">
      <c r="A54" s="2" t="s">
        <v>154</v>
      </c>
    </row>
    <row r="55" spans="1:1">
      <c r="A55" s="2" t="s">
        <v>155</v>
      </c>
    </row>
    <row r="56" spans="1:1">
      <c r="A56" s="2" t="s">
        <v>156</v>
      </c>
    </row>
    <row r="57" spans="1:1">
      <c r="A57" s="2" t="s">
        <v>157</v>
      </c>
    </row>
    <row r="58" spans="1:1">
      <c r="A58" s="2" t="s">
        <v>158</v>
      </c>
    </row>
    <row r="59" spans="1:1">
      <c r="A59" s="2" t="s">
        <v>159</v>
      </c>
    </row>
    <row r="60" spans="1:1">
      <c r="A60" s="2" t="s">
        <v>160</v>
      </c>
    </row>
    <row r="61" spans="1:1">
      <c r="A61" s="2" t="s">
        <v>161</v>
      </c>
    </row>
    <row r="62" spans="1:1">
      <c r="A62" s="2" t="s">
        <v>162</v>
      </c>
    </row>
    <row r="63" spans="1:1">
      <c r="A63" s="2" t="s">
        <v>163</v>
      </c>
    </row>
    <row r="64" spans="1:1">
      <c r="A64" s="2" t="s">
        <v>164</v>
      </c>
    </row>
    <row r="65" spans="1:1">
      <c r="A65" s="2" t="s">
        <v>165</v>
      </c>
    </row>
    <row r="66" spans="1:1">
      <c r="A66" s="2" t="s">
        <v>166</v>
      </c>
    </row>
    <row r="67" spans="1:1">
      <c r="A67" s="2" t="s">
        <v>167</v>
      </c>
    </row>
    <row r="68" spans="1:1">
      <c r="A68" s="2" t="s">
        <v>168</v>
      </c>
    </row>
    <row r="69" spans="1:1">
      <c r="A69" s="2" t="s">
        <v>169</v>
      </c>
    </row>
    <row r="70" spans="1:1">
      <c r="A70" s="2" t="s">
        <v>170</v>
      </c>
    </row>
    <row r="71" spans="1:1">
      <c r="A71" s="2" t="s">
        <v>171</v>
      </c>
    </row>
    <row r="72" spans="1:1">
      <c r="A72" s="2" t="s">
        <v>172</v>
      </c>
    </row>
    <row r="73" spans="1:1">
      <c r="A73" s="2" t="s">
        <v>173</v>
      </c>
    </row>
    <row r="74" spans="1:1">
      <c r="A74" s="2" t="s">
        <v>174</v>
      </c>
    </row>
    <row r="75" spans="1:1">
      <c r="A75" s="2" t="s">
        <v>175</v>
      </c>
    </row>
    <row r="76" spans="1:1">
      <c r="A76" s="2" t="s">
        <v>176</v>
      </c>
    </row>
    <row r="77" spans="1:1">
      <c r="A77" s="2" t="s">
        <v>177</v>
      </c>
    </row>
    <row r="78" spans="1:1">
      <c r="A78" s="2" t="s">
        <v>178</v>
      </c>
    </row>
    <row r="79" spans="1:1">
      <c r="A79" s="2" t="s">
        <v>179</v>
      </c>
    </row>
    <row r="80" spans="1:1">
      <c r="A80" s="2" t="s">
        <v>180</v>
      </c>
    </row>
    <row r="81" spans="1:1">
      <c r="A81" s="2" t="s">
        <v>181</v>
      </c>
    </row>
    <row r="82" spans="1:1">
      <c r="A82" s="2" t="s">
        <v>182</v>
      </c>
    </row>
    <row r="83" spans="1:1">
      <c r="A83" s="2" t="s">
        <v>183</v>
      </c>
    </row>
    <row r="84" spans="1:1">
      <c r="A84" s="2" t="s">
        <v>184</v>
      </c>
    </row>
    <row r="85" spans="1:1">
      <c r="A85" s="2" t="s">
        <v>185</v>
      </c>
    </row>
    <row r="86" spans="1:1">
      <c r="A86" s="2" t="s">
        <v>186</v>
      </c>
    </row>
    <row r="87" spans="1:1">
      <c r="A87" s="2" t="s">
        <v>187</v>
      </c>
    </row>
    <row r="88" spans="1:1">
      <c r="A88" s="2" t="s">
        <v>188</v>
      </c>
    </row>
    <row r="89" spans="1:1">
      <c r="A89" s="2" t="s">
        <v>189</v>
      </c>
    </row>
    <row r="90" spans="1:1">
      <c r="A90" s="2" t="s">
        <v>190</v>
      </c>
    </row>
    <row r="91" spans="1:1">
      <c r="A91" s="2" t="s">
        <v>191</v>
      </c>
    </row>
    <row r="92" spans="1:1">
      <c r="A92" s="2" t="s">
        <v>192</v>
      </c>
    </row>
    <row r="93" spans="1:1">
      <c r="A93" s="2" t="s">
        <v>193</v>
      </c>
    </row>
    <row r="94" spans="1:1">
      <c r="A94" s="2" t="s">
        <v>194</v>
      </c>
    </row>
    <row r="95" spans="1:1">
      <c r="A95" s="2" t="s">
        <v>195</v>
      </c>
    </row>
    <row r="96" spans="1:1">
      <c r="A96" s="2" t="s">
        <v>196</v>
      </c>
    </row>
    <row r="97" spans="1:1">
      <c r="A97" s="2" t="s">
        <v>197</v>
      </c>
    </row>
    <row r="98" spans="1:1">
      <c r="A98" s="2" t="s">
        <v>198</v>
      </c>
    </row>
    <row r="99" spans="1:1">
      <c r="A99" s="2" t="s">
        <v>199</v>
      </c>
    </row>
    <row r="100" spans="1:1">
      <c r="A100" s="2" t="s">
        <v>200</v>
      </c>
    </row>
    <row r="101" spans="1:1">
      <c r="A101" s="2" t="s">
        <v>201</v>
      </c>
    </row>
    <row r="102" spans="1:1">
      <c r="A102" s="2" t="s">
        <v>202</v>
      </c>
    </row>
    <row r="103" spans="1:1">
      <c r="A103" s="2" t="s">
        <v>203</v>
      </c>
    </row>
    <row r="104" spans="1:1">
      <c r="A104" s="2" t="s">
        <v>204</v>
      </c>
    </row>
    <row r="105" spans="1:1">
      <c r="A105" s="2" t="s">
        <v>205</v>
      </c>
    </row>
    <row r="106" spans="1:1">
      <c r="A106" s="2" t="s">
        <v>206</v>
      </c>
    </row>
    <row r="107" spans="1:1">
      <c r="A107" s="2" t="s">
        <v>207</v>
      </c>
    </row>
    <row r="108" spans="1:1">
      <c r="A108" s="2" t="s">
        <v>208</v>
      </c>
    </row>
    <row r="109" spans="1:1">
      <c r="A109" s="2" t="s">
        <v>209</v>
      </c>
    </row>
    <row r="110" spans="1:1">
      <c r="A110" s="2" t="s">
        <v>210</v>
      </c>
    </row>
    <row r="111" spans="1:1">
      <c r="A111" s="2" t="s">
        <v>211</v>
      </c>
    </row>
    <row r="112" spans="1:1">
      <c r="A112" s="2" t="s">
        <v>212</v>
      </c>
    </row>
    <row r="113" spans="1:1">
      <c r="A113" s="2" t="s">
        <v>213</v>
      </c>
    </row>
    <row r="114" spans="1:1">
      <c r="A114" s="2" t="s">
        <v>214</v>
      </c>
    </row>
    <row r="115" spans="1:1">
      <c r="A115" s="2" t="s">
        <v>215</v>
      </c>
    </row>
    <row r="116" spans="1:1">
      <c r="A116" s="2" t="s">
        <v>216</v>
      </c>
    </row>
    <row r="117" spans="1:1">
      <c r="A117" s="2" t="s">
        <v>217</v>
      </c>
    </row>
    <row r="118" spans="1:1">
      <c r="A118" s="2" t="s">
        <v>218</v>
      </c>
    </row>
    <row r="119" spans="1:1">
      <c r="A119" s="2" t="s">
        <v>219</v>
      </c>
    </row>
    <row r="120" spans="1:1">
      <c r="A120" s="2" t="s">
        <v>220</v>
      </c>
    </row>
    <row r="121" spans="1:1">
      <c r="A121" s="2" t="s">
        <v>221</v>
      </c>
    </row>
    <row r="122" spans="1:1">
      <c r="A122" s="2" t="s">
        <v>222</v>
      </c>
    </row>
    <row r="123" spans="1:1">
      <c r="A123" s="2" t="s">
        <v>223</v>
      </c>
    </row>
    <row r="124" spans="1:1">
      <c r="A124" s="2" t="s">
        <v>224</v>
      </c>
    </row>
    <row r="125" spans="1:1">
      <c r="A125" s="2" t="s">
        <v>225</v>
      </c>
    </row>
    <row r="126" spans="1:1">
      <c r="A126" s="2" t="s">
        <v>226</v>
      </c>
    </row>
    <row r="127" spans="1:1">
      <c r="A127" s="2" t="s">
        <v>227</v>
      </c>
    </row>
    <row r="128" spans="1:1">
      <c r="A128" s="2" t="s">
        <v>228</v>
      </c>
    </row>
    <row r="129" spans="1:1">
      <c r="A129" s="2" t="s">
        <v>229</v>
      </c>
    </row>
    <row r="130" spans="1:1">
      <c r="A130" s="2" t="s">
        <v>230</v>
      </c>
    </row>
    <row r="131" spans="1:1">
      <c r="A131" s="2" t="s">
        <v>231</v>
      </c>
    </row>
    <row r="132" spans="1:1">
      <c r="A132" s="2" t="s">
        <v>232</v>
      </c>
    </row>
    <row r="133" spans="1:1">
      <c r="A133" s="2" t="s">
        <v>233</v>
      </c>
    </row>
    <row r="134" spans="1:1">
      <c r="A134" s="2" t="s">
        <v>234</v>
      </c>
    </row>
    <row r="135" spans="1:1">
      <c r="A135" s="2" t="s">
        <v>235</v>
      </c>
    </row>
    <row r="136" spans="1:1">
      <c r="A136" s="2" t="s">
        <v>236</v>
      </c>
    </row>
    <row r="137" spans="1:1">
      <c r="A137" s="2" t="s">
        <v>237</v>
      </c>
    </row>
    <row r="138" spans="1:1">
      <c r="A138" s="2" t="s">
        <v>238</v>
      </c>
    </row>
    <row r="139" spans="1:1">
      <c r="A139" s="2" t="s">
        <v>239</v>
      </c>
    </row>
    <row r="140" spans="1:1">
      <c r="A140" s="2" t="s">
        <v>240</v>
      </c>
    </row>
    <row r="141" spans="1:1">
      <c r="A141" s="2" t="s">
        <v>241</v>
      </c>
    </row>
    <row r="142" spans="1:1">
      <c r="A142" s="2" t="s">
        <v>242</v>
      </c>
    </row>
    <row r="143" spans="1:1">
      <c r="A143" s="2" t="s">
        <v>243</v>
      </c>
    </row>
    <row r="144" spans="1:1">
      <c r="A144" s="2" t="s">
        <v>244</v>
      </c>
    </row>
    <row r="145" spans="1:1">
      <c r="A145" s="2" t="s">
        <v>245</v>
      </c>
    </row>
    <row r="146" spans="1:1">
      <c r="A146" s="2" t="s">
        <v>246</v>
      </c>
    </row>
    <row r="147" spans="1:1">
      <c r="A147" s="2" t="s">
        <v>247</v>
      </c>
    </row>
    <row r="148" spans="1:1">
      <c r="A148" s="2" t="s">
        <v>248</v>
      </c>
    </row>
    <row r="149" spans="1:1">
      <c r="A149" s="2" t="s">
        <v>249</v>
      </c>
    </row>
    <row r="150" spans="1:1">
      <c r="A150" s="2" t="s">
        <v>250</v>
      </c>
    </row>
    <row r="151" spans="1:1">
      <c r="A151" s="2" t="s">
        <v>251</v>
      </c>
    </row>
    <row r="152" spans="1:1">
      <c r="A152" s="2" t="s">
        <v>252</v>
      </c>
    </row>
    <row r="153" spans="1:1">
      <c r="A153" s="2" t="s">
        <v>253</v>
      </c>
    </row>
    <row r="154" spans="1:1">
      <c r="A154" s="2" t="s">
        <v>254</v>
      </c>
    </row>
    <row r="155" spans="1:1">
      <c r="A155" s="2" t="s">
        <v>255</v>
      </c>
    </row>
    <row r="156" spans="1:1">
      <c r="A156" s="2" t="s">
        <v>256</v>
      </c>
    </row>
    <row r="157" spans="1:1">
      <c r="A157" s="2" t="s">
        <v>257</v>
      </c>
    </row>
    <row r="158" spans="1:1">
      <c r="A158" s="2" t="s">
        <v>258</v>
      </c>
    </row>
    <row r="159" spans="1:1">
      <c r="A159" s="2" t="s">
        <v>259</v>
      </c>
    </row>
    <row r="160" spans="1:1">
      <c r="A160" s="2" t="s">
        <v>260</v>
      </c>
    </row>
    <row r="161" spans="1:1">
      <c r="A161" s="2" t="s">
        <v>261</v>
      </c>
    </row>
    <row r="162" spans="1:1">
      <c r="A162" s="2" t="s">
        <v>262</v>
      </c>
    </row>
    <row r="163" spans="1:1">
      <c r="A163" s="2" t="s">
        <v>263</v>
      </c>
    </row>
    <row r="164" spans="1:1">
      <c r="A164" s="2" t="s">
        <v>264</v>
      </c>
    </row>
    <row r="165" spans="1:1">
      <c r="A165" s="2" t="s">
        <v>265</v>
      </c>
    </row>
    <row r="166" spans="1:1">
      <c r="A166" s="2" t="s">
        <v>266</v>
      </c>
    </row>
    <row r="167" spans="1:1">
      <c r="A167" s="2" t="s">
        <v>267</v>
      </c>
    </row>
    <row r="168" spans="1:1">
      <c r="A168" s="2" t="s">
        <v>268</v>
      </c>
    </row>
    <row r="169" spans="1:1">
      <c r="A169" s="2" t="s">
        <v>269</v>
      </c>
    </row>
    <row r="170" spans="1:1">
      <c r="A170" s="2" t="s">
        <v>270</v>
      </c>
    </row>
    <row r="171" spans="1:1">
      <c r="A171" s="2" t="s">
        <v>271</v>
      </c>
    </row>
    <row r="172" spans="1:1">
      <c r="A172" s="2" t="s">
        <v>272</v>
      </c>
    </row>
    <row r="173" spans="1:1">
      <c r="A173" s="2" t="s">
        <v>273</v>
      </c>
    </row>
    <row r="174" spans="1:1">
      <c r="A174" s="2" t="s">
        <v>274</v>
      </c>
    </row>
    <row r="175" spans="1:1">
      <c r="A175" s="2" t="s">
        <v>275</v>
      </c>
    </row>
    <row r="176" spans="1:1">
      <c r="A176" s="2" t="s">
        <v>276</v>
      </c>
    </row>
    <row r="177" spans="1:1">
      <c r="A177" s="2" t="s">
        <v>277</v>
      </c>
    </row>
    <row r="178" spans="1:1">
      <c r="A178" s="2" t="s">
        <v>278</v>
      </c>
    </row>
    <row r="179" spans="1:1">
      <c r="A179" s="2" t="s">
        <v>279</v>
      </c>
    </row>
    <row r="180" spans="1:1">
      <c r="A180" s="2" t="s">
        <v>280</v>
      </c>
    </row>
    <row r="181" spans="1:1">
      <c r="A181" s="2" t="s">
        <v>281</v>
      </c>
    </row>
    <row r="182" spans="1:1">
      <c r="A182" s="2" t="s">
        <v>282</v>
      </c>
    </row>
    <row r="183" spans="1:1">
      <c r="A183" s="2" t="s">
        <v>283</v>
      </c>
    </row>
    <row r="184" spans="1:1">
      <c r="A184" s="2" t="s">
        <v>284</v>
      </c>
    </row>
    <row r="185" spans="1:1">
      <c r="A185" s="2" t="s">
        <v>285</v>
      </c>
    </row>
    <row r="186" spans="1:1">
      <c r="A186" s="2" t="s">
        <v>286</v>
      </c>
    </row>
    <row r="187" spans="1:1">
      <c r="A187" s="2" t="s">
        <v>287</v>
      </c>
    </row>
    <row r="188" spans="1:1">
      <c r="A188" s="2" t="s">
        <v>288</v>
      </c>
    </row>
    <row r="189" spans="1:1">
      <c r="A189" s="2" t="s">
        <v>289</v>
      </c>
    </row>
    <row r="190" spans="1:1">
      <c r="A190" s="2" t="s">
        <v>290</v>
      </c>
    </row>
    <row r="191" spans="1:1">
      <c r="A191" s="2" t="s">
        <v>291</v>
      </c>
    </row>
    <row r="192" spans="1:1">
      <c r="A192" s="2" t="s">
        <v>292</v>
      </c>
    </row>
    <row r="193" spans="1:1">
      <c r="A193" s="2" t="s">
        <v>293</v>
      </c>
    </row>
    <row r="194" spans="1:1">
      <c r="A194" s="2" t="s">
        <v>294</v>
      </c>
    </row>
    <row r="195" spans="1:1">
      <c r="A195" s="2" t="s">
        <v>295</v>
      </c>
    </row>
    <row r="196" spans="1:1">
      <c r="A196" s="2" t="s">
        <v>296</v>
      </c>
    </row>
    <row r="197" spans="1:1">
      <c r="A197" s="2" t="s">
        <v>297</v>
      </c>
    </row>
    <row r="198" spans="1:1">
      <c r="A198" s="2" t="s">
        <v>298</v>
      </c>
    </row>
    <row r="199" spans="1:1">
      <c r="A199" s="2" t="s">
        <v>299</v>
      </c>
    </row>
    <row r="200" spans="1:1">
      <c r="A200" s="2" t="s">
        <v>300</v>
      </c>
    </row>
    <row r="201" spans="1:1">
      <c r="A201" s="2" t="s">
        <v>301</v>
      </c>
    </row>
    <row r="202" spans="1:1">
      <c r="A202" s="2" t="s">
        <v>302</v>
      </c>
    </row>
    <row r="203" spans="1:1">
      <c r="A203" s="2" t="s">
        <v>303</v>
      </c>
    </row>
    <row r="204" spans="1:1">
      <c r="A204" s="2" t="s">
        <v>304</v>
      </c>
    </row>
    <row r="205" spans="1:1">
      <c r="A205" s="2" t="s">
        <v>305</v>
      </c>
    </row>
    <row r="206" spans="1:1">
      <c r="A206" s="2" t="s">
        <v>306</v>
      </c>
    </row>
    <row r="207" spans="1:1">
      <c r="A207" s="2" t="s">
        <v>307</v>
      </c>
    </row>
    <row r="208" spans="1:1">
      <c r="A208" s="2" t="s">
        <v>308</v>
      </c>
    </row>
    <row r="209" spans="1:1">
      <c r="A209" s="2" t="s">
        <v>309</v>
      </c>
    </row>
    <row r="210" spans="1:1">
      <c r="A210" s="2" t="s">
        <v>310</v>
      </c>
    </row>
    <row r="211" spans="1:1">
      <c r="A211" s="2" t="s">
        <v>311</v>
      </c>
    </row>
    <row r="212" spans="1:1">
      <c r="A212" s="2" t="s">
        <v>312</v>
      </c>
    </row>
    <row r="213" spans="1:1">
      <c r="A213" s="2" t="s">
        <v>313</v>
      </c>
    </row>
    <row r="214" spans="1:1">
      <c r="A214" s="2" t="s">
        <v>314</v>
      </c>
    </row>
    <row r="215" spans="1:1">
      <c r="A215" s="2" t="s">
        <v>315</v>
      </c>
    </row>
    <row r="216" spans="1:1">
      <c r="A216" s="2" t="s">
        <v>316</v>
      </c>
    </row>
    <row r="217" spans="1:1">
      <c r="A217" s="2" t="s">
        <v>317</v>
      </c>
    </row>
    <row r="218" spans="1:1">
      <c r="A218" s="2" t="s">
        <v>318</v>
      </c>
    </row>
    <row r="219" spans="1:1">
      <c r="A219" s="2" t="s">
        <v>319</v>
      </c>
    </row>
    <row r="220" spans="1:1">
      <c r="A220" s="2" t="s">
        <v>320</v>
      </c>
    </row>
    <row r="221" spans="1:1">
      <c r="A221" s="2" t="s">
        <v>321</v>
      </c>
    </row>
    <row r="222" spans="1:1">
      <c r="A222" s="2" t="s">
        <v>322</v>
      </c>
    </row>
    <row r="223" spans="1:1">
      <c r="A223" s="2" t="s">
        <v>323</v>
      </c>
    </row>
    <row r="224" spans="1:1">
      <c r="A224" s="2" t="s">
        <v>324</v>
      </c>
    </row>
    <row r="225" spans="1:1">
      <c r="A225" s="2" t="s">
        <v>325</v>
      </c>
    </row>
    <row r="226" spans="1:1">
      <c r="A226" s="2" t="s">
        <v>326</v>
      </c>
    </row>
    <row r="227" spans="1:1">
      <c r="A227" s="2" t="s">
        <v>327</v>
      </c>
    </row>
    <row r="228" spans="1:1">
      <c r="A228" s="2" t="s">
        <v>328</v>
      </c>
    </row>
    <row r="229" spans="1:1">
      <c r="A229" s="2" t="s">
        <v>329</v>
      </c>
    </row>
    <row r="230" spans="1:1">
      <c r="A230" s="2" t="s">
        <v>330</v>
      </c>
    </row>
    <row r="231" spans="1:1">
      <c r="A231" s="2" t="s">
        <v>331</v>
      </c>
    </row>
    <row r="232" spans="1:1">
      <c r="A232" s="2" t="s">
        <v>332</v>
      </c>
    </row>
    <row r="233" spans="1:1">
      <c r="A233" s="2" t="s">
        <v>333</v>
      </c>
    </row>
    <row r="234" spans="1:1">
      <c r="A234" s="2" t="s">
        <v>334</v>
      </c>
    </row>
    <row r="235" spans="1:1">
      <c r="A235" s="2" t="s">
        <v>335</v>
      </c>
    </row>
    <row r="236" spans="1:1">
      <c r="A236" s="2" t="s">
        <v>336</v>
      </c>
    </row>
    <row r="237" spans="1:1">
      <c r="A237" s="2" t="s">
        <v>337</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C1:I48"/>
  <sheetViews>
    <sheetView zoomScale="70" zoomScaleNormal="70" workbookViewId="0">
      <selection activeCell="F22" sqref="F22"/>
    </sheetView>
  </sheetViews>
  <sheetFormatPr defaultColWidth="9.140625" defaultRowHeight="15"/>
  <cols>
    <col min="1" max="1" width="4.28515625" customWidth="1"/>
    <col min="2" max="2" width="3.5703125" customWidth="1"/>
    <col min="3" max="7" width="17" style="127" customWidth="1"/>
    <col min="8" max="8" width="11.7109375" bestFit="1" customWidth="1"/>
    <col min="9" max="9" width="12" style="108" customWidth="1"/>
  </cols>
  <sheetData>
    <row r="1" spans="3:9" s="144" customFormat="1" ht="32.450000000000003" customHeight="1">
      <c r="C1" s="142" t="s">
        <v>338</v>
      </c>
      <c r="D1" s="142" t="s">
        <v>339</v>
      </c>
      <c r="E1" s="143"/>
      <c r="F1" s="143"/>
      <c r="G1" s="143"/>
      <c r="I1" s="145"/>
    </row>
    <row r="2" spans="3:9" s="123" customFormat="1" ht="18.75">
      <c r="C2" s="142" t="s">
        <v>340</v>
      </c>
      <c r="D2" s="142" t="s">
        <v>341</v>
      </c>
      <c r="E2" s="132"/>
      <c r="F2" s="132"/>
      <c r="G2" s="132"/>
      <c r="I2" s="146"/>
    </row>
    <row r="3" spans="3:9">
      <c r="C3" s="124"/>
    </row>
    <row r="4" spans="3:9">
      <c r="C4" s="140" t="s">
        <v>342</v>
      </c>
    </row>
    <row r="5" spans="3:9" ht="36" customHeight="1">
      <c r="C5" s="125"/>
      <c r="D5" s="125"/>
      <c r="E5" s="217" t="s">
        <v>343</v>
      </c>
      <c r="F5" s="218"/>
      <c r="I5" s="109"/>
    </row>
    <row r="6" spans="3:9" ht="31.5" customHeight="1">
      <c r="C6" s="125" t="s">
        <v>35</v>
      </c>
      <c r="D6" s="125" t="s">
        <v>344</v>
      </c>
      <c r="E6" s="125" t="s">
        <v>345</v>
      </c>
      <c r="F6" s="125" t="s">
        <v>346</v>
      </c>
      <c r="G6" s="125" t="s">
        <v>45</v>
      </c>
      <c r="H6" s="122"/>
    </row>
    <row r="7" spans="3:9" ht="15.75" customHeight="1">
      <c r="C7" s="139" t="s">
        <v>347</v>
      </c>
      <c r="D7" s="1">
        <v>1</v>
      </c>
      <c r="E7" s="134">
        <v>53933</v>
      </c>
      <c r="F7" s="134">
        <v>77825</v>
      </c>
      <c r="G7" s="135">
        <f>(F7-E7)/(29-1)</f>
        <v>853.28571428571433</v>
      </c>
      <c r="H7" s="106"/>
    </row>
    <row r="8" spans="3:9" ht="15.75" customHeight="1">
      <c r="C8" s="126" t="s">
        <v>348</v>
      </c>
      <c r="D8" s="1">
        <v>30</v>
      </c>
      <c r="E8" s="134">
        <v>77827</v>
      </c>
      <c r="F8" s="134">
        <v>81144</v>
      </c>
      <c r="G8" s="135">
        <f>(F8-E8)/(59-30)</f>
        <v>114.37931034482759</v>
      </c>
      <c r="H8" s="106"/>
    </row>
    <row r="9" spans="3:9" ht="15.75" customHeight="1">
      <c r="C9" s="126" t="s">
        <v>349</v>
      </c>
      <c r="D9" s="1">
        <v>60</v>
      </c>
      <c r="E9" s="134">
        <v>81145</v>
      </c>
      <c r="F9" s="134">
        <v>89190</v>
      </c>
      <c r="G9" s="135">
        <f>(F9-E9)/(169-60)</f>
        <v>73.807339449541288</v>
      </c>
      <c r="H9" s="106"/>
    </row>
    <row r="10" spans="3:9" ht="15.75" customHeight="1">
      <c r="C10" s="126" t="s">
        <v>350</v>
      </c>
      <c r="D10" s="1">
        <v>170</v>
      </c>
      <c r="E10" s="134">
        <v>89191</v>
      </c>
      <c r="F10" s="134">
        <v>98033</v>
      </c>
      <c r="G10" s="135">
        <f>(F10-E10)/(399-170)</f>
        <v>38.611353711790393</v>
      </c>
      <c r="H10" s="106"/>
    </row>
    <row r="11" spans="3:9" ht="15.75" customHeight="1">
      <c r="C11" s="126" t="s">
        <v>351</v>
      </c>
      <c r="D11" s="1">
        <v>400</v>
      </c>
      <c r="E11" s="134">
        <v>98034</v>
      </c>
      <c r="F11" s="134">
        <v>112974</v>
      </c>
      <c r="G11" s="135">
        <f>(F11-E11)/(699-400)</f>
        <v>49.96655518394649</v>
      </c>
      <c r="H11" s="106"/>
    </row>
    <row r="12" spans="3:9" ht="15.75" customHeight="1">
      <c r="C12" s="126" t="s">
        <v>352</v>
      </c>
      <c r="D12" s="1">
        <v>700</v>
      </c>
      <c r="E12" s="134">
        <v>112975</v>
      </c>
      <c r="F12" s="134">
        <v>131989</v>
      </c>
      <c r="G12" s="135">
        <f>(F12-E12)/(999-700)</f>
        <v>63.591973244147155</v>
      </c>
      <c r="H12" s="106"/>
    </row>
    <row r="13" spans="3:9" ht="15.75" customHeight="1">
      <c r="C13" s="126" t="s">
        <v>353</v>
      </c>
      <c r="D13" s="1">
        <v>1000</v>
      </c>
      <c r="E13" s="134">
        <v>131990</v>
      </c>
      <c r="F13" s="134">
        <v>142756</v>
      </c>
      <c r="G13" s="135">
        <f>(F13-E13)/(1499-1000)</f>
        <v>21.575150300601202</v>
      </c>
      <c r="H13" s="106"/>
    </row>
    <row r="14" spans="3:9" ht="15.75" customHeight="1">
      <c r="C14" s="126" t="s">
        <v>354</v>
      </c>
      <c r="D14" s="1">
        <v>1500</v>
      </c>
      <c r="E14" s="134">
        <v>142757</v>
      </c>
      <c r="F14" s="134">
        <v>155791</v>
      </c>
      <c r="G14" s="135">
        <f>(F14-E14)/(1999-1500)</f>
        <v>26.120240480961925</v>
      </c>
      <c r="H14" s="106"/>
    </row>
    <row r="15" spans="3:9" ht="15.75" customHeight="1">
      <c r="C15" s="126" t="s">
        <v>355</v>
      </c>
      <c r="D15" s="1">
        <v>2000</v>
      </c>
      <c r="E15" s="134">
        <v>155792</v>
      </c>
      <c r="F15" s="134">
        <v>170539</v>
      </c>
      <c r="G15" s="135">
        <f>(F15-E15)/(2999-2000)</f>
        <v>14.761761761761761</v>
      </c>
      <c r="H15" s="106"/>
    </row>
    <row r="16" spans="3:9" ht="15.75" customHeight="1">
      <c r="C16" s="126" t="s">
        <v>356</v>
      </c>
      <c r="D16" s="1">
        <v>3000</v>
      </c>
      <c r="E16" s="134">
        <v>170540</v>
      </c>
      <c r="F16" s="134">
        <v>186429</v>
      </c>
      <c r="G16" s="135">
        <f>(F16-E16)/(4999-3000)</f>
        <v>7.9484742371185595</v>
      </c>
      <c r="H16" s="106"/>
    </row>
    <row r="17" spans="3:9" ht="15.75" customHeight="1">
      <c r="C17" s="126" t="s">
        <v>357</v>
      </c>
      <c r="D17" s="1">
        <v>5000</v>
      </c>
      <c r="E17" s="134">
        <v>186431</v>
      </c>
      <c r="F17" s="134">
        <v>198450</v>
      </c>
      <c r="G17" s="135">
        <f>(F17-E17)/(7999-5000)</f>
        <v>4.007669223074358</v>
      </c>
      <c r="H17" s="106"/>
    </row>
    <row r="18" spans="3:9" ht="15.75">
      <c r="C18" s="219" t="s">
        <v>358</v>
      </c>
      <c r="D18" s="220"/>
      <c r="E18" s="221"/>
      <c r="F18" s="136">
        <v>198450</v>
      </c>
    </row>
    <row r="19" spans="3:9" ht="15" customHeight="1">
      <c r="I19" s="110"/>
    </row>
    <row r="20" spans="3:9" ht="15.75" customHeight="1" thickBot="1"/>
    <row r="21" spans="3:9" ht="15" customHeight="1" thickBot="1">
      <c r="C21" s="224" t="s">
        <v>359</v>
      </c>
      <c r="D21" s="225"/>
    </row>
    <row r="22" spans="3:9" ht="31.5">
      <c r="C22" s="128" t="s">
        <v>360</v>
      </c>
      <c r="D22" s="130" t="s">
        <v>361</v>
      </c>
      <c r="F22" s="132"/>
    </row>
    <row r="23" spans="3:9" ht="15.75">
      <c r="C23" s="129">
        <v>1</v>
      </c>
      <c r="D23" s="134">
        <v>0</v>
      </c>
      <c r="F23" s="132" t="s">
        <v>362</v>
      </c>
    </row>
    <row r="24" spans="3:9" ht="15.75">
      <c r="C24" s="129">
        <v>2</v>
      </c>
      <c r="D24" s="134">
        <v>1500</v>
      </c>
      <c r="F24" s="132" t="s">
        <v>38</v>
      </c>
    </row>
    <row r="25" spans="3:9" ht="15.75">
      <c r="C25" s="129">
        <v>3</v>
      </c>
      <c r="D25" s="134">
        <v>2500</v>
      </c>
    </row>
    <row r="26" spans="3:9" ht="15.75">
      <c r="C26" s="129">
        <v>4</v>
      </c>
      <c r="D26" s="134">
        <v>3500</v>
      </c>
    </row>
    <row r="27" spans="3:9" ht="15.75">
      <c r="C27" s="129">
        <v>5</v>
      </c>
      <c r="D27" s="134">
        <v>5500</v>
      </c>
    </row>
    <row r="28" spans="3:9" ht="15.75">
      <c r="C28" s="129">
        <v>6</v>
      </c>
      <c r="D28" s="134">
        <v>7500</v>
      </c>
    </row>
    <row r="29" spans="3:9" ht="15.75">
      <c r="C29" s="129">
        <v>7</v>
      </c>
      <c r="D29" s="134">
        <v>10000</v>
      </c>
    </row>
    <row r="30" spans="3:9" ht="15.75">
      <c r="C30" s="129">
        <v>8</v>
      </c>
      <c r="D30" s="134">
        <v>12500</v>
      </c>
    </row>
    <row r="31" spans="3:9" ht="15.75">
      <c r="C31" s="129">
        <v>9</v>
      </c>
      <c r="D31" s="134">
        <v>14500</v>
      </c>
    </row>
    <row r="32" spans="3:9" ht="15.75">
      <c r="C32" s="129">
        <v>10</v>
      </c>
      <c r="D32" s="134">
        <v>16500</v>
      </c>
    </row>
    <row r="36" spans="3:9" ht="15.75">
      <c r="C36" s="222" t="s">
        <v>363</v>
      </c>
      <c r="D36" s="223"/>
    </row>
    <row r="37" spans="3:9" ht="63">
      <c r="C37" s="130" t="s">
        <v>364</v>
      </c>
      <c r="D37" s="130" t="s">
        <v>361</v>
      </c>
    </row>
    <row r="38" spans="3:9" ht="15.75">
      <c r="C38" s="138" t="s">
        <v>365</v>
      </c>
      <c r="D38" s="137">
        <v>1500</v>
      </c>
      <c r="G38" s="133"/>
      <c r="H38" s="100"/>
      <c r="I38" s="111"/>
    </row>
    <row r="39" spans="3:9" ht="15.75">
      <c r="C39" s="131" t="s">
        <v>366</v>
      </c>
      <c r="D39" s="137">
        <v>2500</v>
      </c>
      <c r="G39" s="133"/>
      <c r="H39" s="100"/>
      <c r="I39" s="111"/>
    </row>
    <row r="40" spans="3:9" ht="15.75">
      <c r="C40" s="131" t="s">
        <v>367</v>
      </c>
      <c r="D40" s="137">
        <v>3500</v>
      </c>
      <c r="G40" s="133"/>
      <c r="H40" s="100"/>
      <c r="I40" s="111"/>
    </row>
    <row r="41" spans="3:9" ht="15.75">
      <c r="C41" s="131" t="s">
        <v>368</v>
      </c>
      <c r="D41" s="137">
        <v>4500</v>
      </c>
      <c r="G41" s="133"/>
      <c r="H41" s="100"/>
      <c r="I41" s="111"/>
    </row>
    <row r="42" spans="3:9" ht="15.75">
      <c r="C42" s="129" t="s">
        <v>351</v>
      </c>
      <c r="D42" s="137">
        <v>5500</v>
      </c>
      <c r="G42" s="133"/>
      <c r="H42" s="100"/>
      <c r="I42" s="111"/>
    </row>
    <row r="43" spans="3:9" ht="15.75">
      <c r="C43" s="129" t="s">
        <v>369</v>
      </c>
      <c r="D43" s="137">
        <v>6500</v>
      </c>
      <c r="G43" s="133"/>
      <c r="H43" s="100"/>
      <c r="I43" s="111"/>
    </row>
    <row r="44" spans="3:9" ht="15.75">
      <c r="C44" s="141" t="s">
        <v>370</v>
      </c>
      <c r="D44" s="141" t="s">
        <v>370</v>
      </c>
      <c r="G44" s="133"/>
      <c r="H44" s="100"/>
      <c r="I44" s="111"/>
    </row>
    <row r="45" spans="3:9">
      <c r="G45" s="133"/>
      <c r="H45" s="100"/>
      <c r="I45" s="111"/>
    </row>
    <row r="46" spans="3:9">
      <c r="G46" s="133"/>
      <c r="H46" s="100"/>
      <c r="I46" s="111"/>
    </row>
    <row r="47" spans="3:9">
      <c r="G47" s="133"/>
      <c r="H47" s="100"/>
      <c r="I47" s="111"/>
    </row>
    <row r="48" spans="3:9">
      <c r="G48" s="133"/>
      <c r="H48" s="100"/>
      <c r="I48" s="111"/>
    </row>
  </sheetData>
  <sheetProtection algorithmName="SHA-512" hashValue="yg6rUY9bn1RWeibrEOmuZ/s4i/F/694I7QwMKqYDQ6czxuZs6CM9u884Osx6jxth1H+OItuBWhS9LPk3FDOqZA==" saltValue="ce5r7w8NNvplhkFnUJz1mw==" spinCount="100000" sheet="1" objects="1" scenarios="1" selectLockedCells="1" selectUnlockedCells="1"/>
  <mergeCells count="4">
    <mergeCell ref="E5:F5"/>
    <mergeCell ref="C18:E18"/>
    <mergeCell ref="C36:D36"/>
    <mergeCell ref="C21:D21"/>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(OCD)</DisplayName>
        <AccountId>300</AccountId>
        <AccountType/>
      </UserInfo>
      <UserInfo>
        <DisplayName>Farrell, Mary (OCD)</DisplayName>
        <AccountId>36</AccountId>
        <AccountType/>
      </UserInfo>
      <UserInfo>
        <DisplayName>Razzaq, Fatima (OCD)</DisplayName>
        <AccountId>105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91AD24A61755478ADD1634BD4A4303" ma:contentTypeVersion="4" ma:contentTypeDescription="Create a new document." ma:contentTypeScope="" ma:versionID="16a18358200fd6c706f83a15f9ba8eb0">
  <xsd:schema xmlns:xsd="http://www.w3.org/2001/XMLSchema" xmlns:xs="http://www.w3.org/2001/XMLSchema" xmlns:p="http://schemas.microsoft.com/office/2006/metadata/properties" xmlns:ns2="74cbad8e-06d4-41ca-87ae-f51259eb7980" xmlns:ns3="7b83dbe2-6fd2-449a-a932-0d75829bf641" targetNamespace="http://schemas.microsoft.com/office/2006/metadata/properties" ma:root="true" ma:fieldsID="95b6a0c59abdf4c7db755093ea32de25" ns2:_="" ns3:_="">
    <xsd:import namespace="74cbad8e-06d4-41ca-87ae-f51259eb798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bad8e-06d4-41ca-87ae-f51259eb7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03B19-BB9F-44A5-904D-C08F6BE79B6C}">
  <ds:schemaRefs>
    <ds:schemaRef ds:uri="http://schemas.microsoft.com/office/2006/metadata/properties"/>
    <ds:schemaRef ds:uri="http://schemas.microsoft.com/office/infopath/2007/PartnerControls"/>
    <ds:schemaRef ds:uri="7b83dbe2-6fd2-449a-a932-0d75829bf641"/>
    <ds:schemaRef ds:uri="d1706ee9-80ee-4f25-af17-8ecdea1037d8"/>
  </ds:schemaRefs>
</ds:datastoreItem>
</file>

<file path=customXml/itemProps2.xml><?xml version="1.0" encoding="utf-8"?>
<ds:datastoreItem xmlns:ds="http://schemas.openxmlformats.org/officeDocument/2006/customXml" ds:itemID="{F03AB9D6-7D13-47C2-ABC3-FA718DD3B046}"/>
</file>

<file path=customXml/itemProps3.xml><?xml version="1.0" encoding="utf-8"?>
<ds:datastoreItem xmlns:ds="http://schemas.openxmlformats.org/officeDocument/2006/customXml" ds:itemID="{4C7E27FF-143C-4280-93CE-0BEA009E9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ED Salary Calculation Worksheet</vt:lpstr>
      <vt:lpstr>LHA Lookup</vt:lpstr>
      <vt:lpstr>Salary Lookup</vt:lpstr>
      <vt:lpstr>FAMILY_FACTOR</vt:lpstr>
      <vt:lpstr>'ED Salary Calculation Worksheet'!Print_Area</vt:lpstr>
      <vt:lpstr>'Salary Lookup'!Print_Area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Taylor, Joyce M (OCD)</cp:lastModifiedBy>
  <cp:revision/>
  <dcterms:created xsi:type="dcterms:W3CDTF">2016-10-25T16:32:17Z</dcterms:created>
  <dcterms:modified xsi:type="dcterms:W3CDTF">2022-09-20T03:18:26Z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0x010100DF91AD24A61755478ADD1634BD4A4303</vt:lpwstr>
  </property>
  <property fmtid="{D5CDD505-2E9C-101B-9397-08002B2CF9AE}" pid="3" name="Order">
    <vt:r8>12973400</vt:r8>
  </property>
  <property fmtid="{D5CDD505-2E9C-101B-9397-08002B2CF9AE}" pid="4" name="MediaServiceImageTags">
    <vt:lpwstr/>
  </property>
</Properties>
</file>