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88" windowWidth="19416" windowHeight="8760" tabRatio="809"/>
  </bookViews>
  <sheets>
    <sheet name="ALP - models" sheetId="16" r:id="rId1"/>
    <sheet name="CAF Spring 2018" sheetId="19" r:id="rId2"/>
    <sheet name="CAF Sp 2016" sheetId="17" state="hidden" r:id="rId3"/>
    <sheet name=" Contract Data" sheetId="11" state="hidden" r:id="rId4"/>
  </sheets>
  <externalReferences>
    <externalReference r:id="rId5"/>
    <externalReference r:id="rId6"/>
  </externalReferences>
  <definedNames>
    <definedName name="gk">#REF!</definedName>
    <definedName name="ListProviders">'[1]List of Programs'!$A$24:$A$29</definedName>
    <definedName name="MT">#REF!</definedName>
    <definedName name="_xlnm.Print_Area" localSheetId="3">' Contract Data'!$A$1:$R$27</definedName>
    <definedName name="_xlnm.Print_Area" localSheetId="0">'ALP - models'!$B$1:$S$44</definedName>
    <definedName name="_xlnm.Print_Area" localSheetId="2">'CAF Sp 2016'!$AR$5:$BE$30</definedName>
    <definedName name="_xlnm.Print_Area" localSheetId="1">'CAF Spring 2018'!$BF$13:$BQ$30</definedName>
    <definedName name="_xlnm.Print_Titles" localSheetId="2">'CAF Sp 2016'!$A:$A</definedName>
    <definedName name="_xlnm.Print_Titles" localSheetId="1">'CAF Spring 2018'!$A:$A</definedName>
    <definedName name="Programs">'[1]List of Programs'!$B$3:$B$19</definedName>
    <definedName name="Total_UFR">#REF!</definedName>
    <definedName name="UFR">'[2]Complete UFR List'!#REF!</definedName>
    <definedName name="UFRS">'[2]Complete UFR List'!#REF!</definedName>
  </definedNames>
  <calcPr calcId="145621" concurrentCalc="0"/>
</workbook>
</file>

<file path=xl/calcChain.xml><?xml version="1.0" encoding="utf-8"?>
<calcChain xmlns="http://schemas.openxmlformats.org/spreadsheetml/2006/main">
  <c r="C25" i="16" l="1"/>
  <c r="BH25" i="19"/>
  <c r="BI25" i="19"/>
  <c r="BJ25" i="19"/>
  <c r="BK25" i="19"/>
  <c r="BL25" i="19"/>
  <c r="BM25" i="19"/>
  <c r="BN25" i="19"/>
  <c r="BO25" i="19"/>
  <c r="BQ25" i="19"/>
  <c r="BH21" i="19"/>
  <c r="BQ21" i="19"/>
  <c r="BQ27" i="19"/>
  <c r="BO24" i="19"/>
  <c r="BN24" i="19"/>
  <c r="BM24" i="19"/>
  <c r="BL24" i="19"/>
  <c r="BK24" i="19"/>
  <c r="BJ24" i="19"/>
  <c r="BI24" i="19"/>
  <c r="BH24" i="19"/>
  <c r="Q30" i="16"/>
  <c r="L30" i="16"/>
  <c r="G30" i="16"/>
  <c r="S30" i="16"/>
  <c r="N30" i="16"/>
  <c r="I30" i="16"/>
  <c r="C6" i="16"/>
  <c r="Q7" i="16"/>
  <c r="S7" i="16"/>
  <c r="C7" i="16"/>
  <c r="Q8" i="16"/>
  <c r="S8" i="16"/>
  <c r="C8" i="16"/>
  <c r="Q9" i="16"/>
  <c r="S9" i="16"/>
  <c r="S10" i="16"/>
  <c r="C13" i="16"/>
  <c r="Q12" i="16"/>
  <c r="S12" i="16"/>
  <c r="S13" i="16"/>
  <c r="R10" i="16"/>
  <c r="C15" i="16"/>
  <c r="H15" i="16"/>
  <c r="M15" i="16"/>
  <c r="R15" i="16"/>
  <c r="S15" i="16"/>
  <c r="R16" i="16"/>
  <c r="S16" i="16"/>
  <c r="C17" i="16"/>
  <c r="H17" i="16"/>
  <c r="M17" i="16"/>
  <c r="R17" i="16"/>
  <c r="S17" i="16"/>
  <c r="C18" i="16"/>
  <c r="H18" i="16"/>
  <c r="M18" i="16"/>
  <c r="R18" i="16"/>
  <c r="S18" i="16"/>
  <c r="C19" i="16"/>
  <c r="H19" i="16"/>
  <c r="M19" i="16"/>
  <c r="R19" i="16"/>
  <c r="S19" i="16"/>
  <c r="C20" i="16"/>
  <c r="H20" i="16"/>
  <c r="M20" i="16"/>
  <c r="R20" i="16"/>
  <c r="S20" i="16"/>
  <c r="C21" i="16"/>
  <c r="H21" i="16"/>
  <c r="M21" i="16"/>
  <c r="R21" i="16"/>
  <c r="S21" i="16"/>
  <c r="S22" i="16"/>
  <c r="S23" i="16"/>
  <c r="L7" i="16"/>
  <c r="N7" i="16"/>
  <c r="L8" i="16"/>
  <c r="N8" i="16"/>
  <c r="L9" i="16"/>
  <c r="N9" i="16"/>
  <c r="N10" i="16"/>
  <c r="L12" i="16"/>
  <c r="N12" i="16"/>
  <c r="N13" i="16"/>
  <c r="M10" i="16"/>
  <c r="N15" i="16"/>
  <c r="M16" i="16"/>
  <c r="N16" i="16"/>
  <c r="N17" i="16"/>
  <c r="N18" i="16"/>
  <c r="N19" i="16"/>
  <c r="N20" i="16"/>
  <c r="N21" i="16"/>
  <c r="N22" i="16"/>
  <c r="N23" i="16"/>
  <c r="G7" i="16"/>
  <c r="I7" i="16"/>
  <c r="G8" i="16"/>
  <c r="I8" i="16"/>
  <c r="G9" i="16"/>
  <c r="I9" i="16"/>
  <c r="I10" i="16"/>
  <c r="G12" i="16"/>
  <c r="I12" i="16"/>
  <c r="I13" i="16"/>
  <c r="H10" i="16"/>
  <c r="I15" i="16"/>
  <c r="H16" i="16"/>
  <c r="I16" i="16"/>
  <c r="I17" i="16"/>
  <c r="I18" i="16"/>
  <c r="I19" i="16"/>
  <c r="I20" i="16"/>
  <c r="I21" i="16"/>
  <c r="I22" i="16"/>
  <c r="I23" i="16"/>
  <c r="I36" i="16"/>
  <c r="I35" i="16"/>
  <c r="I37" i="16"/>
  <c r="I38" i="16"/>
  <c r="N35" i="16"/>
  <c r="N36" i="16"/>
  <c r="N37" i="16"/>
  <c r="N38" i="16"/>
  <c r="S37" i="16"/>
  <c r="S35" i="16"/>
  <c r="S36" i="16"/>
  <c r="S38" i="16"/>
  <c r="AU25" i="17"/>
  <c r="AV25" i="17"/>
  <c r="AW25" i="17"/>
  <c r="AX25" i="17"/>
  <c r="AY25" i="17"/>
  <c r="AZ25" i="17"/>
  <c r="BA25" i="17"/>
  <c r="BB25" i="17"/>
  <c r="BD25" i="17"/>
  <c r="AU21" i="17"/>
  <c r="AV21" i="17"/>
  <c r="AW21" i="17"/>
  <c r="AX21" i="17"/>
  <c r="BD21" i="17"/>
  <c r="BD27" i="17"/>
  <c r="C24" i="16"/>
  <c r="L41" i="16"/>
  <c r="C23" i="16"/>
  <c r="G24" i="16"/>
  <c r="I24" i="16"/>
  <c r="I26" i="16"/>
  <c r="G27" i="16"/>
  <c r="I27" i="16"/>
  <c r="I29" i="16"/>
  <c r="L24" i="16"/>
  <c r="N24" i="16"/>
  <c r="N26" i="16"/>
  <c r="L27" i="16"/>
  <c r="N27" i="16"/>
  <c r="N29" i="16"/>
  <c r="Q24" i="16"/>
  <c r="S24" i="16"/>
  <c r="S26" i="16"/>
  <c r="Q27" i="16"/>
  <c r="S27" i="16"/>
  <c r="S29" i="16"/>
  <c r="P16" i="16"/>
  <c r="K16" i="16"/>
  <c r="F16" i="16"/>
  <c r="B8" i="16"/>
  <c r="B12" i="16"/>
  <c r="F9" i="16"/>
  <c r="B7" i="16"/>
  <c r="P8" i="16"/>
  <c r="B6" i="16"/>
  <c r="B10" i="16"/>
  <c r="F7" i="16"/>
  <c r="P7" i="16"/>
  <c r="K8" i="16"/>
  <c r="P9" i="16"/>
  <c r="B11" i="16"/>
  <c r="F8" i="16"/>
  <c r="K7" i="16"/>
  <c r="K9" i="16"/>
  <c r="D14" i="11"/>
  <c r="R8" i="11"/>
  <c r="R26" i="11"/>
  <c r="G26" i="11"/>
  <c r="Q26" i="11"/>
  <c r="Q8" i="11"/>
  <c r="Q23" i="11"/>
  <c r="Q22" i="11"/>
  <c r="Q21" i="11"/>
  <c r="Q20" i="11"/>
  <c r="Q19" i="11"/>
  <c r="Q18" i="11"/>
  <c r="Q3" i="11"/>
  <c r="P3" i="11"/>
  <c r="Q5" i="11"/>
  <c r="P5" i="11"/>
  <c r="Q4" i="11"/>
  <c r="P4" i="11"/>
  <c r="G9" i="11"/>
  <c r="L9" i="11"/>
  <c r="B9" i="11"/>
  <c r="H11" i="11"/>
  <c r="H23" i="11"/>
  <c r="H9" i="11"/>
  <c r="M23" i="11"/>
  <c r="M11" i="11"/>
  <c r="M9" i="11"/>
  <c r="C23" i="11"/>
  <c r="C11" i="11"/>
  <c r="C9" i="11"/>
  <c r="P6" i="11"/>
  <c r="Q15" i="11"/>
  <c r="Q17" i="11"/>
  <c r="Q14" i="11"/>
  <c r="R4" i="11"/>
  <c r="R5" i="11"/>
  <c r="R3" i="11"/>
  <c r="B11" i="11"/>
  <c r="C12" i="11"/>
  <c r="C25" i="11"/>
  <c r="M12" i="11"/>
  <c r="M25" i="11"/>
  <c r="L26" i="11"/>
  <c r="H12" i="11"/>
  <c r="H25" i="11"/>
  <c r="H27" i="11"/>
  <c r="G11" i="11"/>
  <c r="L11" i="11"/>
  <c r="M27" i="11"/>
  <c r="Q16" i="11"/>
  <c r="C27" i="11"/>
  <c r="B26" i="11"/>
</calcChain>
</file>

<file path=xl/comments1.xml><?xml version="1.0" encoding="utf-8"?>
<comments xmlns="http://schemas.openxmlformats.org/spreadsheetml/2006/main">
  <authors>
    <author>kara</author>
  </authors>
  <commentList>
    <comment ref="B18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Staff Travel and Vehicle Expenses combined</t>
        </r>
      </text>
    </comment>
    <comment ref="L41" authorId="0">
      <text>
        <r>
          <rPr>
            <b/>
            <sz val="9"/>
            <color indexed="81"/>
            <rFont val="Tahoma"/>
            <family val="2"/>
          </rPr>
          <t>kara:</t>
        </r>
        <r>
          <rPr>
            <sz val="9"/>
            <color indexed="81"/>
            <rFont val="Tahoma"/>
            <family val="2"/>
          </rPr>
          <t xml:space="preserve">
I think this figure should be CAF'd - so I incorporated a CAF at 4% into this figure</t>
        </r>
      </text>
    </comment>
  </commentList>
</comments>
</file>

<file path=xl/sharedStrings.xml><?xml version="1.0" encoding="utf-8"?>
<sst xmlns="http://schemas.openxmlformats.org/spreadsheetml/2006/main" count="454" uniqueCount="168">
  <si>
    <t>FTE</t>
  </si>
  <si>
    <t>Total Program Staff</t>
  </si>
  <si>
    <t>Occupancy</t>
  </si>
  <si>
    <t>Admin Allocation</t>
  </si>
  <si>
    <t>Master Look-Up Data</t>
  </si>
  <si>
    <t>Benchmark Salary</t>
  </si>
  <si>
    <t>Source</t>
  </si>
  <si>
    <t>Position</t>
  </si>
  <si>
    <t>Salary</t>
  </si>
  <si>
    <t>Expense</t>
  </si>
  <si>
    <t>FTEs</t>
  </si>
  <si>
    <t>Tax and Fringe</t>
  </si>
  <si>
    <t>Total Compensation</t>
  </si>
  <si>
    <t>Admin. Allocation</t>
  </si>
  <si>
    <t>Total Reimb excl M&amp;G</t>
  </si>
  <si>
    <t>TOTAL</t>
  </si>
  <si>
    <t>CAF:</t>
  </si>
  <si>
    <t>Rate with CAF</t>
  </si>
  <si>
    <t>Massachusetts Economic Indicators</t>
  </si>
  <si>
    <t>Prepared by Michael Lynch, 781-301-9129</t>
  </si>
  <si>
    <t>FY14</t>
  </si>
  <si>
    <t>FY15</t>
  </si>
  <si>
    <t>FY16</t>
  </si>
  <si>
    <t>FY17</t>
  </si>
  <si>
    <t>FY18</t>
  </si>
  <si>
    <t>FY19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</si>
  <si>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</si>
  <si>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</si>
  <si>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</si>
  <si>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</si>
  <si>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</si>
  <si>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</si>
  <si>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</si>
  <si>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</si>
  <si>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</si>
  <si>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</si>
  <si>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</si>
  <si>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</si>
  <si>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</si>
  <si>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</si>
  <si>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</si>
  <si>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</si>
  <si>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</si>
  <si>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</si>
  <si>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</si>
  <si>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</si>
  <si>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</si>
  <si>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</si>
  <si>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</si>
  <si>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</si>
  <si>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</si>
  <si>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</si>
  <si>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</si>
  <si>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</si>
  <si>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</si>
  <si>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</si>
  <si>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</si>
  <si>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</si>
  <si>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</si>
  <si>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</si>
  <si>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</si>
  <si>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</si>
  <si>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</si>
  <si>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</si>
  <si>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</si>
  <si>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</si>
  <si>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</si>
  <si>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</si>
  <si>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</si>
  <si>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</si>
  <si>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</si>
  <si>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</si>
  <si>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</si>
  <si>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</si>
  <si>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</si>
  <si>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</si>
  <si>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</si>
  <si>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</si>
  <si>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</si>
  <si>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</si>
  <si>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</si>
  <si>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</si>
  <si>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</si>
  <si>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</si>
  <si>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</si>
  <si>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</si>
  <si>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</si>
  <si>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</si>
  <si>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</si>
  <si>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</si>
  <si>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</si>
  <si>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</si>
  <si>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</si>
  <si>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</si>
  <si>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</si>
  <si>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</si>
  <si>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</si>
  <si>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</si>
  <si>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</si>
  <si>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</si>
  <si>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</si>
  <si>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</si>
  <si>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</si>
  <si>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</si>
  <si>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</si>
  <si>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</si>
  <si>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 xml:space="preserve">Base period: </t>
  </si>
  <si>
    <t>Average</t>
  </si>
  <si>
    <t xml:space="preserve">Prospective rate period: </t>
  </si>
  <si>
    <t>CAF using base year of data</t>
  </si>
  <si>
    <t>DC II</t>
  </si>
  <si>
    <t>Clerical</t>
  </si>
  <si>
    <t>Staff Travel</t>
  </si>
  <si>
    <t>FY16 Contract Data</t>
  </si>
  <si>
    <t>01/01/2017 - 12/31/2018</t>
  </si>
  <si>
    <t>Monthly Rate</t>
  </si>
  <si>
    <t>Program Director</t>
  </si>
  <si>
    <t>Function Manager</t>
  </si>
  <si>
    <t xml:space="preserve">DC I </t>
  </si>
  <si>
    <t>DC Supervisor</t>
  </si>
  <si>
    <t>JRI</t>
  </si>
  <si>
    <t>Spend</t>
  </si>
  <si>
    <t>Staff training</t>
  </si>
  <si>
    <t>Subcontract DC</t>
  </si>
  <si>
    <t>Meals</t>
  </si>
  <si>
    <t>Vehicle Exp</t>
  </si>
  <si>
    <t>Client Pers Allow</t>
  </si>
  <si>
    <t>Prog Support</t>
  </si>
  <si>
    <t>Supplies &amp; Materials</t>
  </si>
  <si>
    <t>DC Consultants</t>
  </si>
  <si>
    <t>Counselor</t>
  </si>
  <si>
    <t>-</t>
  </si>
  <si>
    <t>TOTAL FTE</t>
  </si>
  <si>
    <t>TOTAL Spend</t>
  </si>
  <si>
    <t>Per FTE</t>
  </si>
  <si>
    <t>Program Management</t>
  </si>
  <si>
    <t>Avg per FTE</t>
  </si>
  <si>
    <t>CAF</t>
  </si>
  <si>
    <t>Admin allocation</t>
  </si>
  <si>
    <t>ALPS- Alternative Lock-up Program (RESS)</t>
  </si>
  <si>
    <t>Specialized DC Staff / Counselor</t>
  </si>
  <si>
    <t>YOU</t>
  </si>
  <si>
    <t>NBH</t>
  </si>
  <si>
    <t>6/15/16 Thoughts:  We could make an add-on rate at individual consideration for the Shelter Placement  (Subcontracted &amp; DC consultants and meals)</t>
  </si>
  <si>
    <t>Monthly Accommodation Rate - Model A</t>
  </si>
  <si>
    <t>Monthly Accommodation Rate - Model B</t>
  </si>
  <si>
    <t>Monthly Accommodation Rate - Model C</t>
  </si>
  <si>
    <t>Travel Expenses</t>
  </si>
  <si>
    <t>Admin of Placement</t>
  </si>
  <si>
    <t>Purchaser recommendation</t>
  </si>
  <si>
    <t xml:space="preserve">Total </t>
  </si>
  <si>
    <t xml:space="preserve">              This would be the "pot" of money for placements</t>
  </si>
  <si>
    <t>IHS Economics Spring 2016 Forecast</t>
  </si>
  <si>
    <t>Placement M&amp;G</t>
  </si>
  <si>
    <t>ALP</t>
  </si>
  <si>
    <t>Program A</t>
  </si>
  <si>
    <t>Program B</t>
  </si>
  <si>
    <t>Program C</t>
  </si>
  <si>
    <t xml:space="preserve">FY20 and 21 </t>
  </si>
  <si>
    <t>IHS Markit Economics Spring 2018 Forecast</t>
  </si>
  <si>
    <t>FY20</t>
  </si>
  <si>
    <t>FY21</t>
  </si>
  <si>
    <t>Spring  MA Economics 2018</t>
  </si>
  <si>
    <t>Rate-to-rate CAF</t>
  </si>
  <si>
    <t>Assumption for Rate Reviews that are to be promulgated July 1, 2019</t>
  </si>
  <si>
    <t>FY19Q4</t>
  </si>
  <si>
    <t>CY19Q2</t>
  </si>
  <si>
    <t>FY20 and FY21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</si>
</sst>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\$#,##0"/>
    <numFmt numFmtId="166" formatCode="0.000"/>
    <numFmt numFmtId="167" formatCode="&quot;$&quot;#,##0"/>
    <numFmt numFmtId="168" formatCode="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color theme="1"/>
      <name val="Tahoma"/>
      <family val="2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17"/>
      <name val="Calibri"/>
      <family val="2"/>
      <scheme val="minor"/>
    </font>
    <font>
      <sz val="9"/>
      <color indexed="3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70C0"/>
      <name val="Calibri"/>
      <family val="2"/>
      <scheme val="minor"/>
    </font>
    <font>
      <sz val="9"/>
      <color rgb="FF00B050"/>
      <name val="Calibri"/>
      <family val="2"/>
      <scheme val="minor"/>
    </font>
    <font>
      <b/>
      <u/>
      <sz val="9"/>
      <color indexed="8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33" fillId="0" borderId="0"/>
    <xf numFmtId="4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171">
    <xf numFmtId="0" fontId="0" fillId="0" borderId="0" xfId="0"/>
    <xf numFmtId="0" fontId="21" fillId="0" borderId="0" xfId="16" applyFont="1"/>
    <xf numFmtId="0" fontId="21" fillId="0" borderId="0" xfId="7" applyFont="1"/>
    <xf numFmtId="0" fontId="5" fillId="0" borderId="0" xfId="7"/>
    <xf numFmtId="0" fontId="25" fillId="0" borderId="0" xfId="7" applyFont="1"/>
    <xf numFmtId="0" fontId="26" fillId="0" borderId="0" xfId="7" applyFont="1"/>
    <xf numFmtId="0" fontId="5" fillId="0" borderId="25" xfId="7" applyBorder="1"/>
    <xf numFmtId="0" fontId="5" fillId="0" borderId="26" xfId="7" applyBorder="1"/>
    <xf numFmtId="0" fontId="5" fillId="0" borderId="27" xfId="7" applyBorder="1"/>
    <xf numFmtId="0" fontId="5" fillId="0" borderId="28" xfId="7" applyBorder="1"/>
    <xf numFmtId="0" fontId="5" fillId="0" borderId="0" xfId="7" applyBorder="1" applyAlignment="1">
      <alignment horizontal="right"/>
    </xf>
    <xf numFmtId="0" fontId="5" fillId="0" borderId="0" xfId="7" applyBorder="1"/>
    <xf numFmtId="0" fontId="5" fillId="0" borderId="29" xfId="7" applyBorder="1"/>
    <xf numFmtId="0" fontId="27" fillId="0" borderId="29" xfId="7" applyFont="1" applyBorder="1" applyAlignment="1">
      <alignment horizontal="center"/>
    </xf>
    <xf numFmtId="0" fontId="5" fillId="0" borderId="29" xfId="7" applyBorder="1" applyAlignment="1">
      <alignment horizontal="center"/>
    </xf>
    <xf numFmtId="166" fontId="5" fillId="0" borderId="29" xfId="7" applyNumberFormat="1" applyBorder="1" applyAlignment="1">
      <alignment horizontal="center"/>
    </xf>
    <xf numFmtId="0" fontId="21" fillId="3" borderId="0" xfId="7" applyFont="1" applyFill="1" applyBorder="1" applyAlignment="1">
      <alignment horizontal="right"/>
    </xf>
    <xf numFmtId="0" fontId="5" fillId="0" borderId="30" xfId="7" applyBorder="1"/>
    <xf numFmtId="0" fontId="5" fillId="0" borderId="15" xfId="7" applyBorder="1"/>
    <xf numFmtId="0" fontId="5" fillId="0" borderId="31" xfId="7" applyBorder="1"/>
    <xf numFmtId="167" fontId="0" fillId="0" borderId="0" xfId="0" applyNumberFormat="1"/>
    <xf numFmtId="167" fontId="0" fillId="0" borderId="0" xfId="0" applyNumberFormat="1" applyBorder="1"/>
    <xf numFmtId="0" fontId="0" fillId="0" borderId="0" xfId="0" applyAlignment="1">
      <alignment horizontal="center"/>
    </xf>
    <xf numFmtId="167" fontId="0" fillId="0" borderId="22" xfId="0" applyNumberFormat="1" applyBorder="1"/>
    <xf numFmtId="10" fontId="0" fillId="0" borderId="0" xfId="17" applyNumberFormat="1" applyFont="1"/>
    <xf numFmtId="0" fontId="0" fillId="0" borderId="22" xfId="0" applyBorder="1" applyAlignment="1">
      <alignment horizontal="center"/>
    </xf>
    <xf numFmtId="0" fontId="0" fillId="0" borderId="22" xfId="0" applyBorder="1"/>
    <xf numFmtId="0" fontId="0" fillId="0" borderId="0" xfId="0" applyFill="1" applyAlignment="1">
      <alignment horizontal="center"/>
    </xf>
    <xf numFmtId="0" fontId="29" fillId="0" borderId="0" xfId="0" applyFont="1"/>
    <xf numFmtId="167" fontId="29" fillId="0" borderId="0" xfId="0" applyNumberFormat="1" applyFont="1" applyFill="1"/>
    <xf numFmtId="0" fontId="0" fillId="0" borderId="15" xfId="0" applyBorder="1"/>
    <xf numFmtId="0" fontId="0" fillId="0" borderId="0" xfId="0"/>
    <xf numFmtId="0" fontId="2" fillId="0" borderId="0" xfId="0" applyFont="1"/>
    <xf numFmtId="0" fontId="10" fillId="0" borderId="12" xfId="6" applyFont="1" applyBorder="1"/>
    <xf numFmtId="3" fontId="10" fillId="0" borderId="8" xfId="6" applyNumberFormat="1" applyFont="1" applyBorder="1" applyAlignment="1">
      <alignment horizontal="center"/>
    </xf>
    <xf numFmtId="0" fontId="7" fillId="0" borderId="5" xfId="10" applyFont="1" applyBorder="1" applyAlignment="1">
      <alignment horizontal="left"/>
    </xf>
    <xf numFmtId="0" fontId="10" fillId="0" borderId="14" xfId="6" applyFont="1" applyBorder="1"/>
    <xf numFmtId="0" fontId="10" fillId="0" borderId="15" xfId="6" applyFont="1" applyBorder="1" applyAlignment="1">
      <alignment horizontal="center"/>
    </xf>
    <xf numFmtId="0" fontId="10" fillId="0" borderId="16" xfId="6" applyFont="1" applyBorder="1" applyAlignment="1">
      <alignment horizontal="center"/>
    </xf>
    <xf numFmtId="0" fontId="7" fillId="0" borderId="5" xfId="10" applyFont="1" applyFill="1" applyBorder="1" applyAlignment="1">
      <alignment horizontal="left"/>
    </xf>
    <xf numFmtId="0" fontId="7" fillId="0" borderId="5" xfId="10" applyFont="1" applyBorder="1" applyAlignment="1"/>
    <xf numFmtId="42" fontId="11" fillId="0" borderId="0" xfId="6" applyNumberFormat="1" applyFont="1" applyBorder="1"/>
    <xf numFmtId="4" fontId="12" fillId="0" borderId="0" xfId="6" applyNumberFormat="1" applyFont="1" applyBorder="1"/>
    <xf numFmtId="42" fontId="13" fillId="0" borderId="6" xfId="6" applyNumberFormat="1" applyFont="1" applyBorder="1"/>
    <xf numFmtId="0" fontId="7" fillId="0" borderId="5" xfId="10" applyFont="1" applyFill="1" applyBorder="1" applyAlignment="1"/>
    <xf numFmtId="0" fontId="10" fillId="0" borderId="17" xfId="6" applyFont="1" applyBorder="1"/>
    <xf numFmtId="0" fontId="10" fillId="0" borderId="18" xfId="6" applyFont="1" applyBorder="1"/>
    <xf numFmtId="4" fontId="10" fillId="0" borderId="18" xfId="6" applyNumberFormat="1" applyFont="1" applyFill="1" applyBorder="1"/>
    <xf numFmtId="42" fontId="10" fillId="0" borderId="7" xfId="6" applyNumberFormat="1" applyFont="1" applyBorder="1"/>
    <xf numFmtId="0" fontId="10" fillId="0" borderId="5" xfId="6" applyFont="1" applyBorder="1"/>
    <xf numFmtId="0" fontId="13" fillId="0" borderId="0" xfId="6" applyFont="1" applyBorder="1"/>
    <xf numFmtId="0" fontId="10" fillId="0" borderId="0" xfId="6" applyFont="1" applyBorder="1"/>
    <xf numFmtId="0" fontId="13" fillId="0" borderId="6" xfId="6" applyFont="1" applyBorder="1"/>
    <xf numFmtId="0" fontId="13" fillId="0" borderId="5" xfId="6" applyFont="1" applyBorder="1"/>
    <xf numFmtId="10" fontId="11" fillId="0" borderId="0" xfId="6" applyNumberFormat="1" applyFont="1" applyBorder="1"/>
    <xf numFmtId="44" fontId="10" fillId="0" borderId="18" xfId="6" applyNumberFormat="1" applyFont="1" applyBorder="1"/>
    <xf numFmtId="44" fontId="10" fillId="0" borderId="0" xfId="6" applyNumberFormat="1" applyFont="1" applyBorder="1"/>
    <xf numFmtId="42" fontId="10" fillId="0" borderId="6" xfId="6" applyNumberFormat="1" applyFont="1" applyBorder="1"/>
    <xf numFmtId="0" fontId="7" fillId="0" borderId="19" xfId="10" applyFont="1" applyBorder="1" applyAlignment="1">
      <alignment horizontal="left"/>
    </xf>
    <xf numFmtId="0" fontId="10" fillId="0" borderId="21" xfId="6" applyFont="1" applyBorder="1"/>
    <xf numFmtId="0" fontId="13" fillId="0" borderId="22" xfId="6" applyFont="1" applyBorder="1"/>
    <xf numFmtId="42" fontId="10" fillId="0" borderId="23" xfId="6" applyNumberFormat="1" applyFont="1" applyBorder="1"/>
    <xf numFmtId="10" fontId="12" fillId="0" borderId="0" xfId="6" applyNumberFormat="1" applyFont="1" applyFill="1" applyBorder="1"/>
    <xf numFmtId="164" fontId="13" fillId="0" borderId="6" xfId="2" applyNumberFormat="1" applyFont="1" applyBorder="1"/>
    <xf numFmtId="0" fontId="17" fillId="0" borderId="6" xfId="6" applyFont="1" applyBorder="1" applyAlignment="1">
      <alignment horizontal="right"/>
    </xf>
    <xf numFmtId="0" fontId="0" fillId="0" borderId="0" xfId="0" applyFill="1" applyBorder="1"/>
    <xf numFmtId="167" fontId="11" fillId="0" borderId="0" xfId="10" applyNumberFormat="1" applyFont="1" applyBorder="1"/>
    <xf numFmtId="167" fontId="11" fillId="0" borderId="0" xfId="10" applyNumberFormat="1" applyFont="1" applyFill="1" applyBorder="1"/>
    <xf numFmtId="2" fontId="15" fillId="0" borderId="0" xfId="10" applyNumberFormat="1" applyFont="1" applyFill="1" applyBorder="1"/>
    <xf numFmtId="164" fontId="16" fillId="0" borderId="0" xfId="15" applyNumberFormat="1" applyFont="1" applyBorder="1" applyAlignment="1">
      <alignment horizontal="right"/>
    </xf>
    <xf numFmtId="0" fontId="9" fillId="4" borderId="4" xfId="10" applyFont="1" applyFill="1" applyBorder="1" applyAlignment="1">
      <alignment horizontal="center"/>
    </xf>
    <xf numFmtId="0" fontId="2" fillId="4" borderId="6" xfId="10" applyFont="1" applyFill="1" applyBorder="1" applyAlignment="1">
      <alignment horizontal="left"/>
    </xf>
    <xf numFmtId="0" fontId="2" fillId="0" borderId="5" xfId="0" applyFont="1" applyBorder="1"/>
    <xf numFmtId="167" fontId="11" fillId="0" borderId="24" xfId="10" applyNumberFormat="1" applyFont="1" applyBorder="1"/>
    <xf numFmtId="0" fontId="2" fillId="4" borderId="20" xfId="1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4" fillId="0" borderId="3" xfId="10" quotePrefix="1" applyNumberFormat="1" applyFont="1" applyBorder="1" applyAlignment="1">
      <alignment horizontal="center"/>
    </xf>
    <xf numFmtId="0" fontId="2" fillId="4" borderId="4" xfId="10" applyFont="1" applyFill="1" applyBorder="1" applyAlignment="1">
      <alignment horizontal="left"/>
    </xf>
    <xf numFmtId="2" fontId="15" fillId="0" borderId="24" xfId="10" applyNumberFormat="1" applyFont="1" applyBorder="1"/>
    <xf numFmtId="0" fontId="2" fillId="0" borderId="9" xfId="0" applyFont="1" applyBorder="1"/>
    <xf numFmtId="10" fontId="2" fillId="0" borderId="10" xfId="0" applyNumberFormat="1" applyFont="1" applyBorder="1"/>
    <xf numFmtId="0" fontId="14" fillId="0" borderId="5" xfId="0" applyFont="1" applyBorder="1" applyAlignment="1"/>
    <xf numFmtId="0" fontId="14" fillId="0" borderId="0" xfId="0" applyFont="1" applyBorder="1" applyAlignment="1"/>
    <xf numFmtId="0" fontId="14" fillId="0" borderId="9" xfId="0" applyFont="1" applyBorder="1" applyAlignment="1"/>
    <xf numFmtId="10" fontId="14" fillId="0" borderId="10" xfId="0" applyNumberFormat="1" applyFont="1" applyBorder="1" applyAlignment="1"/>
    <xf numFmtId="0" fontId="2" fillId="4" borderId="11" xfId="10" applyFont="1" applyFill="1" applyBorder="1" applyAlignment="1">
      <alignment horizontal="left"/>
    </xf>
    <xf numFmtId="164" fontId="13" fillId="0" borderId="0" xfId="6" applyNumberFormat="1" applyFont="1" applyBorder="1"/>
    <xf numFmtId="0" fontId="0" fillId="0" borderId="0" xfId="0" applyFill="1"/>
    <xf numFmtId="167" fontId="0" fillId="0" borderId="0" xfId="0" applyNumberFormat="1" applyFill="1" applyBorder="1" applyAlignment="1">
      <alignment horizontal="center"/>
    </xf>
    <xf numFmtId="0" fontId="2" fillId="0" borderId="0" xfId="0" applyFont="1" applyFill="1" applyBorder="1"/>
    <xf numFmtId="10" fontId="2" fillId="0" borderId="0" xfId="17" applyNumberFormat="1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167" fontId="2" fillId="0" borderId="0" xfId="15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10" fontId="2" fillId="0" borderId="0" xfId="17" applyNumberFormat="1" applyFont="1" applyFill="1" applyBorder="1" applyAlignment="1">
      <alignment horizontal="center"/>
    </xf>
    <xf numFmtId="0" fontId="2" fillId="0" borderId="0" xfId="0" applyFont="1" applyFill="1"/>
    <xf numFmtId="167" fontId="2" fillId="0" borderId="0" xfId="15" applyNumberFormat="1" applyFont="1" applyFill="1" applyBorder="1" applyAlignment="1">
      <alignment horizontal="left"/>
    </xf>
    <xf numFmtId="167" fontId="11" fillId="0" borderId="0" xfId="6" applyNumberFormat="1" applyFont="1" applyBorder="1"/>
    <xf numFmtId="44" fontId="0" fillId="0" borderId="0" xfId="0" applyNumberFormat="1"/>
    <xf numFmtId="0" fontId="2" fillId="14" borderId="5" xfId="0" applyFont="1" applyFill="1" applyBorder="1"/>
    <xf numFmtId="44" fontId="0" fillId="0" borderId="0" xfId="15" applyFont="1"/>
    <xf numFmtId="42" fontId="0" fillId="0" borderId="0" xfId="0" applyNumberFormat="1"/>
    <xf numFmtId="0" fontId="0" fillId="0" borderId="0" xfId="0" applyFont="1"/>
    <xf numFmtId="164" fontId="16" fillId="0" borderId="0" xfId="15" applyNumberFormat="1" applyFont="1" applyFill="1" applyBorder="1" applyAlignment="1">
      <alignment horizontal="right"/>
    </xf>
    <xf numFmtId="0" fontId="2" fillId="0" borderId="0" xfId="10" applyFont="1" applyFill="1" applyBorder="1" applyAlignment="1">
      <alignment horizontal="left"/>
    </xf>
    <xf numFmtId="42" fontId="28" fillId="0" borderId="0" xfId="0" applyNumberFormat="1" applyFont="1" applyAlignment="1">
      <alignment horizontal="left"/>
    </xf>
    <xf numFmtId="0" fontId="5" fillId="0" borderId="0" xfId="5"/>
    <xf numFmtId="0" fontId="21" fillId="0" borderId="0" xfId="5" applyFont="1"/>
    <xf numFmtId="0" fontId="5" fillId="10" borderId="0" xfId="27" applyFont="1" applyFill="1"/>
    <xf numFmtId="0" fontId="5" fillId="5" borderId="0" xfId="27" applyFont="1" applyFill="1"/>
    <xf numFmtId="0" fontId="23" fillId="5" borderId="0" xfId="27" applyFont="1" applyFill="1"/>
    <xf numFmtId="0" fontId="5" fillId="11" borderId="0" xfId="27" applyFont="1" applyFill="1"/>
    <xf numFmtId="0" fontId="24" fillId="11" borderId="0" xfId="27" applyFont="1" applyFill="1"/>
    <xf numFmtId="0" fontId="24" fillId="6" borderId="0" xfId="27" applyFont="1" applyFill="1"/>
    <xf numFmtId="0" fontId="24" fillId="8" borderId="0" xfId="27" applyFont="1" applyFill="1"/>
    <xf numFmtId="0" fontId="24" fillId="7" borderId="0" xfId="27" applyFont="1" applyFill="1"/>
    <xf numFmtId="14" fontId="21" fillId="0" borderId="0" xfId="5" applyNumberFormat="1" applyFont="1"/>
    <xf numFmtId="166" fontId="5" fillId="0" borderId="0" xfId="5" applyNumberFormat="1"/>
    <xf numFmtId="2" fontId="5" fillId="0" borderId="0" xfId="5" applyNumberFormat="1"/>
    <xf numFmtId="10" fontId="21" fillId="3" borderId="29" xfId="25" applyNumberFormat="1" applyFont="1" applyFill="1" applyBorder="1" applyAlignment="1">
      <alignment horizontal="center"/>
    </xf>
    <xf numFmtId="166" fontId="5" fillId="0" borderId="0" xfId="7" applyNumberFormat="1" applyBorder="1"/>
    <xf numFmtId="167" fontId="0" fillId="3" borderId="0" xfId="0" applyNumberFormat="1" applyFill="1"/>
    <xf numFmtId="0" fontId="32" fillId="0" borderId="0" xfId="0" applyFont="1"/>
    <xf numFmtId="167" fontId="32" fillId="0" borderId="0" xfId="0" applyNumberFormat="1" applyFont="1"/>
    <xf numFmtId="167" fontId="32" fillId="0" borderId="0" xfId="0" applyNumberFormat="1" applyFont="1" applyFill="1"/>
    <xf numFmtId="0" fontId="2" fillId="0" borderId="2" xfId="0" applyFont="1" applyBorder="1"/>
    <xf numFmtId="10" fontId="2" fillId="0" borderId="3" xfId="0" applyNumberFormat="1" applyFont="1" applyBorder="1"/>
    <xf numFmtId="0" fontId="2" fillId="0" borderId="4" xfId="0" applyFont="1" applyBorder="1"/>
    <xf numFmtId="0" fontId="2" fillId="0" borderId="32" xfId="0" applyFont="1" applyBorder="1"/>
    <xf numFmtId="0" fontId="10" fillId="0" borderId="5" xfId="6" applyFont="1" applyFill="1" applyBorder="1"/>
    <xf numFmtId="44" fontId="10" fillId="0" borderId="0" xfId="6" applyNumberFormat="1" applyFont="1" applyFill="1" applyBorder="1"/>
    <xf numFmtId="44" fontId="10" fillId="0" borderId="0" xfId="2" applyFont="1" applyFill="1" applyBorder="1"/>
    <xf numFmtId="10" fontId="0" fillId="0" borderId="32" xfId="17" applyNumberFormat="1" applyFont="1" applyBorder="1"/>
    <xf numFmtId="0" fontId="0" fillId="0" borderId="32" xfId="0" applyBorder="1"/>
    <xf numFmtId="42" fontId="10" fillId="4" borderId="6" xfId="2" applyNumberFormat="1" applyFont="1" applyFill="1" applyBorder="1"/>
    <xf numFmtId="10" fontId="2" fillId="0" borderId="32" xfId="17" applyNumberFormat="1" applyFont="1" applyBorder="1"/>
    <xf numFmtId="0" fontId="33" fillId="0" borderId="0" xfId="28"/>
    <xf numFmtId="0" fontId="21" fillId="0" borderId="0" xfId="28" applyFont="1"/>
    <xf numFmtId="0" fontId="24" fillId="15" borderId="0" xfId="27" applyFont="1" applyFill="1"/>
    <xf numFmtId="0" fontId="24" fillId="16" borderId="0" xfId="27" applyFont="1" applyFill="1"/>
    <xf numFmtId="14" fontId="21" fillId="0" borderId="0" xfId="28" applyNumberFormat="1" applyFont="1"/>
    <xf numFmtId="166" fontId="33" fillId="0" borderId="0" xfId="28" applyNumberFormat="1"/>
    <xf numFmtId="2" fontId="33" fillId="0" borderId="0" xfId="28" applyNumberFormat="1"/>
    <xf numFmtId="168" fontId="33" fillId="0" borderId="0" xfId="28" applyNumberFormat="1"/>
    <xf numFmtId="167" fontId="28" fillId="3" borderId="32" xfId="0" applyNumberFormat="1" applyFont="1" applyFill="1" applyBorder="1"/>
    <xf numFmtId="165" fontId="8" fillId="0" borderId="2" xfId="10" applyNumberFormat="1" applyFont="1" applyBorder="1" applyAlignment="1">
      <alignment horizontal="center"/>
    </xf>
    <xf numFmtId="165" fontId="8" fillId="0" borderId="3" xfId="10" applyNumberFormat="1" applyFont="1" applyBorder="1" applyAlignment="1">
      <alignment horizontal="center"/>
    </xf>
    <xf numFmtId="0" fontId="10" fillId="0" borderId="13" xfId="6" applyFont="1" applyBorder="1" applyAlignment="1">
      <alignment horizontal="right"/>
    </xf>
    <xf numFmtId="165" fontId="14" fillId="12" borderId="2" xfId="10" applyNumberFormat="1" applyFont="1" applyFill="1" applyBorder="1" applyAlignment="1">
      <alignment horizontal="center"/>
    </xf>
    <xf numFmtId="165" fontId="14" fillId="12" borderId="3" xfId="10" applyNumberFormat="1" applyFont="1" applyFill="1" applyBorder="1" applyAlignment="1">
      <alignment horizontal="center"/>
    </xf>
    <xf numFmtId="165" fontId="14" fillId="12" borderId="4" xfId="10" applyNumberFormat="1" applyFont="1" applyFill="1" applyBorder="1" applyAlignment="1">
      <alignment horizontal="center"/>
    </xf>
    <xf numFmtId="0" fontId="14" fillId="12" borderId="9" xfId="6" applyFont="1" applyFill="1" applyBorder="1" applyAlignment="1">
      <alignment horizontal="center"/>
    </xf>
    <xf numFmtId="0" fontId="14" fillId="12" borderId="10" xfId="6" applyFont="1" applyFill="1" applyBorder="1" applyAlignment="1">
      <alignment horizontal="center"/>
    </xf>
    <xf numFmtId="0" fontId="14" fillId="12" borderId="11" xfId="6" applyFont="1" applyFill="1" applyBorder="1" applyAlignment="1">
      <alignment horizontal="center"/>
    </xf>
    <xf numFmtId="0" fontId="14" fillId="12" borderId="19" xfId="0" applyFont="1" applyFill="1" applyBorder="1" applyAlignment="1">
      <alignment horizontal="center"/>
    </xf>
    <xf numFmtId="0" fontId="14" fillId="12" borderId="24" xfId="0" applyFont="1" applyFill="1" applyBorder="1" applyAlignment="1">
      <alignment horizontal="center"/>
    </xf>
    <xf numFmtId="0" fontId="14" fillId="12" borderId="20" xfId="0" applyFont="1" applyFill="1" applyBorder="1" applyAlignment="1">
      <alignment horizontal="center"/>
    </xf>
    <xf numFmtId="0" fontId="19" fillId="9" borderId="3" xfId="28" applyFont="1" applyFill="1" applyBorder="1" applyAlignment="1">
      <alignment horizontal="left"/>
    </xf>
    <xf numFmtId="0" fontId="19" fillId="9" borderId="4" xfId="28" applyFont="1" applyFill="1" applyBorder="1" applyAlignment="1">
      <alignment horizontal="left"/>
    </xf>
    <xf numFmtId="0" fontId="20" fillId="9" borderId="0" xfId="28" applyFont="1" applyFill="1" applyBorder="1" applyAlignment="1">
      <alignment horizontal="left"/>
    </xf>
    <xf numFmtId="0" fontId="20" fillId="9" borderId="6" xfId="28" applyFont="1" applyFill="1" applyBorder="1" applyAlignment="1">
      <alignment horizontal="left"/>
    </xf>
    <xf numFmtId="0" fontId="22" fillId="9" borderId="24" xfId="28" applyFont="1" applyFill="1" applyBorder="1" applyAlignment="1">
      <alignment horizontal="left"/>
    </xf>
    <xf numFmtId="0" fontId="22" fillId="9" borderId="20" xfId="28" applyFont="1" applyFill="1" applyBorder="1" applyAlignment="1">
      <alignment horizontal="left"/>
    </xf>
    <xf numFmtId="0" fontId="19" fillId="9" borderId="3" xfId="5" applyFont="1" applyFill="1" applyBorder="1" applyAlignment="1">
      <alignment horizontal="left"/>
    </xf>
    <xf numFmtId="0" fontId="19" fillId="9" borderId="4" xfId="5" applyFont="1" applyFill="1" applyBorder="1" applyAlignment="1">
      <alignment horizontal="left"/>
    </xf>
    <xf numFmtId="0" fontId="20" fillId="9" borderId="0" xfId="5" applyFont="1" applyFill="1" applyBorder="1" applyAlignment="1">
      <alignment horizontal="left"/>
    </xf>
    <xf numFmtId="0" fontId="20" fillId="9" borderId="6" xfId="5" applyFont="1" applyFill="1" applyBorder="1" applyAlignment="1">
      <alignment horizontal="left"/>
    </xf>
    <xf numFmtId="0" fontId="22" fillId="9" borderId="24" xfId="5" applyFont="1" applyFill="1" applyBorder="1" applyAlignment="1">
      <alignment horizontal="left"/>
    </xf>
    <xf numFmtId="0" fontId="22" fillId="9" borderId="20" xfId="5" applyFont="1" applyFill="1" applyBorder="1" applyAlignment="1">
      <alignment horizontal="left"/>
    </xf>
    <xf numFmtId="0" fontId="0" fillId="13" borderId="0" xfId="0" applyFill="1" applyAlignment="1">
      <alignment horizontal="center"/>
    </xf>
  </cellXfs>
  <cellStyles count="32">
    <cellStyle name="Comma 2" xfId="21"/>
    <cellStyle name="Comma 3" xfId="20"/>
    <cellStyle name="Currency" xfId="15" builtinId="4"/>
    <cellStyle name="Currency [0] 2" xfId="29"/>
    <cellStyle name="Currency 2" xfId="22"/>
    <cellStyle name="Currency 3" xfId="1"/>
    <cellStyle name="Currency 4" xfId="2"/>
    <cellStyle name="Currency 6" xfId="30"/>
    <cellStyle name="Currency 8" xfId="31"/>
    <cellStyle name="Normal" xfId="0" builtinId="0"/>
    <cellStyle name="Normal 2" xfId="3"/>
    <cellStyle name="Normal 2 2" xfId="4"/>
    <cellStyle name="Normal 2 2 2" xfId="5"/>
    <cellStyle name="Normal 2 3" xfId="28"/>
    <cellStyle name="Normal 3" xfId="6"/>
    <cellStyle name="Normal 3 2" xfId="23"/>
    <cellStyle name="Normal 4" xfId="7"/>
    <cellStyle name="Normal 4 2" xfId="24"/>
    <cellStyle name="Normal 5" xfId="8"/>
    <cellStyle name="Normal 5 2" xfId="9"/>
    <cellStyle name="Normal 6" xfId="10"/>
    <cellStyle name="Normal 6 2" xfId="27"/>
    <cellStyle name="Normal 7" xfId="16"/>
    <cellStyle name="Normal 7 2" xfId="18"/>
    <cellStyle name="Normal 8" xfId="19"/>
    <cellStyle name="Note 2" xfId="11"/>
    <cellStyle name="Percent" xfId="17" builtinId="5"/>
    <cellStyle name="Percent 2" xfId="25"/>
    <cellStyle name="Percent 2 2" xfId="12"/>
    <cellStyle name="Percent 3" xfId="13"/>
    <cellStyle name="Percent 4" xfId="26"/>
    <cellStyle name="Percent 6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S57"/>
  <sheetViews>
    <sheetView tabSelected="1" topLeftCell="A4" zoomScale="80" zoomScaleNormal="80" workbookViewId="0">
      <selection activeCell="G48" sqref="G48"/>
    </sheetView>
  </sheetViews>
  <sheetFormatPr defaultColWidth="8.88671875" defaultRowHeight="14.4" x14ac:dyDescent="0.3"/>
  <cols>
    <col min="1" max="1" width="4.5546875" style="31" customWidth="1"/>
    <col min="2" max="2" width="24.88671875" style="32" customWidth="1"/>
    <col min="3" max="3" width="14.5546875" style="32" customWidth="1"/>
    <col min="4" max="4" width="21" style="32" customWidth="1"/>
    <col min="5" max="5" width="8.44140625" style="32" customWidth="1"/>
    <col min="6" max="6" width="18.88671875" style="32" customWidth="1"/>
    <col min="7" max="7" width="12.5546875" style="31" customWidth="1"/>
    <col min="8" max="8" width="9.6640625" style="31" bestFit="1" customWidth="1"/>
    <col min="9" max="9" width="15.33203125" style="31" customWidth="1"/>
    <col min="10" max="10" width="4.109375" style="31" customWidth="1"/>
    <col min="11" max="11" width="18.88671875" style="32" customWidth="1"/>
    <col min="12" max="12" width="14.44140625" style="31" bestFit="1" customWidth="1"/>
    <col min="13" max="13" width="9.6640625" style="31" bestFit="1" customWidth="1"/>
    <col min="14" max="14" width="15.33203125" style="31" customWidth="1"/>
    <col min="15" max="15" width="4.33203125" style="31" customWidth="1"/>
    <col min="16" max="16" width="18.88671875" style="32" customWidth="1"/>
    <col min="17" max="17" width="11" style="31" bestFit="1" customWidth="1"/>
    <col min="18" max="18" width="9.6640625" style="31" bestFit="1" customWidth="1"/>
    <col min="19" max="19" width="15.33203125" style="31" customWidth="1"/>
    <col min="20" max="16384" width="8.88671875" style="31"/>
  </cols>
  <sheetData>
    <row r="2" spans="2:19" ht="15" thickBot="1" x14ac:dyDescent="0.35"/>
    <row r="3" spans="2:19" ht="15" thickBot="1" x14ac:dyDescent="0.35">
      <c r="B3" s="149" t="s">
        <v>4</v>
      </c>
      <c r="C3" s="150"/>
      <c r="D3" s="151"/>
      <c r="F3" s="152" t="s">
        <v>139</v>
      </c>
      <c r="G3" s="153"/>
      <c r="H3" s="153"/>
      <c r="I3" s="154"/>
      <c r="K3" s="152" t="s">
        <v>139</v>
      </c>
      <c r="L3" s="153"/>
      <c r="M3" s="153"/>
      <c r="N3" s="154"/>
      <c r="P3" s="152" t="s">
        <v>139</v>
      </c>
      <c r="Q3" s="153"/>
      <c r="R3" s="153"/>
      <c r="S3" s="154"/>
    </row>
    <row r="4" spans="2:19" ht="15" thickBot="1" x14ac:dyDescent="0.35">
      <c r="B4" s="155" t="s">
        <v>139</v>
      </c>
      <c r="C4" s="156"/>
      <c r="D4" s="157"/>
      <c r="F4" s="152" t="s">
        <v>144</v>
      </c>
      <c r="G4" s="153"/>
      <c r="H4" s="153"/>
      <c r="I4" s="154"/>
      <c r="K4" s="152" t="s">
        <v>145</v>
      </c>
      <c r="L4" s="153"/>
      <c r="M4" s="153"/>
      <c r="N4" s="154"/>
      <c r="P4" s="152" t="s">
        <v>146</v>
      </c>
      <c r="Q4" s="153"/>
      <c r="R4" s="153"/>
      <c r="S4" s="154"/>
    </row>
    <row r="5" spans="2:19" x14ac:dyDescent="0.3">
      <c r="B5" s="146" t="s">
        <v>5</v>
      </c>
      <c r="C5" s="147"/>
      <c r="D5" s="70" t="s">
        <v>6</v>
      </c>
      <c r="F5" s="33"/>
      <c r="G5" s="148"/>
      <c r="H5" s="148"/>
      <c r="I5" s="34"/>
      <c r="K5" s="33"/>
      <c r="L5" s="148"/>
      <c r="M5" s="148"/>
      <c r="N5" s="34"/>
      <c r="P5" s="33"/>
      <c r="Q5" s="148"/>
      <c r="R5" s="148"/>
      <c r="S5" s="34"/>
    </row>
    <row r="6" spans="2:19" x14ac:dyDescent="0.3">
      <c r="B6" s="35" t="str">
        <f>' Contract Data'!O3</f>
        <v>Program Management</v>
      </c>
      <c r="C6" s="66">
        <f>' Contract Data'!R3</f>
        <v>55176.763485477182</v>
      </c>
      <c r="D6" s="71" t="s">
        <v>113</v>
      </c>
      <c r="F6" s="36" t="s">
        <v>7</v>
      </c>
      <c r="G6" s="37" t="s">
        <v>8</v>
      </c>
      <c r="H6" s="37" t="s">
        <v>0</v>
      </c>
      <c r="I6" s="38" t="s">
        <v>9</v>
      </c>
      <c r="K6" s="36" t="s">
        <v>7</v>
      </c>
      <c r="L6" s="37" t="s">
        <v>8</v>
      </c>
      <c r="M6" s="37" t="s">
        <v>0</v>
      </c>
      <c r="N6" s="38" t="s">
        <v>9</v>
      </c>
      <c r="P6" s="36" t="s">
        <v>7</v>
      </c>
      <c r="Q6" s="37" t="s">
        <v>8</v>
      </c>
      <c r="R6" s="37" t="s">
        <v>0</v>
      </c>
      <c r="S6" s="38" t="s">
        <v>9</v>
      </c>
    </row>
    <row r="7" spans="2:19" x14ac:dyDescent="0.3">
      <c r="B7" s="39" t="str">
        <f>' Contract Data'!O4</f>
        <v>Specialized DC Staff / Counselor</v>
      </c>
      <c r="C7" s="67">
        <f>' Contract Data'!R4</f>
        <v>36685.470085470086</v>
      </c>
      <c r="D7" s="71" t="s">
        <v>113</v>
      </c>
      <c r="F7" s="40" t="str">
        <f>B10</f>
        <v>Program Management</v>
      </c>
      <c r="G7" s="41">
        <f>C6</f>
        <v>55176.763485477182</v>
      </c>
      <c r="H7" s="42">
        <v>0.25</v>
      </c>
      <c r="I7" s="43">
        <f>G7*H7</f>
        <v>13794.190871369296</v>
      </c>
      <c r="K7" s="35" t="str">
        <f>B6</f>
        <v>Program Management</v>
      </c>
      <c r="L7" s="98">
        <f>C6</f>
        <v>55176.763485477182</v>
      </c>
      <c r="M7" s="42">
        <v>0.75</v>
      </c>
      <c r="N7" s="43">
        <f>L7*M7</f>
        <v>41382.572614107885</v>
      </c>
      <c r="P7" s="40" t="str">
        <f>B6</f>
        <v>Program Management</v>
      </c>
      <c r="Q7" s="98">
        <f>C6</f>
        <v>55176.763485477182</v>
      </c>
      <c r="R7" s="42">
        <v>1</v>
      </c>
      <c r="S7" s="43">
        <f>Q7*R7</f>
        <v>55176.763485477182</v>
      </c>
    </row>
    <row r="8" spans="2:19" ht="15" thickBot="1" x14ac:dyDescent="0.35">
      <c r="B8" s="58" t="str">
        <f>' Contract Data'!O5</f>
        <v>Clerical</v>
      </c>
      <c r="C8" s="73">
        <f>' Contract Data'!R5</f>
        <v>24843.137254901962</v>
      </c>
      <c r="D8" s="74" t="s">
        <v>113</v>
      </c>
      <c r="F8" s="44" t="str">
        <f>B11</f>
        <v>Specialized DC Staff / Counselor</v>
      </c>
      <c r="G8" s="41">
        <f>C7</f>
        <v>36685.470085470086</v>
      </c>
      <c r="H8" s="42">
        <v>1.3</v>
      </c>
      <c r="I8" s="43">
        <f>G8*H8</f>
        <v>47691.111111111117</v>
      </c>
      <c r="K8" s="35" t="str">
        <f t="shared" ref="K8:L9" si="0">B7</f>
        <v>Specialized DC Staff / Counselor</v>
      </c>
      <c r="L8" s="98">
        <f t="shared" si="0"/>
        <v>36685.470085470086</v>
      </c>
      <c r="M8" s="42">
        <v>1.75</v>
      </c>
      <c r="N8" s="43">
        <f>L8*M8</f>
        <v>64199.572649572649</v>
      </c>
      <c r="P8" s="40" t="str">
        <f t="shared" ref="P8:Q9" si="1">B7</f>
        <v>Specialized DC Staff / Counselor</v>
      </c>
      <c r="Q8" s="98">
        <f t="shared" si="1"/>
        <v>36685.470085470086</v>
      </c>
      <c r="R8" s="42">
        <v>2.1</v>
      </c>
      <c r="S8" s="43">
        <f>Q8*R8</f>
        <v>77039.487179487187</v>
      </c>
    </row>
    <row r="9" spans="2:19" x14ac:dyDescent="0.3">
      <c r="B9" s="75"/>
      <c r="C9" s="76" t="s">
        <v>10</v>
      </c>
      <c r="D9" s="77"/>
      <c r="F9" s="40" t="str">
        <f>B12</f>
        <v>Clerical</v>
      </c>
      <c r="G9" s="41">
        <f>C8</f>
        <v>24843.137254901962</v>
      </c>
      <c r="H9" s="42">
        <v>0.1</v>
      </c>
      <c r="I9" s="43">
        <f>G9*H9</f>
        <v>2484.3137254901962</v>
      </c>
      <c r="K9" s="35" t="str">
        <f t="shared" si="0"/>
        <v>Clerical</v>
      </c>
      <c r="L9" s="98">
        <f t="shared" si="0"/>
        <v>24843.137254901962</v>
      </c>
      <c r="M9" s="42">
        <v>0.3</v>
      </c>
      <c r="N9" s="43">
        <f>L9*M9</f>
        <v>7452.9411764705883</v>
      </c>
      <c r="P9" s="40" t="str">
        <f t="shared" si="1"/>
        <v>Clerical</v>
      </c>
      <c r="Q9" s="98">
        <f t="shared" si="1"/>
        <v>24843.137254901962</v>
      </c>
      <c r="R9" s="42">
        <v>0.5</v>
      </c>
      <c r="S9" s="43">
        <f>Q9*R9</f>
        <v>12421.568627450981</v>
      </c>
    </row>
    <row r="10" spans="2:19" x14ac:dyDescent="0.3">
      <c r="B10" s="35" t="str">
        <f>B6</f>
        <v>Program Management</v>
      </c>
      <c r="C10" s="68">
        <v>1</v>
      </c>
      <c r="D10" s="71" t="s">
        <v>113</v>
      </c>
      <c r="F10" s="45" t="s">
        <v>1</v>
      </c>
      <c r="G10" s="46"/>
      <c r="H10" s="47">
        <f>SUM(H7:H9)</f>
        <v>1.6500000000000001</v>
      </c>
      <c r="I10" s="48">
        <f>SUM(I7:I9)</f>
        <v>63969.61570797061</v>
      </c>
      <c r="K10" s="45" t="s">
        <v>1</v>
      </c>
      <c r="L10" s="46"/>
      <c r="M10" s="47">
        <f>SUM(M7:M9)</f>
        <v>2.8</v>
      </c>
      <c r="N10" s="48">
        <f>SUM(N7:N9)</f>
        <v>113035.08644015112</v>
      </c>
      <c r="P10" s="45" t="s">
        <v>1</v>
      </c>
      <c r="Q10" s="46"/>
      <c r="R10" s="47">
        <f>SUM(R7:R9)</f>
        <v>3.6</v>
      </c>
      <c r="S10" s="48">
        <f>SUM(S7:S9)</f>
        <v>144637.81929241537</v>
      </c>
    </row>
    <row r="11" spans="2:19" x14ac:dyDescent="0.3">
      <c r="B11" s="39" t="str">
        <f>B7</f>
        <v>Specialized DC Staff / Counselor</v>
      </c>
      <c r="C11" s="68">
        <v>1</v>
      </c>
      <c r="D11" s="71" t="s">
        <v>113</v>
      </c>
      <c r="F11" s="49"/>
      <c r="G11" s="50"/>
      <c r="H11" s="51"/>
      <c r="I11" s="52"/>
      <c r="K11" s="49"/>
      <c r="L11" s="50"/>
      <c r="M11" s="51"/>
      <c r="N11" s="52"/>
      <c r="P11" s="49"/>
      <c r="Q11" s="50"/>
      <c r="R11" s="51"/>
      <c r="S11" s="52"/>
    </row>
    <row r="12" spans="2:19" ht="15" thickBot="1" x14ac:dyDescent="0.35">
      <c r="B12" s="58" t="str">
        <f>B8</f>
        <v>Clerical</v>
      </c>
      <c r="C12" s="78">
        <v>1</v>
      </c>
      <c r="D12" s="74" t="s">
        <v>113</v>
      </c>
      <c r="F12" s="53" t="s">
        <v>11</v>
      </c>
      <c r="G12" s="54">
        <f>C13</f>
        <v>0.26606036541940037</v>
      </c>
      <c r="H12" s="50"/>
      <c r="I12" s="43">
        <f>G12*I10</f>
        <v>17019.779331001275</v>
      </c>
      <c r="K12" s="53" t="s">
        <v>11</v>
      </c>
      <c r="L12" s="54">
        <f>C13</f>
        <v>0.26606036541940037</v>
      </c>
      <c r="M12" s="50"/>
      <c r="N12" s="43">
        <f>L12*N10</f>
        <v>30074.156403480116</v>
      </c>
      <c r="P12" s="53" t="s">
        <v>11</v>
      </c>
      <c r="Q12" s="54">
        <f>C13</f>
        <v>0.26606036541940037</v>
      </c>
      <c r="R12" s="50"/>
      <c r="S12" s="43">
        <f>Q12*S10</f>
        <v>38482.391054405227</v>
      </c>
    </row>
    <row r="13" spans="2:19" ht="15" thickBot="1" x14ac:dyDescent="0.35">
      <c r="B13" s="83" t="s">
        <v>11</v>
      </c>
      <c r="C13" s="84">
        <f>' Contract Data'!R8</f>
        <v>0.26606036541940037</v>
      </c>
      <c r="D13" s="85"/>
      <c r="F13" s="45" t="s">
        <v>12</v>
      </c>
      <c r="G13" s="46"/>
      <c r="H13" s="55"/>
      <c r="I13" s="48">
        <f>SUM(I10:I12)</f>
        <v>80989.395038971881</v>
      </c>
      <c r="K13" s="45" t="s">
        <v>12</v>
      </c>
      <c r="L13" s="46"/>
      <c r="M13" s="55"/>
      <c r="N13" s="48">
        <f>SUM(N10:N12)</f>
        <v>143109.24284363125</v>
      </c>
      <c r="P13" s="45" t="s">
        <v>12</v>
      </c>
      <c r="Q13" s="46"/>
      <c r="R13" s="55"/>
      <c r="S13" s="48">
        <f>SUM(S10:S12)</f>
        <v>183120.21034682059</v>
      </c>
    </row>
    <row r="14" spans="2:19" x14ac:dyDescent="0.3">
      <c r="B14" s="81"/>
      <c r="C14" s="82" t="s">
        <v>134</v>
      </c>
      <c r="D14" s="71"/>
      <c r="F14" s="49"/>
      <c r="G14" s="51"/>
      <c r="H14" s="56" t="s">
        <v>134</v>
      </c>
      <c r="I14" s="57"/>
      <c r="K14" s="49"/>
      <c r="L14" s="51"/>
      <c r="M14" s="56" t="s">
        <v>134</v>
      </c>
      <c r="N14" s="57"/>
      <c r="P14" s="49"/>
      <c r="Q14" s="51"/>
      <c r="R14" s="56" t="s">
        <v>134</v>
      </c>
      <c r="S14" s="57"/>
    </row>
    <row r="15" spans="2:19" x14ac:dyDescent="0.3">
      <c r="B15" s="72" t="s">
        <v>2</v>
      </c>
      <c r="C15" s="69">
        <f>' Contract Data'!Q14</f>
        <v>3565.6578947368421</v>
      </c>
      <c r="D15" s="71" t="s">
        <v>113</v>
      </c>
      <c r="F15" s="72" t="s">
        <v>2</v>
      </c>
      <c r="G15" s="51"/>
      <c r="H15" s="86">
        <f>C15</f>
        <v>3565.6578947368421</v>
      </c>
      <c r="I15" s="57">
        <f>$H$10*H15</f>
        <v>5883.33552631579</v>
      </c>
      <c r="K15" s="72" t="s">
        <v>2</v>
      </c>
      <c r="L15" s="51"/>
      <c r="M15" s="86">
        <f>H15</f>
        <v>3565.6578947368421</v>
      </c>
      <c r="N15" s="57">
        <f>$M$10*C15</f>
        <v>9983.8421052631566</v>
      </c>
      <c r="P15" s="72" t="s">
        <v>2</v>
      </c>
      <c r="Q15" s="51"/>
      <c r="R15" s="86">
        <f>M15</f>
        <v>3565.6578947368421</v>
      </c>
      <c r="S15" s="57">
        <f>$R$10*R15</f>
        <v>12836.368421052632</v>
      </c>
    </row>
    <row r="16" spans="2:19" x14ac:dyDescent="0.3">
      <c r="B16" s="72" t="s">
        <v>148</v>
      </c>
      <c r="C16" s="69">
        <v>1243</v>
      </c>
      <c r="D16" s="71" t="s">
        <v>149</v>
      </c>
      <c r="F16" s="72" t="str">
        <f>B16</f>
        <v>Admin of Placement</v>
      </c>
      <c r="G16" s="51"/>
      <c r="H16" s="86">
        <f>C16</f>
        <v>1243</v>
      </c>
      <c r="I16" s="57">
        <f>H16*H10</f>
        <v>2050.9500000000003</v>
      </c>
      <c r="K16" s="72" t="str">
        <f>B16</f>
        <v>Admin of Placement</v>
      </c>
      <c r="L16" s="51"/>
      <c r="M16" s="86">
        <f>C16</f>
        <v>1243</v>
      </c>
      <c r="N16" s="57">
        <f>M16*M10</f>
        <v>3480.3999999999996</v>
      </c>
      <c r="P16" s="72" t="str">
        <f>B16</f>
        <v>Admin of Placement</v>
      </c>
      <c r="Q16" s="51"/>
      <c r="R16" s="86">
        <f>C16</f>
        <v>1243</v>
      </c>
      <c r="S16" s="57">
        <f>R16*R10</f>
        <v>4474.8</v>
      </c>
    </row>
    <row r="17" spans="2:19" x14ac:dyDescent="0.3">
      <c r="B17" s="72" t="s">
        <v>122</v>
      </c>
      <c r="C17" s="69">
        <f>' Contract Data'!Q15</f>
        <v>802.63157894736844</v>
      </c>
      <c r="D17" s="71" t="s">
        <v>113</v>
      </c>
      <c r="F17" s="72" t="s">
        <v>122</v>
      </c>
      <c r="G17" s="51"/>
      <c r="H17" s="86">
        <f t="shared" ref="H17:H21" si="2">C17</f>
        <v>802.63157894736844</v>
      </c>
      <c r="I17" s="57">
        <f t="shared" ref="I17:I21" si="3">$H$10*H17</f>
        <v>1324.3421052631579</v>
      </c>
      <c r="K17" s="72" t="s">
        <v>122</v>
      </c>
      <c r="L17" s="51"/>
      <c r="M17" s="86">
        <f t="shared" ref="M17:M21" si="4">H17</f>
        <v>802.63157894736844</v>
      </c>
      <c r="N17" s="57">
        <f t="shared" ref="N17:N21" si="5">$M$10*C17</f>
        <v>2247.3684210526317</v>
      </c>
      <c r="P17" s="72" t="s">
        <v>122</v>
      </c>
      <c r="Q17" s="51"/>
      <c r="R17" s="86">
        <f t="shared" ref="R17:R21" si="6">M17</f>
        <v>802.63157894736844</v>
      </c>
      <c r="S17" s="57">
        <f t="shared" ref="S17:S21" si="7">$R$10*R17</f>
        <v>2889.4736842105262</v>
      </c>
    </row>
    <row r="18" spans="2:19" x14ac:dyDescent="0.3">
      <c r="B18" s="72" t="s">
        <v>147</v>
      </c>
      <c r="C18" s="69">
        <f>' Contract Data'!Q16+' Contract Data'!Q20</f>
        <v>2198.9473684210525</v>
      </c>
      <c r="D18" s="71" t="s">
        <v>113</v>
      </c>
      <c r="F18" s="72" t="s">
        <v>112</v>
      </c>
      <c r="G18" s="51"/>
      <c r="H18" s="86">
        <f t="shared" si="2"/>
        <v>2198.9473684210525</v>
      </c>
      <c r="I18" s="57">
        <f t="shared" si="3"/>
        <v>3628.2631578947371</v>
      </c>
      <c r="K18" s="72" t="s">
        <v>112</v>
      </c>
      <c r="L18" s="51"/>
      <c r="M18" s="86">
        <f t="shared" si="4"/>
        <v>2198.9473684210525</v>
      </c>
      <c r="N18" s="57">
        <f t="shared" si="5"/>
        <v>6157.0526315789466</v>
      </c>
      <c r="P18" s="72" t="s">
        <v>112</v>
      </c>
      <c r="Q18" s="51"/>
      <c r="R18" s="86">
        <f t="shared" si="6"/>
        <v>2198.9473684210525</v>
      </c>
      <c r="S18" s="57">
        <f t="shared" si="7"/>
        <v>7916.2105263157891</v>
      </c>
    </row>
    <row r="19" spans="2:19" x14ac:dyDescent="0.3">
      <c r="B19" s="72" t="s">
        <v>126</v>
      </c>
      <c r="C19" s="69">
        <f>' Contract Data'!Q21</f>
        <v>315.78947368421052</v>
      </c>
      <c r="D19" s="71" t="s">
        <v>113</v>
      </c>
      <c r="F19" s="72" t="s">
        <v>126</v>
      </c>
      <c r="G19" s="51"/>
      <c r="H19" s="86">
        <f t="shared" si="2"/>
        <v>315.78947368421052</v>
      </c>
      <c r="I19" s="57">
        <f t="shared" si="3"/>
        <v>521.0526315789474</v>
      </c>
      <c r="K19" s="72" t="s">
        <v>126</v>
      </c>
      <c r="L19" s="51"/>
      <c r="M19" s="86">
        <f t="shared" si="4"/>
        <v>315.78947368421052</v>
      </c>
      <c r="N19" s="57">
        <f t="shared" si="5"/>
        <v>884.21052631578937</v>
      </c>
      <c r="P19" s="72" t="s">
        <v>126</v>
      </c>
      <c r="Q19" s="51"/>
      <c r="R19" s="86">
        <f t="shared" si="6"/>
        <v>315.78947368421052</v>
      </c>
      <c r="S19" s="57">
        <f t="shared" si="7"/>
        <v>1136.8421052631579</v>
      </c>
    </row>
    <row r="20" spans="2:19" x14ac:dyDescent="0.3">
      <c r="B20" s="72" t="s">
        <v>128</v>
      </c>
      <c r="C20" s="69">
        <f>' Contract Data'!Q22</f>
        <v>3205</v>
      </c>
      <c r="D20" s="71" t="s">
        <v>113</v>
      </c>
      <c r="F20" s="72" t="s">
        <v>128</v>
      </c>
      <c r="G20" s="51"/>
      <c r="H20" s="86">
        <f t="shared" si="2"/>
        <v>3205</v>
      </c>
      <c r="I20" s="57">
        <f t="shared" si="3"/>
        <v>5288.25</v>
      </c>
      <c r="K20" s="72" t="s">
        <v>128</v>
      </c>
      <c r="L20" s="51"/>
      <c r="M20" s="86">
        <f t="shared" si="4"/>
        <v>3205</v>
      </c>
      <c r="N20" s="57">
        <f t="shared" si="5"/>
        <v>8974</v>
      </c>
      <c r="P20" s="72" t="s">
        <v>128</v>
      </c>
      <c r="Q20" s="51"/>
      <c r="R20" s="86">
        <f t="shared" si="6"/>
        <v>3205</v>
      </c>
      <c r="S20" s="57">
        <f t="shared" si="7"/>
        <v>11538</v>
      </c>
    </row>
    <row r="21" spans="2:19" x14ac:dyDescent="0.3">
      <c r="B21" s="72" t="s">
        <v>127</v>
      </c>
      <c r="C21" s="69">
        <f>' Contract Data'!Q23</f>
        <v>1301.9736842105265</v>
      </c>
      <c r="D21" s="71" t="s">
        <v>113</v>
      </c>
      <c r="F21" s="72" t="s">
        <v>127</v>
      </c>
      <c r="G21" s="51"/>
      <c r="H21" s="86">
        <f t="shared" si="2"/>
        <v>1301.9736842105265</v>
      </c>
      <c r="I21" s="57">
        <f t="shared" si="3"/>
        <v>2148.2565789473688</v>
      </c>
      <c r="K21" s="72" t="s">
        <v>127</v>
      </c>
      <c r="L21" s="51"/>
      <c r="M21" s="86">
        <f t="shared" si="4"/>
        <v>1301.9736842105265</v>
      </c>
      <c r="N21" s="57">
        <f t="shared" si="5"/>
        <v>3645.5263157894738</v>
      </c>
      <c r="P21" s="72" t="s">
        <v>127</v>
      </c>
      <c r="Q21" s="51"/>
      <c r="R21" s="86">
        <f t="shared" si="6"/>
        <v>1301.9736842105265</v>
      </c>
      <c r="S21" s="57">
        <f t="shared" si="7"/>
        <v>4687.105263157895</v>
      </c>
    </row>
    <row r="22" spans="2:19" ht="15" thickBot="1" x14ac:dyDescent="0.35">
      <c r="B22" s="72" t="s">
        <v>153</v>
      </c>
      <c r="C22" s="69">
        <v>5000</v>
      </c>
      <c r="D22" s="71" t="s">
        <v>149</v>
      </c>
      <c r="F22" s="72" t="s">
        <v>153</v>
      </c>
      <c r="G22" s="51"/>
      <c r="H22" s="86"/>
      <c r="I22" s="57">
        <f>C22</f>
        <v>5000</v>
      </c>
      <c r="K22" s="72" t="s">
        <v>153</v>
      </c>
      <c r="L22" s="51"/>
      <c r="M22" s="86"/>
      <c r="N22" s="57">
        <f>C22</f>
        <v>5000</v>
      </c>
      <c r="P22" s="72" t="s">
        <v>153</v>
      </c>
      <c r="Q22" s="51"/>
      <c r="R22" s="86"/>
      <c r="S22" s="57">
        <f>C22</f>
        <v>5000</v>
      </c>
    </row>
    <row r="23" spans="2:19" ht="15.75" thickBot="1" x14ac:dyDescent="0.3">
      <c r="B23" s="79" t="s">
        <v>138</v>
      </c>
      <c r="C23" s="80">
        <f>' Contract Data'!R26</f>
        <v>0.10110395845773919</v>
      </c>
      <c r="D23" s="85" t="s">
        <v>113</v>
      </c>
      <c r="F23" s="45" t="s">
        <v>14</v>
      </c>
      <c r="G23" s="46"/>
      <c r="H23" s="46"/>
      <c r="I23" s="48">
        <f>SUM(I13:I22)</f>
        <v>106833.84503897188</v>
      </c>
      <c r="K23" s="45" t="s">
        <v>14</v>
      </c>
      <c r="L23" s="46"/>
      <c r="M23" s="46"/>
      <c r="N23" s="48">
        <f>SUM(N13:N22)</f>
        <v>183481.64284363124</v>
      </c>
      <c r="P23" s="45" t="s">
        <v>14</v>
      </c>
      <c r="Q23" s="46"/>
      <c r="R23" s="46"/>
      <c r="S23" s="48">
        <f>SUM(S13:S22)</f>
        <v>233599.01034682058</v>
      </c>
    </row>
    <row r="24" spans="2:19" ht="15" x14ac:dyDescent="0.25">
      <c r="B24" s="126" t="s">
        <v>137</v>
      </c>
      <c r="C24" s="127">
        <f>'CAF Sp 2016'!BD27</f>
        <v>3.1437553586738907E-2</v>
      </c>
      <c r="D24" s="128"/>
      <c r="F24" s="53" t="s">
        <v>13</v>
      </c>
      <c r="G24" s="54">
        <f>C23</f>
        <v>0.10110395845773919</v>
      </c>
      <c r="H24" s="50"/>
      <c r="I24" s="43">
        <f>G24*I23</f>
        <v>10801.324630700759</v>
      </c>
      <c r="K24" s="53" t="s">
        <v>13</v>
      </c>
      <c r="L24" s="54">
        <f>C23</f>
        <v>0.10110395845773919</v>
      </c>
      <c r="M24" s="50"/>
      <c r="N24" s="43">
        <f>L24*N23</f>
        <v>18550.720395820234</v>
      </c>
      <c r="P24" s="53" t="s">
        <v>13</v>
      </c>
      <c r="Q24" s="54">
        <f>C23</f>
        <v>0.10110395845773919</v>
      </c>
      <c r="R24" s="50"/>
      <c r="S24" s="43">
        <f>Q24*S23</f>
        <v>23617.784637873934</v>
      </c>
    </row>
    <row r="25" spans="2:19" ht="15" x14ac:dyDescent="0.25">
      <c r="B25" s="129" t="s">
        <v>137</v>
      </c>
      <c r="C25" s="136">
        <f>'CAF Spring 2018'!BQ27</f>
        <v>2.6804860614724868E-2</v>
      </c>
      <c r="D25" s="129" t="s">
        <v>158</v>
      </c>
      <c r="F25" s="53"/>
      <c r="G25" s="54"/>
      <c r="H25" s="50"/>
      <c r="I25" s="43"/>
      <c r="K25" s="53"/>
      <c r="L25" s="54"/>
      <c r="M25" s="50"/>
      <c r="N25" s="43"/>
      <c r="P25" s="53"/>
      <c r="Q25" s="54"/>
      <c r="R25" s="50"/>
      <c r="S25" s="43"/>
    </row>
    <row r="26" spans="2:19" ht="15" thickBot="1" x14ac:dyDescent="0.35">
      <c r="F26" s="59" t="s">
        <v>15</v>
      </c>
      <c r="G26" s="60"/>
      <c r="H26" s="60"/>
      <c r="I26" s="61">
        <f>SUM(I23:I24)</f>
        <v>117635.16966967264</v>
      </c>
      <c r="K26" s="59" t="s">
        <v>15</v>
      </c>
      <c r="L26" s="60"/>
      <c r="M26" s="60"/>
      <c r="N26" s="61">
        <f>SUM(N23:N24)</f>
        <v>202032.36323945149</v>
      </c>
      <c r="P26" s="59" t="s">
        <v>15</v>
      </c>
      <c r="Q26" s="60"/>
      <c r="R26" s="60"/>
      <c r="S26" s="61">
        <f>SUM(S23:S24)</f>
        <v>257216.79498469451</v>
      </c>
    </row>
    <row r="27" spans="2:19" ht="15.75" thickTop="1" x14ac:dyDescent="0.25">
      <c r="F27" s="53" t="s">
        <v>16</v>
      </c>
      <c r="G27" s="62">
        <f>C24</f>
        <v>3.1437553586738907E-2</v>
      </c>
      <c r="H27" s="50"/>
      <c r="I27" s="63">
        <f>I26+(I26*G27)</f>
        <v>121333.3316198481</v>
      </c>
      <c r="K27" s="53" t="s">
        <v>16</v>
      </c>
      <c r="L27" s="62">
        <f>C24</f>
        <v>3.1437553586738907E-2</v>
      </c>
      <c r="M27" s="50"/>
      <c r="N27" s="63">
        <f>N26+(N26*L27)</f>
        <v>208383.76648504724</v>
      </c>
      <c r="P27" s="53" t="s">
        <v>16</v>
      </c>
      <c r="Q27" s="62">
        <f>C24</f>
        <v>3.1437553586738907E-2</v>
      </c>
      <c r="R27" s="50"/>
      <c r="S27" s="63">
        <f>S26+(S26*Q27)</f>
        <v>265303.06176043506</v>
      </c>
    </row>
    <row r="28" spans="2:19" ht="15" x14ac:dyDescent="0.25">
      <c r="F28" s="53"/>
      <c r="G28" s="50"/>
      <c r="H28" s="50"/>
      <c r="I28" s="64" t="s">
        <v>17</v>
      </c>
      <c r="K28" s="53"/>
      <c r="L28" s="50"/>
      <c r="M28" s="50"/>
      <c r="N28" s="64" t="s">
        <v>17</v>
      </c>
      <c r="P28" s="53"/>
      <c r="Q28" s="50"/>
      <c r="R28" s="50"/>
      <c r="S28" s="64" t="s">
        <v>17</v>
      </c>
    </row>
    <row r="29" spans="2:19" ht="15" x14ac:dyDescent="0.25">
      <c r="F29" s="130" t="s">
        <v>115</v>
      </c>
      <c r="G29" s="131"/>
      <c r="H29" s="132"/>
      <c r="I29" s="135">
        <f>I27/12</f>
        <v>10111.110968320676</v>
      </c>
      <c r="K29" s="130" t="s">
        <v>115</v>
      </c>
      <c r="L29" s="131"/>
      <c r="M29" s="132"/>
      <c r="N29" s="135">
        <f>N27/12</f>
        <v>17365.313873753938</v>
      </c>
      <c r="P29" s="130" t="s">
        <v>115</v>
      </c>
      <c r="Q29" s="131"/>
      <c r="R29" s="132"/>
      <c r="S29" s="135">
        <f>S27/12</f>
        <v>22108.588480036255</v>
      </c>
    </row>
    <row r="30" spans="2:19" x14ac:dyDescent="0.3">
      <c r="F30" s="129" t="s">
        <v>137</v>
      </c>
      <c r="G30" s="133">
        <f>C25</f>
        <v>2.6804860614724868E-2</v>
      </c>
      <c r="H30" s="134"/>
      <c r="I30" s="145">
        <f>I29*(G30+1)</f>
        <v>10382.137888486528</v>
      </c>
      <c r="K30" s="129" t="s">
        <v>137</v>
      </c>
      <c r="L30" s="133">
        <f>C25</f>
        <v>2.6804860614724868E-2</v>
      </c>
      <c r="M30" s="134"/>
      <c r="N30" s="145">
        <f>N29*(L30+1)</f>
        <v>17830.788691670859</v>
      </c>
      <c r="P30" s="129" t="s">
        <v>137</v>
      </c>
      <c r="Q30" s="133">
        <f>C25</f>
        <v>2.6804860614724868E-2</v>
      </c>
      <c r="R30" s="134"/>
      <c r="S30" s="145">
        <f>S29*(Q30+1)</f>
        <v>22701.206112631939</v>
      </c>
    </row>
    <row r="31" spans="2:19" x14ac:dyDescent="0.3">
      <c r="I31" s="99"/>
      <c r="N31" s="99"/>
      <c r="S31" s="99"/>
    </row>
    <row r="33" spans="1:19" hidden="1" x14ac:dyDescent="0.3">
      <c r="B33" s="89"/>
      <c r="C33" s="89"/>
      <c r="D33" s="89"/>
      <c r="G33" s="31" t="s">
        <v>120</v>
      </c>
      <c r="L33" s="31" t="s">
        <v>141</v>
      </c>
      <c r="Q33" s="31" t="s">
        <v>142</v>
      </c>
    </row>
    <row r="34" spans="1:19" hidden="1" x14ac:dyDescent="0.3">
      <c r="B34" s="89"/>
      <c r="C34" s="89"/>
      <c r="D34" s="89"/>
    </row>
    <row r="35" spans="1:19" hidden="1" x14ac:dyDescent="0.3">
      <c r="B35" s="89"/>
      <c r="C35" s="104"/>
      <c r="D35" s="105"/>
      <c r="F35" s="100" t="s">
        <v>123</v>
      </c>
      <c r="G35" s="51"/>
      <c r="H35" s="86"/>
      <c r="I35" s="57">
        <f>' Contract Data'!C17</f>
        <v>35263</v>
      </c>
      <c r="K35" s="72" t="s">
        <v>123</v>
      </c>
      <c r="L35" s="51"/>
      <c r="M35" s="86"/>
      <c r="N35" s="57">
        <f>' Contract Data'!H17</f>
        <v>156182</v>
      </c>
      <c r="P35" s="72" t="s">
        <v>123</v>
      </c>
      <c r="Q35" s="51"/>
      <c r="R35" s="86"/>
      <c r="S35" s="57">
        <f>' Contract Data'!M17</f>
        <v>149533</v>
      </c>
    </row>
    <row r="36" spans="1:19" hidden="1" x14ac:dyDescent="0.3">
      <c r="B36" s="89"/>
      <c r="C36" s="104"/>
      <c r="D36" s="105"/>
      <c r="F36" s="100" t="s">
        <v>129</v>
      </c>
      <c r="G36" s="51"/>
      <c r="H36" s="86"/>
      <c r="I36" s="57">
        <f>$H$10*H36</f>
        <v>0</v>
      </c>
      <c r="K36" s="72" t="s">
        <v>129</v>
      </c>
      <c r="L36" s="51"/>
      <c r="M36" s="86"/>
      <c r="N36" s="57">
        <f>' Contract Data'!H18</f>
        <v>1820</v>
      </c>
      <c r="P36" s="72" t="s">
        <v>129</v>
      </c>
      <c r="Q36" s="51"/>
      <c r="R36" s="86"/>
      <c r="S36" s="57">
        <f>' Contract Data'!M18</f>
        <v>82120</v>
      </c>
    </row>
    <row r="37" spans="1:19" ht="15" hidden="1" thickBot="1" x14ac:dyDescent="0.35">
      <c r="B37" s="89"/>
      <c r="C37" s="104"/>
      <c r="D37" s="105"/>
      <c r="F37" s="100" t="s">
        <v>124</v>
      </c>
      <c r="G37" s="51"/>
      <c r="H37" s="86"/>
      <c r="I37" s="61">
        <f>' Contract Data'!C18</f>
        <v>550</v>
      </c>
      <c r="K37" s="72" t="s">
        <v>124</v>
      </c>
      <c r="L37" s="51"/>
      <c r="M37" s="86"/>
      <c r="N37" s="61">
        <f>' Contract Data'!H19</f>
        <v>550</v>
      </c>
      <c r="P37" s="72" t="s">
        <v>124</v>
      </c>
      <c r="Q37" s="51"/>
      <c r="R37" s="86"/>
      <c r="S37" s="61">
        <f>$R$10*R37</f>
        <v>0</v>
      </c>
    </row>
    <row r="38" spans="1:19" ht="15" hidden="1" thickTop="1" x14ac:dyDescent="0.3">
      <c r="B38" s="89"/>
      <c r="C38" s="89"/>
      <c r="D38" s="89"/>
      <c r="I38" s="102">
        <f>SUM(I35:I37)</f>
        <v>35813</v>
      </c>
      <c r="N38" s="102">
        <f>SUM(N35:N37)</f>
        <v>158552</v>
      </c>
      <c r="S38" s="102">
        <f>SUM(S35:S37)</f>
        <v>231653</v>
      </c>
    </row>
    <row r="39" spans="1:19" hidden="1" x14ac:dyDescent="0.3"/>
    <row r="40" spans="1:19" hidden="1" x14ac:dyDescent="0.3"/>
    <row r="41" spans="1:19" hidden="1" x14ac:dyDescent="0.3">
      <c r="K41" s="32" t="s">
        <v>150</v>
      </c>
      <c r="L41" s="106">
        <f>I38+N38+S38*(C24+1)</f>
        <v>433300.60360102879</v>
      </c>
      <c r="M41" s="31" t="s">
        <v>151</v>
      </c>
    </row>
    <row r="42" spans="1:19" hidden="1" x14ac:dyDescent="0.3"/>
    <row r="43" spans="1:19" hidden="1" x14ac:dyDescent="0.3">
      <c r="F43" s="103" t="s">
        <v>143</v>
      </c>
    </row>
    <row r="44" spans="1:19" s="32" customFormat="1" hidden="1" x14ac:dyDescent="0.3">
      <c r="A44" s="87"/>
      <c r="B44" s="88"/>
      <c r="C44" s="88"/>
      <c r="D44" s="88"/>
      <c r="G44" s="31"/>
      <c r="H44" s="31"/>
      <c r="I44" s="31"/>
      <c r="J44" s="31"/>
      <c r="L44" s="31"/>
      <c r="M44" s="31"/>
      <c r="N44" s="31"/>
      <c r="O44" s="31"/>
      <c r="Q44" s="31"/>
      <c r="R44" s="31"/>
      <c r="S44" s="31"/>
    </row>
    <row r="45" spans="1:19" s="32" customFormat="1" hidden="1" x14ac:dyDescent="0.3">
      <c r="A45" s="87"/>
      <c r="B45" s="89"/>
      <c r="C45" s="90"/>
      <c r="D45" s="89"/>
      <c r="G45" s="31"/>
      <c r="H45" s="31"/>
      <c r="I45" s="31"/>
      <c r="J45" s="31"/>
      <c r="L45" s="31"/>
      <c r="M45" s="31"/>
      <c r="N45" s="31"/>
      <c r="O45" s="31"/>
      <c r="Q45" s="31"/>
      <c r="R45" s="31"/>
      <c r="S45" s="31"/>
    </row>
    <row r="46" spans="1:19" s="32" customFormat="1" hidden="1" x14ac:dyDescent="0.3">
      <c r="A46" s="87"/>
      <c r="B46" s="91"/>
      <c r="C46" s="92"/>
      <c r="D46" s="91"/>
      <c r="G46" s="31"/>
      <c r="H46" s="31"/>
      <c r="I46" s="31"/>
      <c r="J46" s="31"/>
      <c r="L46" s="31"/>
      <c r="M46" s="31"/>
      <c r="N46" s="31"/>
      <c r="O46" s="31"/>
      <c r="Q46" s="31"/>
      <c r="R46" s="31"/>
      <c r="S46" s="31"/>
    </row>
    <row r="47" spans="1:19" s="32" customFormat="1" hidden="1" x14ac:dyDescent="0.3">
      <c r="A47" s="87"/>
      <c r="B47" s="93"/>
      <c r="C47" s="94"/>
      <c r="D47" s="95"/>
      <c r="G47" s="31"/>
      <c r="H47" s="31"/>
      <c r="I47" s="31"/>
      <c r="J47" s="31"/>
      <c r="L47" s="31"/>
      <c r="M47" s="31"/>
      <c r="N47" s="31"/>
      <c r="O47" s="31"/>
      <c r="Q47" s="31"/>
      <c r="R47" s="31"/>
      <c r="S47" s="31"/>
    </row>
    <row r="48" spans="1:19" s="32" customFormat="1" x14ac:dyDescent="0.3">
      <c r="A48" s="87"/>
      <c r="B48" s="96"/>
      <c r="C48" s="96"/>
      <c r="D48" s="96"/>
      <c r="G48" s="31"/>
      <c r="H48" s="31"/>
      <c r="I48" s="31"/>
      <c r="J48" s="31"/>
      <c r="L48" s="31"/>
      <c r="M48" s="31"/>
      <c r="N48" s="31"/>
      <c r="O48" s="31"/>
      <c r="Q48" s="31"/>
      <c r="R48" s="31"/>
      <c r="S48" s="31"/>
    </row>
    <row r="49" spans="1:19" s="32" customFormat="1" x14ac:dyDescent="0.3">
      <c r="A49" s="87"/>
      <c r="B49" s="96"/>
      <c r="C49" s="96"/>
      <c r="D49" s="96"/>
      <c r="G49" s="31"/>
      <c r="H49" s="31"/>
      <c r="I49" s="31"/>
      <c r="J49" s="31"/>
      <c r="L49" s="31"/>
      <c r="M49" s="31"/>
      <c r="N49" s="31"/>
      <c r="O49" s="31"/>
      <c r="Q49" s="31"/>
      <c r="R49" s="31"/>
      <c r="S49" s="31"/>
    </row>
    <row r="50" spans="1:19" s="32" customFormat="1" x14ac:dyDescent="0.3">
      <c r="A50" s="87"/>
      <c r="B50" s="96"/>
      <c r="C50" s="96"/>
      <c r="D50" s="96"/>
      <c r="G50" s="31"/>
      <c r="H50" s="31"/>
      <c r="I50" s="31"/>
      <c r="J50" s="31"/>
      <c r="L50" s="31"/>
      <c r="M50" s="31"/>
      <c r="N50" s="31"/>
      <c r="O50" s="31"/>
      <c r="Q50" s="31"/>
      <c r="R50" s="31"/>
      <c r="S50" s="31"/>
    </row>
    <row r="51" spans="1:19" s="32" customFormat="1" x14ac:dyDescent="0.3">
      <c r="A51" s="88"/>
      <c r="B51" s="96"/>
      <c r="C51" s="96"/>
      <c r="D51" s="96"/>
      <c r="G51" s="31"/>
      <c r="H51" s="31"/>
      <c r="I51" s="31"/>
      <c r="J51" s="31"/>
      <c r="L51" s="31"/>
      <c r="M51" s="31"/>
      <c r="N51" s="31"/>
      <c r="O51" s="31"/>
      <c r="Q51" s="31"/>
      <c r="R51" s="31"/>
      <c r="S51" s="31"/>
    </row>
    <row r="52" spans="1:19" s="32" customFormat="1" ht="15" x14ac:dyDescent="0.25">
      <c r="A52" s="65"/>
      <c r="B52" s="96"/>
      <c r="C52" s="96"/>
      <c r="D52" s="96"/>
      <c r="G52" s="31"/>
      <c r="H52" s="31"/>
      <c r="I52" s="31"/>
      <c r="J52" s="31"/>
      <c r="L52" s="31"/>
      <c r="M52" s="31"/>
      <c r="N52" s="31"/>
      <c r="O52" s="31"/>
      <c r="Q52" s="31"/>
      <c r="R52" s="31"/>
      <c r="S52" s="31"/>
    </row>
    <row r="53" spans="1:19" s="32" customFormat="1" ht="15" x14ac:dyDescent="0.25">
      <c r="A53" s="92"/>
      <c r="B53" s="96"/>
      <c r="C53" s="96"/>
      <c r="D53" s="96"/>
      <c r="G53" s="31"/>
      <c r="H53" s="31"/>
      <c r="I53" s="31"/>
      <c r="J53" s="31"/>
      <c r="L53" s="31"/>
      <c r="M53" s="31"/>
      <c r="N53" s="31"/>
      <c r="O53" s="31"/>
      <c r="Q53" s="31"/>
      <c r="R53" s="31"/>
      <c r="S53" s="31"/>
    </row>
    <row r="54" spans="1:19" s="32" customFormat="1" ht="15" x14ac:dyDescent="0.25">
      <c r="A54" s="97"/>
      <c r="B54" s="96"/>
      <c r="C54" s="96"/>
      <c r="D54" s="96"/>
      <c r="G54" s="31"/>
      <c r="H54" s="31"/>
      <c r="I54" s="31"/>
      <c r="J54" s="31"/>
      <c r="L54" s="31"/>
      <c r="M54" s="31"/>
      <c r="N54" s="31"/>
      <c r="O54" s="31"/>
      <c r="Q54" s="31"/>
      <c r="R54" s="31"/>
      <c r="S54" s="31"/>
    </row>
    <row r="55" spans="1:19" s="32" customFormat="1" ht="15" x14ac:dyDescent="0.25">
      <c r="A55" s="87"/>
      <c r="B55" s="96"/>
      <c r="C55" s="96"/>
      <c r="D55" s="96"/>
      <c r="G55" s="31"/>
      <c r="H55" s="31"/>
      <c r="I55" s="31"/>
      <c r="J55" s="31"/>
      <c r="L55" s="31"/>
      <c r="M55" s="31"/>
      <c r="N55" s="31"/>
      <c r="O55" s="31"/>
      <c r="Q55" s="31"/>
      <c r="R55" s="31"/>
      <c r="S55" s="31"/>
    </row>
    <row r="56" spans="1:19" s="32" customFormat="1" ht="15" x14ac:dyDescent="0.25">
      <c r="A56" s="87"/>
      <c r="B56" s="96"/>
      <c r="C56" s="96"/>
      <c r="D56" s="96"/>
      <c r="G56" s="31"/>
      <c r="H56" s="31"/>
      <c r="I56" s="31"/>
      <c r="J56" s="31"/>
      <c r="L56" s="31"/>
      <c r="M56" s="31"/>
      <c r="N56" s="31"/>
      <c r="O56" s="31"/>
      <c r="Q56" s="31"/>
      <c r="R56" s="31"/>
      <c r="S56" s="31"/>
    </row>
    <row r="57" spans="1:19" s="32" customFormat="1" ht="15" x14ac:dyDescent="0.25">
      <c r="A57" s="87"/>
      <c r="B57" s="96"/>
      <c r="C57" s="96"/>
      <c r="D57" s="96"/>
      <c r="G57" s="31"/>
      <c r="H57" s="31"/>
      <c r="I57" s="31"/>
      <c r="J57" s="31"/>
      <c r="L57" s="31"/>
      <c r="M57" s="31"/>
      <c r="N57" s="31"/>
      <c r="O57" s="31"/>
      <c r="Q57" s="31"/>
      <c r="R57" s="31"/>
      <c r="S57" s="31"/>
    </row>
  </sheetData>
  <mergeCells count="12">
    <mergeCell ref="B5:C5"/>
    <mergeCell ref="G5:H5"/>
    <mergeCell ref="L5:M5"/>
    <mergeCell ref="Q5:R5"/>
    <mergeCell ref="B3:D3"/>
    <mergeCell ref="F3:I3"/>
    <mergeCell ref="K3:N3"/>
    <mergeCell ref="P3:S3"/>
    <mergeCell ref="B4:D4"/>
    <mergeCell ref="F4:I4"/>
    <mergeCell ref="K4:N4"/>
    <mergeCell ref="P4:S4"/>
  </mergeCells>
  <pageMargins left="0.25" right="0.25" top="0.75" bottom="0.75" header="0.3" footer="0.3"/>
  <pageSetup scale="5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0"/>
  <sheetViews>
    <sheetView topLeftCell="BB4" workbookViewId="0">
      <selection activeCell="BG31" sqref="BG31"/>
    </sheetView>
  </sheetViews>
  <sheetFormatPr defaultRowHeight="13.2" x14ac:dyDescent="0.25"/>
  <cols>
    <col min="1" max="1" width="38.44140625" style="137" customWidth="1"/>
    <col min="2" max="2" width="12.88671875" style="138" customWidth="1"/>
    <col min="3" max="74" width="10.33203125" style="137" customWidth="1"/>
    <col min="75" max="256" width="8.88671875" style="137"/>
    <col min="257" max="257" width="38.44140625" style="137" customWidth="1"/>
    <col min="258" max="258" width="12.88671875" style="137" customWidth="1"/>
    <col min="259" max="330" width="10.33203125" style="137" customWidth="1"/>
    <col min="331" max="512" width="8.88671875" style="137"/>
    <col min="513" max="513" width="38.44140625" style="137" customWidth="1"/>
    <col min="514" max="514" width="12.88671875" style="137" customWidth="1"/>
    <col min="515" max="586" width="10.33203125" style="137" customWidth="1"/>
    <col min="587" max="768" width="8.88671875" style="137"/>
    <col min="769" max="769" width="38.44140625" style="137" customWidth="1"/>
    <col min="770" max="770" width="12.88671875" style="137" customWidth="1"/>
    <col min="771" max="842" width="10.33203125" style="137" customWidth="1"/>
    <col min="843" max="1024" width="8.88671875" style="137"/>
    <col min="1025" max="1025" width="38.44140625" style="137" customWidth="1"/>
    <col min="1026" max="1026" width="12.88671875" style="137" customWidth="1"/>
    <col min="1027" max="1098" width="10.33203125" style="137" customWidth="1"/>
    <col min="1099" max="1280" width="8.88671875" style="137"/>
    <col min="1281" max="1281" width="38.44140625" style="137" customWidth="1"/>
    <col min="1282" max="1282" width="12.88671875" style="137" customWidth="1"/>
    <col min="1283" max="1354" width="10.33203125" style="137" customWidth="1"/>
    <col min="1355" max="1536" width="8.88671875" style="137"/>
    <col min="1537" max="1537" width="38.44140625" style="137" customWidth="1"/>
    <col min="1538" max="1538" width="12.88671875" style="137" customWidth="1"/>
    <col min="1539" max="1610" width="10.33203125" style="137" customWidth="1"/>
    <col min="1611" max="1792" width="8.88671875" style="137"/>
    <col min="1793" max="1793" width="38.44140625" style="137" customWidth="1"/>
    <col min="1794" max="1794" width="12.88671875" style="137" customWidth="1"/>
    <col min="1795" max="1866" width="10.33203125" style="137" customWidth="1"/>
    <col min="1867" max="2048" width="8.88671875" style="137"/>
    <col min="2049" max="2049" width="38.44140625" style="137" customWidth="1"/>
    <col min="2050" max="2050" width="12.88671875" style="137" customWidth="1"/>
    <col min="2051" max="2122" width="10.33203125" style="137" customWidth="1"/>
    <col min="2123" max="2304" width="8.88671875" style="137"/>
    <col min="2305" max="2305" width="38.44140625" style="137" customWidth="1"/>
    <col min="2306" max="2306" width="12.88671875" style="137" customWidth="1"/>
    <col min="2307" max="2378" width="10.33203125" style="137" customWidth="1"/>
    <col min="2379" max="2560" width="8.88671875" style="137"/>
    <col min="2561" max="2561" width="38.44140625" style="137" customWidth="1"/>
    <col min="2562" max="2562" width="12.88671875" style="137" customWidth="1"/>
    <col min="2563" max="2634" width="10.33203125" style="137" customWidth="1"/>
    <col min="2635" max="2816" width="8.88671875" style="137"/>
    <col min="2817" max="2817" width="38.44140625" style="137" customWidth="1"/>
    <col min="2818" max="2818" width="12.88671875" style="137" customWidth="1"/>
    <col min="2819" max="2890" width="10.33203125" style="137" customWidth="1"/>
    <col min="2891" max="3072" width="8.88671875" style="137"/>
    <col min="3073" max="3073" width="38.44140625" style="137" customWidth="1"/>
    <col min="3074" max="3074" width="12.88671875" style="137" customWidth="1"/>
    <col min="3075" max="3146" width="10.33203125" style="137" customWidth="1"/>
    <col min="3147" max="3328" width="8.88671875" style="137"/>
    <col min="3329" max="3329" width="38.44140625" style="137" customWidth="1"/>
    <col min="3330" max="3330" width="12.88671875" style="137" customWidth="1"/>
    <col min="3331" max="3402" width="10.33203125" style="137" customWidth="1"/>
    <col min="3403" max="3584" width="8.88671875" style="137"/>
    <col min="3585" max="3585" width="38.44140625" style="137" customWidth="1"/>
    <col min="3586" max="3586" width="12.88671875" style="137" customWidth="1"/>
    <col min="3587" max="3658" width="10.33203125" style="137" customWidth="1"/>
    <col min="3659" max="3840" width="8.88671875" style="137"/>
    <col min="3841" max="3841" width="38.44140625" style="137" customWidth="1"/>
    <col min="3842" max="3842" width="12.88671875" style="137" customWidth="1"/>
    <col min="3843" max="3914" width="10.33203125" style="137" customWidth="1"/>
    <col min="3915" max="4096" width="8.88671875" style="137"/>
    <col min="4097" max="4097" width="38.44140625" style="137" customWidth="1"/>
    <col min="4098" max="4098" width="12.88671875" style="137" customWidth="1"/>
    <col min="4099" max="4170" width="10.33203125" style="137" customWidth="1"/>
    <col min="4171" max="4352" width="8.88671875" style="137"/>
    <col min="4353" max="4353" width="38.44140625" style="137" customWidth="1"/>
    <col min="4354" max="4354" width="12.88671875" style="137" customWidth="1"/>
    <col min="4355" max="4426" width="10.33203125" style="137" customWidth="1"/>
    <col min="4427" max="4608" width="8.88671875" style="137"/>
    <col min="4609" max="4609" width="38.44140625" style="137" customWidth="1"/>
    <col min="4610" max="4610" width="12.88671875" style="137" customWidth="1"/>
    <col min="4611" max="4682" width="10.33203125" style="137" customWidth="1"/>
    <col min="4683" max="4864" width="8.88671875" style="137"/>
    <col min="4865" max="4865" width="38.44140625" style="137" customWidth="1"/>
    <col min="4866" max="4866" width="12.88671875" style="137" customWidth="1"/>
    <col min="4867" max="4938" width="10.33203125" style="137" customWidth="1"/>
    <col min="4939" max="5120" width="8.88671875" style="137"/>
    <col min="5121" max="5121" width="38.44140625" style="137" customWidth="1"/>
    <col min="5122" max="5122" width="12.88671875" style="137" customWidth="1"/>
    <col min="5123" max="5194" width="10.33203125" style="137" customWidth="1"/>
    <col min="5195" max="5376" width="8.88671875" style="137"/>
    <col min="5377" max="5377" width="38.44140625" style="137" customWidth="1"/>
    <col min="5378" max="5378" width="12.88671875" style="137" customWidth="1"/>
    <col min="5379" max="5450" width="10.33203125" style="137" customWidth="1"/>
    <col min="5451" max="5632" width="8.88671875" style="137"/>
    <col min="5633" max="5633" width="38.44140625" style="137" customWidth="1"/>
    <col min="5634" max="5634" width="12.88671875" style="137" customWidth="1"/>
    <col min="5635" max="5706" width="10.33203125" style="137" customWidth="1"/>
    <col min="5707" max="5888" width="8.88671875" style="137"/>
    <col min="5889" max="5889" width="38.44140625" style="137" customWidth="1"/>
    <col min="5890" max="5890" width="12.88671875" style="137" customWidth="1"/>
    <col min="5891" max="5962" width="10.33203125" style="137" customWidth="1"/>
    <col min="5963" max="6144" width="8.88671875" style="137"/>
    <col min="6145" max="6145" width="38.44140625" style="137" customWidth="1"/>
    <col min="6146" max="6146" width="12.88671875" style="137" customWidth="1"/>
    <col min="6147" max="6218" width="10.33203125" style="137" customWidth="1"/>
    <col min="6219" max="6400" width="8.88671875" style="137"/>
    <col min="6401" max="6401" width="38.44140625" style="137" customWidth="1"/>
    <col min="6402" max="6402" width="12.88671875" style="137" customWidth="1"/>
    <col min="6403" max="6474" width="10.33203125" style="137" customWidth="1"/>
    <col min="6475" max="6656" width="8.88671875" style="137"/>
    <col min="6657" max="6657" width="38.44140625" style="137" customWidth="1"/>
    <col min="6658" max="6658" width="12.88671875" style="137" customWidth="1"/>
    <col min="6659" max="6730" width="10.33203125" style="137" customWidth="1"/>
    <col min="6731" max="6912" width="8.88671875" style="137"/>
    <col min="6913" max="6913" width="38.44140625" style="137" customWidth="1"/>
    <col min="6914" max="6914" width="12.88671875" style="137" customWidth="1"/>
    <col min="6915" max="6986" width="10.33203125" style="137" customWidth="1"/>
    <col min="6987" max="7168" width="8.88671875" style="137"/>
    <col min="7169" max="7169" width="38.44140625" style="137" customWidth="1"/>
    <col min="7170" max="7170" width="12.88671875" style="137" customWidth="1"/>
    <col min="7171" max="7242" width="10.33203125" style="137" customWidth="1"/>
    <col min="7243" max="7424" width="8.88671875" style="137"/>
    <col min="7425" max="7425" width="38.44140625" style="137" customWidth="1"/>
    <col min="7426" max="7426" width="12.88671875" style="137" customWidth="1"/>
    <col min="7427" max="7498" width="10.33203125" style="137" customWidth="1"/>
    <col min="7499" max="7680" width="8.88671875" style="137"/>
    <col min="7681" max="7681" width="38.44140625" style="137" customWidth="1"/>
    <col min="7682" max="7682" width="12.88671875" style="137" customWidth="1"/>
    <col min="7683" max="7754" width="10.33203125" style="137" customWidth="1"/>
    <col min="7755" max="7936" width="8.88671875" style="137"/>
    <col min="7937" max="7937" width="38.44140625" style="137" customWidth="1"/>
    <col min="7938" max="7938" width="12.88671875" style="137" customWidth="1"/>
    <col min="7939" max="8010" width="10.33203125" style="137" customWidth="1"/>
    <col min="8011" max="8192" width="8.88671875" style="137"/>
    <col min="8193" max="8193" width="38.44140625" style="137" customWidth="1"/>
    <col min="8194" max="8194" width="12.88671875" style="137" customWidth="1"/>
    <col min="8195" max="8266" width="10.33203125" style="137" customWidth="1"/>
    <col min="8267" max="8448" width="8.88671875" style="137"/>
    <col min="8449" max="8449" width="38.44140625" style="137" customWidth="1"/>
    <col min="8450" max="8450" width="12.88671875" style="137" customWidth="1"/>
    <col min="8451" max="8522" width="10.33203125" style="137" customWidth="1"/>
    <col min="8523" max="8704" width="8.88671875" style="137"/>
    <col min="8705" max="8705" width="38.44140625" style="137" customWidth="1"/>
    <col min="8706" max="8706" width="12.88671875" style="137" customWidth="1"/>
    <col min="8707" max="8778" width="10.33203125" style="137" customWidth="1"/>
    <col min="8779" max="8960" width="8.88671875" style="137"/>
    <col min="8961" max="8961" width="38.44140625" style="137" customWidth="1"/>
    <col min="8962" max="8962" width="12.88671875" style="137" customWidth="1"/>
    <col min="8963" max="9034" width="10.33203125" style="137" customWidth="1"/>
    <col min="9035" max="9216" width="8.88671875" style="137"/>
    <col min="9217" max="9217" width="38.44140625" style="137" customWidth="1"/>
    <col min="9218" max="9218" width="12.88671875" style="137" customWidth="1"/>
    <col min="9219" max="9290" width="10.33203125" style="137" customWidth="1"/>
    <col min="9291" max="9472" width="8.88671875" style="137"/>
    <col min="9473" max="9473" width="38.44140625" style="137" customWidth="1"/>
    <col min="9474" max="9474" width="12.88671875" style="137" customWidth="1"/>
    <col min="9475" max="9546" width="10.33203125" style="137" customWidth="1"/>
    <col min="9547" max="9728" width="8.88671875" style="137"/>
    <col min="9729" max="9729" width="38.44140625" style="137" customWidth="1"/>
    <col min="9730" max="9730" width="12.88671875" style="137" customWidth="1"/>
    <col min="9731" max="9802" width="10.33203125" style="137" customWidth="1"/>
    <col min="9803" max="9984" width="8.88671875" style="137"/>
    <col min="9985" max="9985" width="38.44140625" style="137" customWidth="1"/>
    <col min="9986" max="9986" width="12.88671875" style="137" customWidth="1"/>
    <col min="9987" max="10058" width="10.33203125" style="137" customWidth="1"/>
    <col min="10059" max="10240" width="8.88671875" style="137"/>
    <col min="10241" max="10241" width="38.44140625" style="137" customWidth="1"/>
    <col min="10242" max="10242" width="12.88671875" style="137" customWidth="1"/>
    <col min="10243" max="10314" width="10.33203125" style="137" customWidth="1"/>
    <col min="10315" max="10496" width="8.88671875" style="137"/>
    <col min="10497" max="10497" width="38.44140625" style="137" customWidth="1"/>
    <col min="10498" max="10498" width="12.88671875" style="137" customWidth="1"/>
    <col min="10499" max="10570" width="10.33203125" style="137" customWidth="1"/>
    <col min="10571" max="10752" width="8.88671875" style="137"/>
    <col min="10753" max="10753" width="38.44140625" style="137" customWidth="1"/>
    <col min="10754" max="10754" width="12.88671875" style="137" customWidth="1"/>
    <col min="10755" max="10826" width="10.33203125" style="137" customWidth="1"/>
    <col min="10827" max="11008" width="8.88671875" style="137"/>
    <col min="11009" max="11009" width="38.44140625" style="137" customWidth="1"/>
    <col min="11010" max="11010" width="12.88671875" style="137" customWidth="1"/>
    <col min="11011" max="11082" width="10.33203125" style="137" customWidth="1"/>
    <col min="11083" max="11264" width="8.88671875" style="137"/>
    <col min="11265" max="11265" width="38.44140625" style="137" customWidth="1"/>
    <col min="11266" max="11266" width="12.88671875" style="137" customWidth="1"/>
    <col min="11267" max="11338" width="10.33203125" style="137" customWidth="1"/>
    <col min="11339" max="11520" width="8.88671875" style="137"/>
    <col min="11521" max="11521" width="38.44140625" style="137" customWidth="1"/>
    <col min="11522" max="11522" width="12.88671875" style="137" customWidth="1"/>
    <col min="11523" max="11594" width="10.33203125" style="137" customWidth="1"/>
    <col min="11595" max="11776" width="8.88671875" style="137"/>
    <col min="11777" max="11777" width="38.44140625" style="137" customWidth="1"/>
    <col min="11778" max="11778" width="12.88671875" style="137" customWidth="1"/>
    <col min="11779" max="11850" width="10.33203125" style="137" customWidth="1"/>
    <col min="11851" max="12032" width="8.88671875" style="137"/>
    <col min="12033" max="12033" width="38.44140625" style="137" customWidth="1"/>
    <col min="12034" max="12034" width="12.88671875" style="137" customWidth="1"/>
    <col min="12035" max="12106" width="10.33203125" style="137" customWidth="1"/>
    <col min="12107" max="12288" width="8.88671875" style="137"/>
    <col min="12289" max="12289" width="38.44140625" style="137" customWidth="1"/>
    <col min="12290" max="12290" width="12.88671875" style="137" customWidth="1"/>
    <col min="12291" max="12362" width="10.33203125" style="137" customWidth="1"/>
    <col min="12363" max="12544" width="8.88671875" style="137"/>
    <col min="12545" max="12545" width="38.44140625" style="137" customWidth="1"/>
    <col min="12546" max="12546" width="12.88671875" style="137" customWidth="1"/>
    <col min="12547" max="12618" width="10.33203125" style="137" customWidth="1"/>
    <col min="12619" max="12800" width="8.88671875" style="137"/>
    <col min="12801" max="12801" width="38.44140625" style="137" customWidth="1"/>
    <col min="12802" max="12802" width="12.88671875" style="137" customWidth="1"/>
    <col min="12803" max="12874" width="10.33203125" style="137" customWidth="1"/>
    <col min="12875" max="13056" width="8.88671875" style="137"/>
    <col min="13057" max="13057" width="38.44140625" style="137" customWidth="1"/>
    <col min="13058" max="13058" width="12.88671875" style="137" customWidth="1"/>
    <col min="13059" max="13130" width="10.33203125" style="137" customWidth="1"/>
    <col min="13131" max="13312" width="8.88671875" style="137"/>
    <col min="13313" max="13313" width="38.44140625" style="137" customWidth="1"/>
    <col min="13314" max="13314" width="12.88671875" style="137" customWidth="1"/>
    <col min="13315" max="13386" width="10.33203125" style="137" customWidth="1"/>
    <col min="13387" max="13568" width="8.88671875" style="137"/>
    <col min="13569" max="13569" width="38.44140625" style="137" customWidth="1"/>
    <col min="13570" max="13570" width="12.88671875" style="137" customWidth="1"/>
    <col min="13571" max="13642" width="10.33203125" style="137" customWidth="1"/>
    <col min="13643" max="13824" width="8.88671875" style="137"/>
    <col min="13825" max="13825" width="38.44140625" style="137" customWidth="1"/>
    <col min="13826" max="13826" width="12.88671875" style="137" customWidth="1"/>
    <col min="13827" max="13898" width="10.33203125" style="137" customWidth="1"/>
    <col min="13899" max="14080" width="8.88671875" style="137"/>
    <col min="14081" max="14081" width="38.44140625" style="137" customWidth="1"/>
    <col min="14082" max="14082" width="12.88671875" style="137" customWidth="1"/>
    <col min="14083" max="14154" width="10.33203125" style="137" customWidth="1"/>
    <col min="14155" max="14336" width="8.88671875" style="137"/>
    <col min="14337" max="14337" width="38.44140625" style="137" customWidth="1"/>
    <col min="14338" max="14338" width="12.88671875" style="137" customWidth="1"/>
    <col min="14339" max="14410" width="10.33203125" style="137" customWidth="1"/>
    <col min="14411" max="14592" width="8.88671875" style="137"/>
    <col min="14593" max="14593" width="38.44140625" style="137" customWidth="1"/>
    <col min="14594" max="14594" width="12.88671875" style="137" customWidth="1"/>
    <col min="14595" max="14666" width="10.33203125" style="137" customWidth="1"/>
    <col min="14667" max="14848" width="8.88671875" style="137"/>
    <col min="14849" max="14849" width="38.44140625" style="137" customWidth="1"/>
    <col min="14850" max="14850" width="12.88671875" style="137" customWidth="1"/>
    <col min="14851" max="14922" width="10.33203125" style="137" customWidth="1"/>
    <col min="14923" max="15104" width="8.88671875" style="137"/>
    <col min="15105" max="15105" width="38.44140625" style="137" customWidth="1"/>
    <col min="15106" max="15106" width="12.88671875" style="137" customWidth="1"/>
    <col min="15107" max="15178" width="10.33203125" style="137" customWidth="1"/>
    <col min="15179" max="15360" width="8.88671875" style="137"/>
    <col min="15361" max="15361" width="38.44140625" style="137" customWidth="1"/>
    <col min="15362" max="15362" width="12.88671875" style="137" customWidth="1"/>
    <col min="15363" max="15434" width="10.33203125" style="137" customWidth="1"/>
    <col min="15435" max="15616" width="8.88671875" style="137"/>
    <col min="15617" max="15617" width="38.44140625" style="137" customWidth="1"/>
    <col min="15618" max="15618" width="12.88671875" style="137" customWidth="1"/>
    <col min="15619" max="15690" width="10.33203125" style="137" customWidth="1"/>
    <col min="15691" max="15872" width="8.88671875" style="137"/>
    <col min="15873" max="15873" width="38.44140625" style="137" customWidth="1"/>
    <col min="15874" max="15874" width="12.88671875" style="137" customWidth="1"/>
    <col min="15875" max="15946" width="10.33203125" style="137" customWidth="1"/>
    <col min="15947" max="16128" width="8.88671875" style="137"/>
    <col min="16129" max="16129" width="38.44140625" style="137" customWidth="1"/>
    <col min="16130" max="16130" width="12.88671875" style="137" customWidth="1"/>
    <col min="16131" max="16202" width="10.33203125" style="137" customWidth="1"/>
    <col min="16203" max="16384" width="8.88671875" style="137"/>
  </cols>
  <sheetData>
    <row r="1" spans="1:75" ht="17.399999999999999" x14ac:dyDescent="0.3">
      <c r="A1" s="158" t="s">
        <v>18</v>
      </c>
      <c r="B1" s="159"/>
    </row>
    <row r="2" spans="1:75" ht="15.6" x14ac:dyDescent="0.3">
      <c r="A2" s="160" t="s">
        <v>159</v>
      </c>
      <c r="B2" s="161"/>
    </row>
    <row r="3" spans="1:75" ht="14.4" thickBot="1" x14ac:dyDescent="0.3">
      <c r="A3" s="162" t="s">
        <v>19</v>
      </c>
      <c r="B3" s="163"/>
    </row>
    <row r="6" spans="1:75" x14ac:dyDescent="0.25">
      <c r="AW6" s="112" t="s">
        <v>22</v>
      </c>
      <c r="AX6" s="113" t="s">
        <v>22</v>
      </c>
      <c r="AY6" s="113" t="s">
        <v>22</v>
      </c>
      <c r="AZ6" s="113" t="s">
        <v>22</v>
      </c>
      <c r="BA6" s="114" t="s">
        <v>23</v>
      </c>
      <c r="BB6" s="114" t="s">
        <v>23</v>
      </c>
      <c r="BC6" s="114" t="s">
        <v>23</v>
      </c>
      <c r="BD6" s="114" t="s">
        <v>23</v>
      </c>
      <c r="BE6" s="115" t="s">
        <v>24</v>
      </c>
      <c r="BF6" s="115" t="s">
        <v>24</v>
      </c>
      <c r="BG6" s="115" t="s">
        <v>24</v>
      </c>
      <c r="BH6" s="115" t="s">
        <v>24</v>
      </c>
      <c r="BI6" s="116" t="s">
        <v>25</v>
      </c>
      <c r="BJ6" s="116" t="s">
        <v>25</v>
      </c>
      <c r="BK6" s="116" t="s">
        <v>25</v>
      </c>
      <c r="BL6" s="116" t="s">
        <v>25</v>
      </c>
      <c r="BM6" s="139" t="s">
        <v>160</v>
      </c>
      <c r="BN6" s="139" t="s">
        <v>160</v>
      </c>
      <c r="BO6" s="139" t="s">
        <v>160</v>
      </c>
      <c r="BP6" s="139" t="s">
        <v>160</v>
      </c>
      <c r="BQ6" s="140" t="s">
        <v>161</v>
      </c>
      <c r="BR6" s="140" t="s">
        <v>161</v>
      </c>
      <c r="BS6" s="140" t="s">
        <v>161</v>
      </c>
      <c r="BT6" s="140" t="s">
        <v>161</v>
      </c>
    </row>
    <row r="7" spans="1:75" s="138" customFormat="1" x14ac:dyDescent="0.25">
      <c r="B7" s="138" t="s">
        <v>26</v>
      </c>
      <c r="C7" s="141" t="s">
        <v>27</v>
      </c>
      <c r="D7" s="141" t="s">
        <v>28</v>
      </c>
      <c r="E7" s="141" t="s">
        <v>29</v>
      </c>
      <c r="F7" s="141" t="s">
        <v>30</v>
      </c>
      <c r="G7" s="141" t="s">
        <v>31</v>
      </c>
      <c r="H7" s="141" t="s">
        <v>32</v>
      </c>
      <c r="I7" s="141" t="s">
        <v>33</v>
      </c>
      <c r="J7" s="141" t="s">
        <v>34</v>
      </c>
      <c r="K7" s="141" t="s">
        <v>35</v>
      </c>
      <c r="L7" s="141" t="s">
        <v>36</v>
      </c>
      <c r="M7" s="141" t="s">
        <v>37</v>
      </c>
      <c r="N7" s="141" t="s">
        <v>38</v>
      </c>
      <c r="O7" s="141" t="s">
        <v>39</v>
      </c>
      <c r="P7" s="141" t="s">
        <v>40</v>
      </c>
      <c r="Q7" s="141" t="s">
        <v>41</v>
      </c>
      <c r="R7" s="141" t="s">
        <v>42</v>
      </c>
      <c r="S7" s="141" t="s">
        <v>43</v>
      </c>
      <c r="T7" s="141" t="s">
        <v>44</v>
      </c>
      <c r="U7" s="141" t="s">
        <v>45</v>
      </c>
      <c r="V7" s="141" t="s">
        <v>46</v>
      </c>
      <c r="W7" s="141" t="s">
        <v>47</v>
      </c>
      <c r="X7" s="141" t="s">
        <v>48</v>
      </c>
      <c r="Y7" s="141" t="s">
        <v>49</v>
      </c>
      <c r="Z7" s="141" t="s">
        <v>50</v>
      </c>
      <c r="AA7" s="141" t="s">
        <v>51</v>
      </c>
      <c r="AB7" s="141" t="s">
        <v>52</v>
      </c>
      <c r="AC7" s="141" t="s">
        <v>53</v>
      </c>
      <c r="AD7" s="141" t="s">
        <v>54</v>
      </c>
      <c r="AE7" s="141" t="s">
        <v>55</v>
      </c>
      <c r="AF7" s="141" t="s">
        <v>56</v>
      </c>
      <c r="AG7" s="141" t="s">
        <v>57</v>
      </c>
      <c r="AH7" s="141" t="s">
        <v>58</v>
      </c>
      <c r="AI7" s="141" t="s">
        <v>59</v>
      </c>
      <c r="AJ7" s="141" t="s">
        <v>60</v>
      </c>
      <c r="AK7" s="141" t="s">
        <v>61</v>
      </c>
      <c r="AL7" s="141" t="s">
        <v>62</v>
      </c>
      <c r="AM7" s="141" t="s">
        <v>63</v>
      </c>
      <c r="AN7" s="141" t="s">
        <v>64</v>
      </c>
      <c r="AO7" s="141" t="s">
        <v>65</v>
      </c>
      <c r="AP7" s="141" t="s">
        <v>66</v>
      </c>
      <c r="AQ7" s="141" t="s">
        <v>67</v>
      </c>
      <c r="AR7" s="141" t="s">
        <v>68</v>
      </c>
      <c r="AS7" s="141" t="s">
        <v>69</v>
      </c>
      <c r="AT7" s="141" t="s">
        <v>70</v>
      </c>
      <c r="AU7" s="138" t="s">
        <v>71</v>
      </c>
      <c r="AV7" s="138" t="s">
        <v>72</v>
      </c>
      <c r="AW7" s="138" t="s">
        <v>73</v>
      </c>
      <c r="AX7" s="138" t="s">
        <v>74</v>
      </c>
      <c r="AY7" s="138" t="s">
        <v>75</v>
      </c>
      <c r="AZ7" s="138" t="s">
        <v>76</v>
      </c>
      <c r="BA7" s="138" t="s">
        <v>77</v>
      </c>
      <c r="BB7" s="138" t="s">
        <v>78</v>
      </c>
      <c r="BC7" s="138" t="s">
        <v>79</v>
      </c>
      <c r="BD7" s="138" t="s">
        <v>80</v>
      </c>
      <c r="BE7" s="138" t="s">
        <v>81</v>
      </c>
      <c r="BF7" s="138" t="s">
        <v>82</v>
      </c>
      <c r="BG7" s="138" t="s">
        <v>83</v>
      </c>
      <c r="BH7" s="138" t="s">
        <v>84</v>
      </c>
      <c r="BI7" s="138" t="s">
        <v>85</v>
      </c>
      <c r="BJ7" s="138" t="s">
        <v>86</v>
      </c>
      <c r="BK7" s="138" t="s">
        <v>87</v>
      </c>
      <c r="BL7" s="138" t="s">
        <v>88</v>
      </c>
      <c r="BM7" s="138" t="s">
        <v>89</v>
      </c>
      <c r="BN7" s="138" t="s">
        <v>90</v>
      </c>
      <c r="BO7" s="138" t="s">
        <v>91</v>
      </c>
      <c r="BP7" s="138" t="s">
        <v>92</v>
      </c>
      <c r="BQ7" s="138" t="s">
        <v>93</v>
      </c>
      <c r="BR7" s="138" t="s">
        <v>94</v>
      </c>
      <c r="BS7" s="138" t="s">
        <v>95</v>
      </c>
      <c r="BT7" s="138" t="s">
        <v>96</v>
      </c>
      <c r="BU7" s="138" t="s">
        <v>97</v>
      </c>
      <c r="BV7" s="138" t="s">
        <v>98</v>
      </c>
      <c r="BW7" s="138" t="s">
        <v>99</v>
      </c>
    </row>
    <row r="8" spans="1:75" x14ac:dyDescent="0.25">
      <c r="A8" s="138" t="s">
        <v>100</v>
      </c>
      <c r="B8" s="138" t="s">
        <v>101</v>
      </c>
      <c r="C8" s="142">
        <v>2.0350000000000001</v>
      </c>
      <c r="D8" s="142">
        <v>2.06</v>
      </c>
      <c r="E8" s="142">
        <v>2.0640000000000001</v>
      </c>
      <c r="F8" s="142">
        <v>2.0870000000000002</v>
      </c>
      <c r="G8" s="142">
        <v>2.1040000000000001</v>
      </c>
      <c r="H8" s="142">
        <v>2.1150000000000002</v>
      </c>
      <c r="I8" s="142">
        <v>2.1480000000000001</v>
      </c>
      <c r="J8" s="142">
        <v>2.169</v>
      </c>
      <c r="K8" s="142">
        <v>2.1869999999999998</v>
      </c>
      <c r="L8" s="142">
        <v>2.214</v>
      </c>
      <c r="M8" s="142">
        <v>2.2330000000000001</v>
      </c>
      <c r="N8" s="142">
        <v>2.2210000000000001</v>
      </c>
      <c r="O8" s="142">
        <v>2.234</v>
      </c>
      <c r="P8" s="142">
        <v>2.2599999999999998</v>
      </c>
      <c r="Q8" s="142">
        <v>2.274</v>
      </c>
      <c r="R8" s="142">
        <v>2.3010000000000002</v>
      </c>
      <c r="S8" s="142">
        <v>2.3210000000000002</v>
      </c>
      <c r="T8" s="142">
        <v>2.3620000000000001</v>
      </c>
      <c r="U8" s="142">
        <v>2.4020000000000001</v>
      </c>
      <c r="V8" s="142">
        <v>2.351</v>
      </c>
      <c r="W8" s="142">
        <v>2.3439999999999999</v>
      </c>
      <c r="X8" s="142">
        <v>2.3479999999999999</v>
      </c>
      <c r="Y8" s="142">
        <v>2.3690000000000002</v>
      </c>
      <c r="Z8" s="142">
        <v>2.383</v>
      </c>
      <c r="AA8" s="142">
        <v>2.383</v>
      </c>
      <c r="AB8" s="142">
        <v>2.3839999999999999</v>
      </c>
      <c r="AC8" s="142">
        <v>2.399</v>
      </c>
      <c r="AD8" s="142">
        <v>2.4220000000000002</v>
      </c>
      <c r="AE8" s="142">
        <v>2.4350000000000001</v>
      </c>
      <c r="AF8" s="142">
        <v>2.4780000000000002</v>
      </c>
      <c r="AG8" s="142">
        <v>2.4889999999999999</v>
      </c>
      <c r="AH8" s="142">
        <v>2.4969999999999999</v>
      </c>
      <c r="AI8" s="142">
        <v>2.5169999999999999</v>
      </c>
      <c r="AJ8" s="142">
        <v>2.52</v>
      </c>
      <c r="AK8" s="142">
        <v>2.5299999999999998</v>
      </c>
      <c r="AL8" s="142">
        <v>2.5489999999999999</v>
      </c>
      <c r="AM8" s="142">
        <v>2.5579999999999998</v>
      </c>
      <c r="AN8" s="142">
        <v>2.5539999999999998</v>
      </c>
      <c r="AO8" s="142">
        <v>2.5739999999999998</v>
      </c>
      <c r="AP8" s="142">
        <v>2.589</v>
      </c>
      <c r="AQ8" s="142">
        <v>2.601</v>
      </c>
      <c r="AR8" s="142">
        <v>2.6070000000000002</v>
      </c>
      <c r="AS8" s="142">
        <v>2.6139999999999999</v>
      </c>
      <c r="AT8" s="142">
        <v>2.617</v>
      </c>
      <c r="AU8" s="142">
        <v>2.6190000000000002</v>
      </c>
      <c r="AV8" s="142">
        <v>2.6230000000000002</v>
      </c>
      <c r="AW8" s="142">
        <v>2.621</v>
      </c>
      <c r="AX8" s="142">
        <v>2.629</v>
      </c>
      <c r="AY8" s="142">
        <v>2.6320000000000001</v>
      </c>
      <c r="AZ8" s="142">
        <v>2.6459999999999999</v>
      </c>
      <c r="BA8" s="142">
        <v>2.6659999999999999</v>
      </c>
      <c r="BB8" s="142">
        <v>2.6779999999999999</v>
      </c>
      <c r="BC8" s="142">
        <v>2.6960000000000002</v>
      </c>
      <c r="BD8" s="142">
        <v>2.694</v>
      </c>
      <c r="BE8" s="142">
        <v>2.7090000000000001</v>
      </c>
      <c r="BF8" s="142">
        <v>2.7240000000000002</v>
      </c>
      <c r="BG8" s="142">
        <v>2.7349999999999999</v>
      </c>
      <c r="BH8" s="142">
        <v>2.7440000000000002</v>
      </c>
      <c r="BI8" s="142">
        <v>2.76</v>
      </c>
      <c r="BJ8" s="142">
        <v>2.7759999999999998</v>
      </c>
      <c r="BK8" s="142">
        <v>2.7909999999999999</v>
      </c>
      <c r="BL8" s="142">
        <v>2.8090000000000002</v>
      </c>
      <c r="BM8" s="142">
        <v>2.8239999999999998</v>
      </c>
      <c r="BN8" s="142">
        <v>2.8460000000000001</v>
      </c>
      <c r="BO8" s="142">
        <v>2.8660000000000001</v>
      </c>
      <c r="BP8" s="142">
        <v>2.8849999999999998</v>
      </c>
      <c r="BQ8" s="142">
        <v>2.9049999999999998</v>
      </c>
      <c r="BR8" s="142">
        <v>2.9239999999999999</v>
      </c>
      <c r="BS8" s="142">
        <v>2.9420000000000002</v>
      </c>
      <c r="BT8" s="142">
        <v>2.96</v>
      </c>
      <c r="BU8" s="142">
        <v>2.9790000000000001</v>
      </c>
      <c r="BV8" s="142">
        <v>2.9980000000000002</v>
      </c>
    </row>
    <row r="9" spans="1:75" x14ac:dyDescent="0.25">
      <c r="A9" s="138" t="s">
        <v>102</v>
      </c>
      <c r="B9" s="138" t="s">
        <v>103</v>
      </c>
      <c r="C9" s="142">
        <v>2.0350000000000001</v>
      </c>
      <c r="D9" s="142">
        <v>2.06</v>
      </c>
      <c r="E9" s="142">
        <v>2.0640000000000001</v>
      </c>
      <c r="F9" s="142">
        <v>2.0870000000000002</v>
      </c>
      <c r="G9" s="142">
        <v>2.1040000000000001</v>
      </c>
      <c r="H9" s="142">
        <v>2.1150000000000002</v>
      </c>
      <c r="I9" s="142">
        <v>2.1480000000000001</v>
      </c>
      <c r="J9" s="142">
        <v>2.169</v>
      </c>
      <c r="K9" s="142">
        <v>2.1869999999999998</v>
      </c>
      <c r="L9" s="142">
        <v>2.214</v>
      </c>
      <c r="M9" s="142">
        <v>2.2330000000000001</v>
      </c>
      <c r="N9" s="142">
        <v>2.2210000000000001</v>
      </c>
      <c r="O9" s="142">
        <v>2.234</v>
      </c>
      <c r="P9" s="142">
        <v>2.2599999999999998</v>
      </c>
      <c r="Q9" s="142">
        <v>2.274</v>
      </c>
      <c r="R9" s="142">
        <v>2.3010000000000002</v>
      </c>
      <c r="S9" s="142">
        <v>2.3210000000000002</v>
      </c>
      <c r="T9" s="142">
        <v>2.3620000000000001</v>
      </c>
      <c r="U9" s="142">
        <v>2.4020000000000001</v>
      </c>
      <c r="V9" s="142">
        <v>2.351</v>
      </c>
      <c r="W9" s="142">
        <v>2.3439999999999999</v>
      </c>
      <c r="X9" s="142">
        <v>2.3479999999999999</v>
      </c>
      <c r="Y9" s="142">
        <v>2.3690000000000002</v>
      </c>
      <c r="Z9" s="142">
        <v>2.383</v>
      </c>
      <c r="AA9" s="142">
        <v>2.383</v>
      </c>
      <c r="AB9" s="142">
        <v>2.3839999999999999</v>
      </c>
      <c r="AC9" s="142">
        <v>2.399</v>
      </c>
      <c r="AD9" s="142">
        <v>2.4220000000000002</v>
      </c>
      <c r="AE9" s="142">
        <v>2.4350000000000001</v>
      </c>
      <c r="AF9" s="142">
        <v>2.4780000000000002</v>
      </c>
      <c r="AG9" s="142">
        <v>2.4889999999999999</v>
      </c>
      <c r="AH9" s="142">
        <v>2.4969999999999999</v>
      </c>
      <c r="AI9" s="142">
        <v>2.5169999999999999</v>
      </c>
      <c r="AJ9" s="142">
        <v>2.52</v>
      </c>
      <c r="AK9" s="142">
        <v>2.5299999999999998</v>
      </c>
      <c r="AL9" s="142">
        <v>2.5489999999999999</v>
      </c>
      <c r="AM9" s="142">
        <v>2.5579999999999998</v>
      </c>
      <c r="AN9" s="142">
        <v>2.5539999999999998</v>
      </c>
      <c r="AO9" s="142">
        <v>2.5739999999999998</v>
      </c>
      <c r="AP9" s="142">
        <v>2.589</v>
      </c>
      <c r="AQ9" s="142">
        <v>2.601</v>
      </c>
      <c r="AR9" s="142">
        <v>2.6070000000000002</v>
      </c>
      <c r="AS9" s="142">
        <v>2.6139999999999999</v>
      </c>
      <c r="AT9" s="142">
        <v>2.617</v>
      </c>
      <c r="AU9" s="142">
        <v>2.6190000000000002</v>
      </c>
      <c r="AV9" s="142">
        <v>2.6230000000000002</v>
      </c>
      <c r="AW9" s="142">
        <v>2.621</v>
      </c>
      <c r="AX9" s="142">
        <v>2.629</v>
      </c>
      <c r="AY9" s="142">
        <v>2.6320000000000001</v>
      </c>
      <c r="AZ9" s="142">
        <v>2.6459999999999999</v>
      </c>
      <c r="BA9" s="142">
        <v>2.6659999999999999</v>
      </c>
      <c r="BB9" s="142">
        <v>2.6779999999999999</v>
      </c>
      <c r="BC9" s="142">
        <v>2.6960000000000002</v>
      </c>
      <c r="BD9" s="142">
        <v>2.694</v>
      </c>
      <c r="BE9" s="142">
        <v>2.7090000000000001</v>
      </c>
      <c r="BF9" s="142">
        <v>2.7240000000000002</v>
      </c>
      <c r="BG9" s="142">
        <v>2.7349999999999999</v>
      </c>
      <c r="BH9" s="142">
        <v>2.742</v>
      </c>
      <c r="BI9" s="142">
        <v>2.7549999999999999</v>
      </c>
      <c r="BJ9" s="142">
        <v>2.7690000000000001</v>
      </c>
      <c r="BK9" s="142">
        <v>2.782</v>
      </c>
      <c r="BL9" s="142">
        <v>2.798</v>
      </c>
      <c r="BM9" s="142">
        <v>2.81</v>
      </c>
      <c r="BN9" s="142">
        <v>2.831</v>
      </c>
      <c r="BO9" s="142">
        <v>2.8490000000000002</v>
      </c>
      <c r="BP9" s="142">
        <v>2.8660000000000001</v>
      </c>
      <c r="BQ9" s="142">
        <v>2.883</v>
      </c>
      <c r="BR9" s="142">
        <v>2.899</v>
      </c>
      <c r="BS9" s="142">
        <v>2.915</v>
      </c>
      <c r="BT9" s="142">
        <v>2.931</v>
      </c>
      <c r="BU9" s="142">
        <v>2.9470000000000001</v>
      </c>
      <c r="BV9" s="142">
        <v>2.9620000000000002</v>
      </c>
    </row>
    <row r="10" spans="1:75" x14ac:dyDescent="0.25">
      <c r="A10" s="138" t="s">
        <v>104</v>
      </c>
      <c r="B10" s="138" t="s">
        <v>105</v>
      </c>
      <c r="C10" s="142">
        <v>2.0350000000000001</v>
      </c>
      <c r="D10" s="142">
        <v>2.06</v>
      </c>
      <c r="E10" s="142">
        <v>2.0640000000000001</v>
      </c>
      <c r="F10" s="142">
        <v>2.0870000000000002</v>
      </c>
      <c r="G10" s="142">
        <v>2.1040000000000001</v>
      </c>
      <c r="H10" s="142">
        <v>2.1150000000000002</v>
      </c>
      <c r="I10" s="142">
        <v>2.1480000000000001</v>
      </c>
      <c r="J10" s="142">
        <v>2.169</v>
      </c>
      <c r="K10" s="142">
        <v>2.1869999999999998</v>
      </c>
      <c r="L10" s="142">
        <v>2.214</v>
      </c>
      <c r="M10" s="142">
        <v>2.2330000000000001</v>
      </c>
      <c r="N10" s="142">
        <v>2.2210000000000001</v>
      </c>
      <c r="O10" s="142">
        <v>2.234</v>
      </c>
      <c r="P10" s="142">
        <v>2.2599999999999998</v>
      </c>
      <c r="Q10" s="142">
        <v>2.274</v>
      </c>
      <c r="R10" s="142">
        <v>2.3010000000000002</v>
      </c>
      <c r="S10" s="142">
        <v>2.3210000000000002</v>
      </c>
      <c r="T10" s="142">
        <v>2.3620000000000001</v>
      </c>
      <c r="U10" s="142">
        <v>2.4020000000000001</v>
      </c>
      <c r="V10" s="142">
        <v>2.351</v>
      </c>
      <c r="W10" s="142">
        <v>2.3439999999999999</v>
      </c>
      <c r="X10" s="142">
        <v>2.3479999999999999</v>
      </c>
      <c r="Y10" s="142">
        <v>2.3690000000000002</v>
      </c>
      <c r="Z10" s="142">
        <v>2.383</v>
      </c>
      <c r="AA10" s="142">
        <v>2.383</v>
      </c>
      <c r="AB10" s="142">
        <v>2.3839999999999999</v>
      </c>
      <c r="AC10" s="142">
        <v>2.399</v>
      </c>
      <c r="AD10" s="142">
        <v>2.4220000000000002</v>
      </c>
      <c r="AE10" s="142">
        <v>2.4350000000000001</v>
      </c>
      <c r="AF10" s="142">
        <v>2.4780000000000002</v>
      </c>
      <c r="AG10" s="142">
        <v>2.4889999999999999</v>
      </c>
      <c r="AH10" s="142">
        <v>2.4969999999999999</v>
      </c>
      <c r="AI10" s="142">
        <v>2.5169999999999999</v>
      </c>
      <c r="AJ10" s="142">
        <v>2.52</v>
      </c>
      <c r="AK10" s="142">
        <v>2.5299999999999998</v>
      </c>
      <c r="AL10" s="142">
        <v>2.5489999999999999</v>
      </c>
      <c r="AM10" s="142">
        <v>2.5579999999999998</v>
      </c>
      <c r="AN10" s="142">
        <v>2.5539999999999998</v>
      </c>
      <c r="AO10" s="142">
        <v>2.5739999999999998</v>
      </c>
      <c r="AP10" s="142">
        <v>2.589</v>
      </c>
      <c r="AQ10" s="142">
        <v>2.601</v>
      </c>
      <c r="AR10" s="142">
        <v>2.6070000000000002</v>
      </c>
      <c r="AS10" s="142">
        <v>2.6139999999999999</v>
      </c>
      <c r="AT10" s="142">
        <v>2.617</v>
      </c>
      <c r="AU10" s="142">
        <v>2.6190000000000002</v>
      </c>
      <c r="AV10" s="142">
        <v>2.6230000000000002</v>
      </c>
      <c r="AW10" s="142">
        <v>2.621</v>
      </c>
      <c r="AX10" s="142">
        <v>2.629</v>
      </c>
      <c r="AY10" s="142">
        <v>2.6320000000000001</v>
      </c>
      <c r="AZ10" s="142">
        <v>2.6459999999999999</v>
      </c>
      <c r="BA10" s="142">
        <v>2.6659999999999999</v>
      </c>
      <c r="BB10" s="142">
        <v>2.6779999999999999</v>
      </c>
      <c r="BC10" s="142">
        <v>2.6960000000000002</v>
      </c>
      <c r="BD10" s="142">
        <v>2.694</v>
      </c>
      <c r="BE10" s="142">
        <v>2.7090000000000001</v>
      </c>
      <c r="BF10" s="142">
        <v>2.7240000000000002</v>
      </c>
      <c r="BG10" s="142">
        <v>2.7349999999999999</v>
      </c>
      <c r="BH10" s="142">
        <v>2.7480000000000002</v>
      </c>
      <c r="BI10" s="142">
        <v>2.766</v>
      </c>
      <c r="BJ10" s="142">
        <v>2.7839999999999998</v>
      </c>
      <c r="BK10" s="142">
        <v>2.802</v>
      </c>
      <c r="BL10" s="142">
        <v>2.823</v>
      </c>
      <c r="BM10" s="142">
        <v>2.843</v>
      </c>
      <c r="BN10" s="142">
        <v>2.8690000000000002</v>
      </c>
      <c r="BO10" s="142">
        <v>2.895</v>
      </c>
      <c r="BP10" s="142">
        <v>2.919</v>
      </c>
      <c r="BQ10" s="142">
        <v>2.9449999999999998</v>
      </c>
      <c r="BR10" s="142">
        <v>2.97</v>
      </c>
      <c r="BS10" s="142">
        <v>2.9950000000000001</v>
      </c>
      <c r="BT10" s="142">
        <v>3.02</v>
      </c>
      <c r="BU10" s="142">
        <v>3.0470000000000002</v>
      </c>
      <c r="BV10" s="142">
        <v>3.0739999999999998</v>
      </c>
    </row>
    <row r="12" spans="1:75" x14ac:dyDescent="0.25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  <c r="AM12" s="143"/>
      <c r="AN12" s="143"/>
      <c r="AO12" s="143"/>
      <c r="AP12" s="143"/>
      <c r="AQ12" s="143"/>
      <c r="AR12" s="143"/>
      <c r="AS12" s="143"/>
      <c r="AT12" s="143"/>
    </row>
    <row r="13" spans="1:75" x14ac:dyDescent="0.25"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BI13" s="137" t="s">
        <v>162</v>
      </c>
    </row>
    <row r="14" spans="1:75" x14ac:dyDescent="0.25"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  <c r="AT14" s="142"/>
    </row>
    <row r="15" spans="1:75" x14ac:dyDescent="0.25"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</row>
    <row r="16" spans="1:75" x14ac:dyDescent="0.25"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  <c r="AS16" s="142"/>
      <c r="AT16" s="142"/>
    </row>
    <row r="17" spans="3:69" x14ac:dyDescent="0.25"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BF17" s="2" t="s">
        <v>163</v>
      </c>
      <c r="BG17" s="3"/>
      <c r="BH17" s="3"/>
      <c r="BI17" s="4" t="s">
        <v>164</v>
      </c>
      <c r="BJ17" s="5"/>
      <c r="BK17" s="5"/>
      <c r="BL17" s="5"/>
      <c r="BM17" s="5"/>
      <c r="BN17" s="5"/>
      <c r="BO17" s="3"/>
      <c r="BP17" s="3"/>
      <c r="BQ17" s="3"/>
    </row>
    <row r="18" spans="3:69" x14ac:dyDescent="0.25">
      <c r="BF18" s="6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8"/>
    </row>
    <row r="19" spans="3:69" x14ac:dyDescent="0.25">
      <c r="BF19" s="9"/>
      <c r="BG19" s="10" t="s">
        <v>106</v>
      </c>
      <c r="BH19" s="11" t="s">
        <v>165</v>
      </c>
      <c r="BI19" s="11"/>
      <c r="BJ19" s="11"/>
      <c r="BK19" s="11"/>
      <c r="BL19" s="11"/>
      <c r="BM19" s="11"/>
      <c r="BN19" s="11"/>
      <c r="BO19" s="11"/>
      <c r="BP19" s="11"/>
      <c r="BQ19" s="12"/>
    </row>
    <row r="20" spans="3:69" x14ac:dyDescent="0.25">
      <c r="BF20" s="9"/>
      <c r="BG20" s="11"/>
      <c r="BH20" s="138" t="s">
        <v>166</v>
      </c>
      <c r="BI20" s="11"/>
      <c r="BJ20" s="11"/>
      <c r="BK20" s="11"/>
      <c r="BL20" s="11"/>
      <c r="BM20" s="11"/>
      <c r="BN20" s="11"/>
      <c r="BO20" s="11"/>
      <c r="BP20" s="11"/>
      <c r="BQ20" s="13" t="s">
        <v>107</v>
      </c>
    </row>
    <row r="21" spans="3:69" x14ac:dyDescent="0.25">
      <c r="BF21" s="9"/>
      <c r="BG21" s="11"/>
      <c r="BH21" s="142">
        <f>BL9</f>
        <v>2.798</v>
      </c>
      <c r="BI21" s="11"/>
      <c r="BJ21" s="11"/>
      <c r="BK21" s="11"/>
      <c r="BL21" s="11"/>
      <c r="BM21" s="11"/>
      <c r="BN21" s="11"/>
      <c r="BO21" s="11"/>
      <c r="BP21" s="11"/>
      <c r="BQ21" s="15">
        <f>BH21</f>
        <v>2.798</v>
      </c>
    </row>
    <row r="22" spans="3:69" x14ac:dyDescent="0.25">
      <c r="BF22" s="9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4"/>
    </row>
    <row r="23" spans="3:69" x14ac:dyDescent="0.25">
      <c r="BF23" s="9"/>
      <c r="BG23" s="10" t="s">
        <v>108</v>
      </c>
      <c r="BH23" s="11" t="s">
        <v>167</v>
      </c>
      <c r="BI23" s="11"/>
      <c r="BJ23" s="11"/>
      <c r="BK23" s="11"/>
      <c r="BL23" s="11"/>
      <c r="BM23" s="11"/>
      <c r="BN23" s="11"/>
      <c r="BO23" s="11"/>
      <c r="BP23" s="11"/>
      <c r="BQ23" s="14"/>
    </row>
    <row r="24" spans="3:69" x14ac:dyDescent="0.25">
      <c r="BF24" s="9"/>
      <c r="BG24" s="11"/>
      <c r="BH24" s="138" t="str">
        <f>BM7</f>
        <v>2019Q3</v>
      </c>
      <c r="BI24" s="138" t="str">
        <f t="shared" ref="BI24:BO24" si="0">BN7</f>
        <v>2019Q4</v>
      </c>
      <c r="BJ24" s="138" t="str">
        <f t="shared" si="0"/>
        <v>2020Q1</v>
      </c>
      <c r="BK24" s="138" t="str">
        <f t="shared" si="0"/>
        <v>2020Q2</v>
      </c>
      <c r="BL24" s="138" t="str">
        <f t="shared" si="0"/>
        <v>2020Q3</v>
      </c>
      <c r="BM24" s="138" t="str">
        <f t="shared" si="0"/>
        <v>2020Q4</v>
      </c>
      <c r="BN24" s="138" t="str">
        <f t="shared" si="0"/>
        <v>2021Q1</v>
      </c>
      <c r="BO24" s="138" t="str">
        <f t="shared" si="0"/>
        <v>2021Q2</v>
      </c>
      <c r="BP24" s="11"/>
      <c r="BQ24" s="14"/>
    </row>
    <row r="25" spans="3:69" x14ac:dyDescent="0.25">
      <c r="BF25" s="9"/>
      <c r="BG25" s="11"/>
      <c r="BH25" s="142">
        <f>BM9</f>
        <v>2.81</v>
      </c>
      <c r="BI25" s="142">
        <f t="shared" ref="BI25:BO25" si="1">BN9</f>
        <v>2.831</v>
      </c>
      <c r="BJ25" s="142">
        <f t="shared" si="1"/>
        <v>2.8490000000000002</v>
      </c>
      <c r="BK25" s="142">
        <f t="shared" si="1"/>
        <v>2.8660000000000001</v>
      </c>
      <c r="BL25" s="142">
        <f t="shared" si="1"/>
        <v>2.883</v>
      </c>
      <c r="BM25" s="142">
        <f t="shared" si="1"/>
        <v>2.899</v>
      </c>
      <c r="BN25" s="142">
        <f t="shared" si="1"/>
        <v>2.915</v>
      </c>
      <c r="BO25" s="142">
        <f t="shared" si="1"/>
        <v>2.931</v>
      </c>
      <c r="BP25" s="11"/>
      <c r="BQ25" s="15">
        <f>AVERAGE(BH25:BO25)</f>
        <v>2.8730000000000002</v>
      </c>
    </row>
    <row r="26" spans="3:69" x14ac:dyDescent="0.25">
      <c r="BF26" s="9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4"/>
    </row>
    <row r="27" spans="3:69" x14ac:dyDescent="0.25">
      <c r="BF27" s="9"/>
      <c r="BG27" s="11"/>
      <c r="BH27" s="11"/>
      <c r="BI27" s="11"/>
      <c r="BJ27" s="11"/>
      <c r="BK27" s="11"/>
      <c r="BL27" s="11"/>
      <c r="BM27" s="11"/>
      <c r="BN27" s="11"/>
      <c r="BO27" s="11"/>
      <c r="BP27" s="16" t="s">
        <v>16</v>
      </c>
      <c r="BQ27" s="120">
        <f>(BQ25-BQ21)/BQ21</f>
        <v>2.6804860614724868E-2</v>
      </c>
    </row>
    <row r="28" spans="3:69" x14ac:dyDescent="0.25">
      <c r="BF28" s="17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9"/>
    </row>
    <row r="29" spans="3:69" x14ac:dyDescent="0.25"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</row>
    <row r="30" spans="3:69" x14ac:dyDescent="0.25"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</row>
  </sheetData>
  <mergeCells count="3">
    <mergeCell ref="A1:B1"/>
    <mergeCell ref="A2:B2"/>
    <mergeCell ref="A3:B3"/>
  </mergeCells>
  <pageMargins left="0.25" right="0.25" top="0.75" bottom="0.75" header="0.3" footer="0.3"/>
  <pageSetup scale="8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28"/>
  <sheetViews>
    <sheetView topLeftCell="AN2" workbookViewId="0">
      <selection activeCell="AR5" sqref="AR5:BE30"/>
    </sheetView>
  </sheetViews>
  <sheetFormatPr defaultRowHeight="13.2" x14ac:dyDescent="0.25"/>
  <cols>
    <col min="1" max="1" width="38.44140625" style="107" customWidth="1"/>
    <col min="2" max="2" width="12.88671875" style="108" customWidth="1"/>
    <col min="3" max="44" width="9.6640625" style="107" customWidth="1"/>
    <col min="45" max="45" width="12.6640625" style="107" customWidth="1"/>
    <col min="46" max="74" width="9.6640625" style="107" customWidth="1"/>
    <col min="75" max="256" width="8.88671875" style="107"/>
    <col min="257" max="257" width="38.44140625" style="107" customWidth="1"/>
    <col min="258" max="258" width="12.88671875" style="107" customWidth="1"/>
    <col min="259" max="300" width="9.6640625" style="107" customWidth="1"/>
    <col min="301" max="301" width="12.6640625" style="107" customWidth="1"/>
    <col min="302" max="330" width="9.6640625" style="107" customWidth="1"/>
    <col min="331" max="512" width="8.88671875" style="107"/>
    <col min="513" max="513" width="38.44140625" style="107" customWidth="1"/>
    <col min="514" max="514" width="12.88671875" style="107" customWidth="1"/>
    <col min="515" max="556" width="9.6640625" style="107" customWidth="1"/>
    <col min="557" max="557" width="12.6640625" style="107" customWidth="1"/>
    <col min="558" max="586" width="9.6640625" style="107" customWidth="1"/>
    <col min="587" max="768" width="8.88671875" style="107"/>
    <col min="769" max="769" width="38.44140625" style="107" customWidth="1"/>
    <col min="770" max="770" width="12.88671875" style="107" customWidth="1"/>
    <col min="771" max="812" width="9.6640625" style="107" customWidth="1"/>
    <col min="813" max="813" width="12.6640625" style="107" customWidth="1"/>
    <col min="814" max="842" width="9.6640625" style="107" customWidth="1"/>
    <col min="843" max="1024" width="8.88671875" style="107"/>
    <col min="1025" max="1025" width="38.44140625" style="107" customWidth="1"/>
    <col min="1026" max="1026" width="12.88671875" style="107" customWidth="1"/>
    <col min="1027" max="1068" width="9.6640625" style="107" customWidth="1"/>
    <col min="1069" max="1069" width="12.6640625" style="107" customWidth="1"/>
    <col min="1070" max="1098" width="9.6640625" style="107" customWidth="1"/>
    <col min="1099" max="1280" width="8.88671875" style="107"/>
    <col min="1281" max="1281" width="38.44140625" style="107" customWidth="1"/>
    <col min="1282" max="1282" width="12.88671875" style="107" customWidth="1"/>
    <col min="1283" max="1324" width="9.6640625" style="107" customWidth="1"/>
    <col min="1325" max="1325" width="12.6640625" style="107" customWidth="1"/>
    <col min="1326" max="1354" width="9.6640625" style="107" customWidth="1"/>
    <col min="1355" max="1536" width="8.88671875" style="107"/>
    <col min="1537" max="1537" width="38.44140625" style="107" customWidth="1"/>
    <col min="1538" max="1538" width="12.88671875" style="107" customWidth="1"/>
    <col min="1539" max="1580" width="9.6640625" style="107" customWidth="1"/>
    <col min="1581" max="1581" width="12.6640625" style="107" customWidth="1"/>
    <col min="1582" max="1610" width="9.6640625" style="107" customWidth="1"/>
    <col min="1611" max="1792" width="8.88671875" style="107"/>
    <col min="1793" max="1793" width="38.44140625" style="107" customWidth="1"/>
    <col min="1794" max="1794" width="12.88671875" style="107" customWidth="1"/>
    <col min="1795" max="1836" width="9.6640625" style="107" customWidth="1"/>
    <col min="1837" max="1837" width="12.6640625" style="107" customWidth="1"/>
    <col min="1838" max="1866" width="9.6640625" style="107" customWidth="1"/>
    <col min="1867" max="2048" width="8.88671875" style="107"/>
    <col min="2049" max="2049" width="38.44140625" style="107" customWidth="1"/>
    <col min="2050" max="2050" width="12.88671875" style="107" customWidth="1"/>
    <col min="2051" max="2092" width="9.6640625" style="107" customWidth="1"/>
    <col min="2093" max="2093" width="12.6640625" style="107" customWidth="1"/>
    <col min="2094" max="2122" width="9.6640625" style="107" customWidth="1"/>
    <col min="2123" max="2304" width="8.88671875" style="107"/>
    <col min="2305" max="2305" width="38.44140625" style="107" customWidth="1"/>
    <col min="2306" max="2306" width="12.88671875" style="107" customWidth="1"/>
    <col min="2307" max="2348" width="9.6640625" style="107" customWidth="1"/>
    <col min="2349" max="2349" width="12.6640625" style="107" customWidth="1"/>
    <col min="2350" max="2378" width="9.6640625" style="107" customWidth="1"/>
    <col min="2379" max="2560" width="8.88671875" style="107"/>
    <col min="2561" max="2561" width="38.44140625" style="107" customWidth="1"/>
    <col min="2562" max="2562" width="12.88671875" style="107" customWidth="1"/>
    <col min="2563" max="2604" width="9.6640625" style="107" customWidth="1"/>
    <col min="2605" max="2605" width="12.6640625" style="107" customWidth="1"/>
    <col min="2606" max="2634" width="9.6640625" style="107" customWidth="1"/>
    <col min="2635" max="2816" width="8.88671875" style="107"/>
    <col min="2817" max="2817" width="38.44140625" style="107" customWidth="1"/>
    <col min="2818" max="2818" width="12.88671875" style="107" customWidth="1"/>
    <col min="2819" max="2860" width="9.6640625" style="107" customWidth="1"/>
    <col min="2861" max="2861" width="12.6640625" style="107" customWidth="1"/>
    <col min="2862" max="2890" width="9.6640625" style="107" customWidth="1"/>
    <col min="2891" max="3072" width="8.88671875" style="107"/>
    <col min="3073" max="3073" width="38.44140625" style="107" customWidth="1"/>
    <col min="3074" max="3074" width="12.88671875" style="107" customWidth="1"/>
    <col min="3075" max="3116" width="9.6640625" style="107" customWidth="1"/>
    <col min="3117" max="3117" width="12.6640625" style="107" customWidth="1"/>
    <col min="3118" max="3146" width="9.6640625" style="107" customWidth="1"/>
    <col min="3147" max="3328" width="8.88671875" style="107"/>
    <col min="3329" max="3329" width="38.44140625" style="107" customWidth="1"/>
    <col min="3330" max="3330" width="12.88671875" style="107" customWidth="1"/>
    <col min="3331" max="3372" width="9.6640625" style="107" customWidth="1"/>
    <col min="3373" max="3373" width="12.6640625" style="107" customWidth="1"/>
    <col min="3374" max="3402" width="9.6640625" style="107" customWidth="1"/>
    <col min="3403" max="3584" width="8.88671875" style="107"/>
    <col min="3585" max="3585" width="38.44140625" style="107" customWidth="1"/>
    <col min="3586" max="3586" width="12.88671875" style="107" customWidth="1"/>
    <col min="3587" max="3628" width="9.6640625" style="107" customWidth="1"/>
    <col min="3629" max="3629" width="12.6640625" style="107" customWidth="1"/>
    <col min="3630" max="3658" width="9.6640625" style="107" customWidth="1"/>
    <col min="3659" max="3840" width="8.88671875" style="107"/>
    <col min="3841" max="3841" width="38.44140625" style="107" customWidth="1"/>
    <col min="3842" max="3842" width="12.88671875" style="107" customWidth="1"/>
    <col min="3843" max="3884" width="9.6640625" style="107" customWidth="1"/>
    <col min="3885" max="3885" width="12.6640625" style="107" customWidth="1"/>
    <col min="3886" max="3914" width="9.6640625" style="107" customWidth="1"/>
    <col min="3915" max="4096" width="8.88671875" style="107"/>
    <col min="4097" max="4097" width="38.44140625" style="107" customWidth="1"/>
    <col min="4098" max="4098" width="12.88671875" style="107" customWidth="1"/>
    <col min="4099" max="4140" width="9.6640625" style="107" customWidth="1"/>
    <col min="4141" max="4141" width="12.6640625" style="107" customWidth="1"/>
    <col min="4142" max="4170" width="9.6640625" style="107" customWidth="1"/>
    <col min="4171" max="4352" width="8.88671875" style="107"/>
    <col min="4353" max="4353" width="38.44140625" style="107" customWidth="1"/>
    <col min="4354" max="4354" width="12.88671875" style="107" customWidth="1"/>
    <col min="4355" max="4396" width="9.6640625" style="107" customWidth="1"/>
    <col min="4397" max="4397" width="12.6640625" style="107" customWidth="1"/>
    <col min="4398" max="4426" width="9.6640625" style="107" customWidth="1"/>
    <col min="4427" max="4608" width="8.88671875" style="107"/>
    <col min="4609" max="4609" width="38.44140625" style="107" customWidth="1"/>
    <col min="4610" max="4610" width="12.88671875" style="107" customWidth="1"/>
    <col min="4611" max="4652" width="9.6640625" style="107" customWidth="1"/>
    <col min="4653" max="4653" width="12.6640625" style="107" customWidth="1"/>
    <col min="4654" max="4682" width="9.6640625" style="107" customWidth="1"/>
    <col min="4683" max="4864" width="8.88671875" style="107"/>
    <col min="4865" max="4865" width="38.44140625" style="107" customWidth="1"/>
    <col min="4866" max="4866" width="12.88671875" style="107" customWidth="1"/>
    <col min="4867" max="4908" width="9.6640625" style="107" customWidth="1"/>
    <col min="4909" max="4909" width="12.6640625" style="107" customWidth="1"/>
    <col min="4910" max="4938" width="9.6640625" style="107" customWidth="1"/>
    <col min="4939" max="5120" width="8.88671875" style="107"/>
    <col min="5121" max="5121" width="38.44140625" style="107" customWidth="1"/>
    <col min="5122" max="5122" width="12.88671875" style="107" customWidth="1"/>
    <col min="5123" max="5164" width="9.6640625" style="107" customWidth="1"/>
    <col min="5165" max="5165" width="12.6640625" style="107" customWidth="1"/>
    <col min="5166" max="5194" width="9.6640625" style="107" customWidth="1"/>
    <col min="5195" max="5376" width="8.88671875" style="107"/>
    <col min="5377" max="5377" width="38.44140625" style="107" customWidth="1"/>
    <col min="5378" max="5378" width="12.88671875" style="107" customWidth="1"/>
    <col min="5379" max="5420" width="9.6640625" style="107" customWidth="1"/>
    <col min="5421" max="5421" width="12.6640625" style="107" customWidth="1"/>
    <col min="5422" max="5450" width="9.6640625" style="107" customWidth="1"/>
    <col min="5451" max="5632" width="8.88671875" style="107"/>
    <col min="5633" max="5633" width="38.44140625" style="107" customWidth="1"/>
    <col min="5634" max="5634" width="12.88671875" style="107" customWidth="1"/>
    <col min="5635" max="5676" width="9.6640625" style="107" customWidth="1"/>
    <col min="5677" max="5677" width="12.6640625" style="107" customWidth="1"/>
    <col min="5678" max="5706" width="9.6640625" style="107" customWidth="1"/>
    <col min="5707" max="5888" width="8.88671875" style="107"/>
    <col min="5889" max="5889" width="38.44140625" style="107" customWidth="1"/>
    <col min="5890" max="5890" width="12.88671875" style="107" customWidth="1"/>
    <col min="5891" max="5932" width="9.6640625" style="107" customWidth="1"/>
    <col min="5933" max="5933" width="12.6640625" style="107" customWidth="1"/>
    <col min="5934" max="5962" width="9.6640625" style="107" customWidth="1"/>
    <col min="5963" max="6144" width="8.88671875" style="107"/>
    <col min="6145" max="6145" width="38.44140625" style="107" customWidth="1"/>
    <col min="6146" max="6146" width="12.88671875" style="107" customWidth="1"/>
    <col min="6147" max="6188" width="9.6640625" style="107" customWidth="1"/>
    <col min="6189" max="6189" width="12.6640625" style="107" customWidth="1"/>
    <col min="6190" max="6218" width="9.6640625" style="107" customWidth="1"/>
    <col min="6219" max="6400" width="8.88671875" style="107"/>
    <col min="6401" max="6401" width="38.44140625" style="107" customWidth="1"/>
    <col min="6402" max="6402" width="12.88671875" style="107" customWidth="1"/>
    <col min="6403" max="6444" width="9.6640625" style="107" customWidth="1"/>
    <col min="6445" max="6445" width="12.6640625" style="107" customWidth="1"/>
    <col min="6446" max="6474" width="9.6640625" style="107" customWidth="1"/>
    <col min="6475" max="6656" width="8.88671875" style="107"/>
    <col min="6657" max="6657" width="38.44140625" style="107" customWidth="1"/>
    <col min="6658" max="6658" width="12.88671875" style="107" customWidth="1"/>
    <col min="6659" max="6700" width="9.6640625" style="107" customWidth="1"/>
    <col min="6701" max="6701" width="12.6640625" style="107" customWidth="1"/>
    <col min="6702" max="6730" width="9.6640625" style="107" customWidth="1"/>
    <col min="6731" max="6912" width="8.88671875" style="107"/>
    <col min="6913" max="6913" width="38.44140625" style="107" customWidth="1"/>
    <col min="6914" max="6914" width="12.88671875" style="107" customWidth="1"/>
    <col min="6915" max="6956" width="9.6640625" style="107" customWidth="1"/>
    <col min="6957" max="6957" width="12.6640625" style="107" customWidth="1"/>
    <col min="6958" max="6986" width="9.6640625" style="107" customWidth="1"/>
    <col min="6987" max="7168" width="8.88671875" style="107"/>
    <col min="7169" max="7169" width="38.44140625" style="107" customWidth="1"/>
    <col min="7170" max="7170" width="12.88671875" style="107" customWidth="1"/>
    <col min="7171" max="7212" width="9.6640625" style="107" customWidth="1"/>
    <col min="7213" max="7213" width="12.6640625" style="107" customWidth="1"/>
    <col min="7214" max="7242" width="9.6640625" style="107" customWidth="1"/>
    <col min="7243" max="7424" width="8.88671875" style="107"/>
    <col min="7425" max="7425" width="38.44140625" style="107" customWidth="1"/>
    <col min="7426" max="7426" width="12.88671875" style="107" customWidth="1"/>
    <col min="7427" max="7468" width="9.6640625" style="107" customWidth="1"/>
    <col min="7469" max="7469" width="12.6640625" style="107" customWidth="1"/>
    <col min="7470" max="7498" width="9.6640625" style="107" customWidth="1"/>
    <col min="7499" max="7680" width="8.88671875" style="107"/>
    <col min="7681" max="7681" width="38.44140625" style="107" customWidth="1"/>
    <col min="7682" max="7682" width="12.88671875" style="107" customWidth="1"/>
    <col min="7683" max="7724" width="9.6640625" style="107" customWidth="1"/>
    <col min="7725" max="7725" width="12.6640625" style="107" customWidth="1"/>
    <col min="7726" max="7754" width="9.6640625" style="107" customWidth="1"/>
    <col min="7755" max="7936" width="8.88671875" style="107"/>
    <col min="7937" max="7937" width="38.44140625" style="107" customWidth="1"/>
    <col min="7938" max="7938" width="12.88671875" style="107" customWidth="1"/>
    <col min="7939" max="7980" width="9.6640625" style="107" customWidth="1"/>
    <col min="7981" max="7981" width="12.6640625" style="107" customWidth="1"/>
    <col min="7982" max="8010" width="9.6640625" style="107" customWidth="1"/>
    <col min="8011" max="8192" width="8.88671875" style="107"/>
    <col min="8193" max="8193" width="38.44140625" style="107" customWidth="1"/>
    <col min="8194" max="8194" width="12.88671875" style="107" customWidth="1"/>
    <col min="8195" max="8236" width="9.6640625" style="107" customWidth="1"/>
    <col min="8237" max="8237" width="12.6640625" style="107" customWidth="1"/>
    <col min="8238" max="8266" width="9.6640625" style="107" customWidth="1"/>
    <col min="8267" max="8448" width="8.88671875" style="107"/>
    <col min="8449" max="8449" width="38.44140625" style="107" customWidth="1"/>
    <col min="8450" max="8450" width="12.88671875" style="107" customWidth="1"/>
    <col min="8451" max="8492" width="9.6640625" style="107" customWidth="1"/>
    <col min="8493" max="8493" width="12.6640625" style="107" customWidth="1"/>
    <col min="8494" max="8522" width="9.6640625" style="107" customWidth="1"/>
    <col min="8523" max="8704" width="8.88671875" style="107"/>
    <col min="8705" max="8705" width="38.44140625" style="107" customWidth="1"/>
    <col min="8706" max="8706" width="12.88671875" style="107" customWidth="1"/>
    <col min="8707" max="8748" width="9.6640625" style="107" customWidth="1"/>
    <col min="8749" max="8749" width="12.6640625" style="107" customWidth="1"/>
    <col min="8750" max="8778" width="9.6640625" style="107" customWidth="1"/>
    <col min="8779" max="8960" width="8.88671875" style="107"/>
    <col min="8961" max="8961" width="38.44140625" style="107" customWidth="1"/>
    <col min="8962" max="8962" width="12.88671875" style="107" customWidth="1"/>
    <col min="8963" max="9004" width="9.6640625" style="107" customWidth="1"/>
    <col min="9005" max="9005" width="12.6640625" style="107" customWidth="1"/>
    <col min="9006" max="9034" width="9.6640625" style="107" customWidth="1"/>
    <col min="9035" max="9216" width="8.88671875" style="107"/>
    <col min="9217" max="9217" width="38.44140625" style="107" customWidth="1"/>
    <col min="9218" max="9218" width="12.88671875" style="107" customWidth="1"/>
    <col min="9219" max="9260" width="9.6640625" style="107" customWidth="1"/>
    <col min="9261" max="9261" width="12.6640625" style="107" customWidth="1"/>
    <col min="9262" max="9290" width="9.6640625" style="107" customWidth="1"/>
    <col min="9291" max="9472" width="8.88671875" style="107"/>
    <col min="9473" max="9473" width="38.44140625" style="107" customWidth="1"/>
    <col min="9474" max="9474" width="12.88671875" style="107" customWidth="1"/>
    <col min="9475" max="9516" width="9.6640625" style="107" customWidth="1"/>
    <col min="9517" max="9517" width="12.6640625" style="107" customWidth="1"/>
    <col min="9518" max="9546" width="9.6640625" style="107" customWidth="1"/>
    <col min="9547" max="9728" width="8.88671875" style="107"/>
    <col min="9729" max="9729" width="38.44140625" style="107" customWidth="1"/>
    <col min="9730" max="9730" width="12.88671875" style="107" customWidth="1"/>
    <col min="9731" max="9772" width="9.6640625" style="107" customWidth="1"/>
    <col min="9773" max="9773" width="12.6640625" style="107" customWidth="1"/>
    <col min="9774" max="9802" width="9.6640625" style="107" customWidth="1"/>
    <col min="9803" max="9984" width="8.88671875" style="107"/>
    <col min="9985" max="9985" width="38.44140625" style="107" customWidth="1"/>
    <col min="9986" max="9986" width="12.88671875" style="107" customWidth="1"/>
    <col min="9987" max="10028" width="9.6640625" style="107" customWidth="1"/>
    <col min="10029" max="10029" width="12.6640625" style="107" customWidth="1"/>
    <col min="10030" max="10058" width="9.6640625" style="107" customWidth="1"/>
    <col min="10059" max="10240" width="8.88671875" style="107"/>
    <col min="10241" max="10241" width="38.44140625" style="107" customWidth="1"/>
    <col min="10242" max="10242" width="12.88671875" style="107" customWidth="1"/>
    <col min="10243" max="10284" width="9.6640625" style="107" customWidth="1"/>
    <col min="10285" max="10285" width="12.6640625" style="107" customWidth="1"/>
    <col min="10286" max="10314" width="9.6640625" style="107" customWidth="1"/>
    <col min="10315" max="10496" width="8.88671875" style="107"/>
    <col min="10497" max="10497" width="38.44140625" style="107" customWidth="1"/>
    <col min="10498" max="10498" width="12.88671875" style="107" customWidth="1"/>
    <col min="10499" max="10540" width="9.6640625" style="107" customWidth="1"/>
    <col min="10541" max="10541" width="12.6640625" style="107" customWidth="1"/>
    <col min="10542" max="10570" width="9.6640625" style="107" customWidth="1"/>
    <col min="10571" max="10752" width="8.88671875" style="107"/>
    <col min="10753" max="10753" width="38.44140625" style="107" customWidth="1"/>
    <col min="10754" max="10754" width="12.88671875" style="107" customWidth="1"/>
    <col min="10755" max="10796" width="9.6640625" style="107" customWidth="1"/>
    <col min="10797" max="10797" width="12.6640625" style="107" customWidth="1"/>
    <col min="10798" max="10826" width="9.6640625" style="107" customWidth="1"/>
    <col min="10827" max="11008" width="8.88671875" style="107"/>
    <col min="11009" max="11009" width="38.44140625" style="107" customWidth="1"/>
    <col min="11010" max="11010" width="12.88671875" style="107" customWidth="1"/>
    <col min="11011" max="11052" width="9.6640625" style="107" customWidth="1"/>
    <col min="11053" max="11053" width="12.6640625" style="107" customWidth="1"/>
    <col min="11054" max="11082" width="9.6640625" style="107" customWidth="1"/>
    <col min="11083" max="11264" width="8.88671875" style="107"/>
    <col min="11265" max="11265" width="38.44140625" style="107" customWidth="1"/>
    <col min="11266" max="11266" width="12.88671875" style="107" customWidth="1"/>
    <col min="11267" max="11308" width="9.6640625" style="107" customWidth="1"/>
    <col min="11309" max="11309" width="12.6640625" style="107" customWidth="1"/>
    <col min="11310" max="11338" width="9.6640625" style="107" customWidth="1"/>
    <col min="11339" max="11520" width="8.88671875" style="107"/>
    <col min="11521" max="11521" width="38.44140625" style="107" customWidth="1"/>
    <col min="11522" max="11522" width="12.88671875" style="107" customWidth="1"/>
    <col min="11523" max="11564" width="9.6640625" style="107" customWidth="1"/>
    <col min="11565" max="11565" width="12.6640625" style="107" customWidth="1"/>
    <col min="11566" max="11594" width="9.6640625" style="107" customWidth="1"/>
    <col min="11595" max="11776" width="8.88671875" style="107"/>
    <col min="11777" max="11777" width="38.44140625" style="107" customWidth="1"/>
    <col min="11778" max="11778" width="12.88671875" style="107" customWidth="1"/>
    <col min="11779" max="11820" width="9.6640625" style="107" customWidth="1"/>
    <col min="11821" max="11821" width="12.6640625" style="107" customWidth="1"/>
    <col min="11822" max="11850" width="9.6640625" style="107" customWidth="1"/>
    <col min="11851" max="12032" width="8.88671875" style="107"/>
    <col min="12033" max="12033" width="38.44140625" style="107" customWidth="1"/>
    <col min="12034" max="12034" width="12.88671875" style="107" customWidth="1"/>
    <col min="12035" max="12076" width="9.6640625" style="107" customWidth="1"/>
    <col min="12077" max="12077" width="12.6640625" style="107" customWidth="1"/>
    <col min="12078" max="12106" width="9.6640625" style="107" customWidth="1"/>
    <col min="12107" max="12288" width="8.88671875" style="107"/>
    <col min="12289" max="12289" width="38.44140625" style="107" customWidth="1"/>
    <col min="12290" max="12290" width="12.88671875" style="107" customWidth="1"/>
    <col min="12291" max="12332" width="9.6640625" style="107" customWidth="1"/>
    <col min="12333" max="12333" width="12.6640625" style="107" customWidth="1"/>
    <col min="12334" max="12362" width="9.6640625" style="107" customWidth="1"/>
    <col min="12363" max="12544" width="8.88671875" style="107"/>
    <col min="12545" max="12545" width="38.44140625" style="107" customWidth="1"/>
    <col min="12546" max="12546" width="12.88671875" style="107" customWidth="1"/>
    <col min="12547" max="12588" width="9.6640625" style="107" customWidth="1"/>
    <col min="12589" max="12589" width="12.6640625" style="107" customWidth="1"/>
    <col min="12590" max="12618" width="9.6640625" style="107" customWidth="1"/>
    <col min="12619" max="12800" width="8.88671875" style="107"/>
    <col min="12801" max="12801" width="38.44140625" style="107" customWidth="1"/>
    <col min="12802" max="12802" width="12.88671875" style="107" customWidth="1"/>
    <col min="12803" max="12844" width="9.6640625" style="107" customWidth="1"/>
    <col min="12845" max="12845" width="12.6640625" style="107" customWidth="1"/>
    <col min="12846" max="12874" width="9.6640625" style="107" customWidth="1"/>
    <col min="12875" max="13056" width="8.88671875" style="107"/>
    <col min="13057" max="13057" width="38.44140625" style="107" customWidth="1"/>
    <col min="13058" max="13058" width="12.88671875" style="107" customWidth="1"/>
    <col min="13059" max="13100" width="9.6640625" style="107" customWidth="1"/>
    <col min="13101" max="13101" width="12.6640625" style="107" customWidth="1"/>
    <col min="13102" max="13130" width="9.6640625" style="107" customWidth="1"/>
    <col min="13131" max="13312" width="8.88671875" style="107"/>
    <col min="13313" max="13313" width="38.44140625" style="107" customWidth="1"/>
    <col min="13314" max="13314" width="12.88671875" style="107" customWidth="1"/>
    <col min="13315" max="13356" width="9.6640625" style="107" customWidth="1"/>
    <col min="13357" max="13357" width="12.6640625" style="107" customWidth="1"/>
    <col min="13358" max="13386" width="9.6640625" style="107" customWidth="1"/>
    <col min="13387" max="13568" width="8.88671875" style="107"/>
    <col min="13569" max="13569" width="38.44140625" style="107" customWidth="1"/>
    <col min="13570" max="13570" width="12.88671875" style="107" customWidth="1"/>
    <col min="13571" max="13612" width="9.6640625" style="107" customWidth="1"/>
    <col min="13613" max="13613" width="12.6640625" style="107" customWidth="1"/>
    <col min="13614" max="13642" width="9.6640625" style="107" customWidth="1"/>
    <col min="13643" max="13824" width="8.88671875" style="107"/>
    <col min="13825" max="13825" width="38.44140625" style="107" customWidth="1"/>
    <col min="13826" max="13826" width="12.88671875" style="107" customWidth="1"/>
    <col min="13827" max="13868" width="9.6640625" style="107" customWidth="1"/>
    <col min="13869" max="13869" width="12.6640625" style="107" customWidth="1"/>
    <col min="13870" max="13898" width="9.6640625" style="107" customWidth="1"/>
    <col min="13899" max="14080" width="8.88671875" style="107"/>
    <col min="14081" max="14081" width="38.44140625" style="107" customWidth="1"/>
    <col min="14082" max="14082" width="12.88671875" style="107" customWidth="1"/>
    <col min="14083" max="14124" width="9.6640625" style="107" customWidth="1"/>
    <col min="14125" max="14125" width="12.6640625" style="107" customWidth="1"/>
    <col min="14126" max="14154" width="9.6640625" style="107" customWidth="1"/>
    <col min="14155" max="14336" width="8.88671875" style="107"/>
    <col min="14337" max="14337" width="38.44140625" style="107" customWidth="1"/>
    <col min="14338" max="14338" width="12.88671875" style="107" customWidth="1"/>
    <col min="14339" max="14380" width="9.6640625" style="107" customWidth="1"/>
    <col min="14381" max="14381" width="12.6640625" style="107" customWidth="1"/>
    <col min="14382" max="14410" width="9.6640625" style="107" customWidth="1"/>
    <col min="14411" max="14592" width="8.88671875" style="107"/>
    <col min="14593" max="14593" width="38.44140625" style="107" customWidth="1"/>
    <col min="14594" max="14594" width="12.88671875" style="107" customWidth="1"/>
    <col min="14595" max="14636" width="9.6640625" style="107" customWidth="1"/>
    <col min="14637" max="14637" width="12.6640625" style="107" customWidth="1"/>
    <col min="14638" max="14666" width="9.6640625" style="107" customWidth="1"/>
    <col min="14667" max="14848" width="8.88671875" style="107"/>
    <col min="14849" max="14849" width="38.44140625" style="107" customWidth="1"/>
    <col min="14850" max="14850" width="12.88671875" style="107" customWidth="1"/>
    <col min="14851" max="14892" width="9.6640625" style="107" customWidth="1"/>
    <col min="14893" max="14893" width="12.6640625" style="107" customWidth="1"/>
    <col min="14894" max="14922" width="9.6640625" style="107" customWidth="1"/>
    <col min="14923" max="15104" width="8.88671875" style="107"/>
    <col min="15105" max="15105" width="38.44140625" style="107" customWidth="1"/>
    <col min="15106" max="15106" width="12.88671875" style="107" customWidth="1"/>
    <col min="15107" max="15148" width="9.6640625" style="107" customWidth="1"/>
    <col min="15149" max="15149" width="12.6640625" style="107" customWidth="1"/>
    <col min="15150" max="15178" width="9.6640625" style="107" customWidth="1"/>
    <col min="15179" max="15360" width="8.88671875" style="107"/>
    <col min="15361" max="15361" width="38.44140625" style="107" customWidth="1"/>
    <col min="15362" max="15362" width="12.88671875" style="107" customWidth="1"/>
    <col min="15363" max="15404" width="9.6640625" style="107" customWidth="1"/>
    <col min="15405" max="15405" width="12.6640625" style="107" customWidth="1"/>
    <col min="15406" max="15434" width="9.6640625" style="107" customWidth="1"/>
    <col min="15435" max="15616" width="8.88671875" style="107"/>
    <col min="15617" max="15617" width="38.44140625" style="107" customWidth="1"/>
    <col min="15618" max="15618" width="12.88671875" style="107" customWidth="1"/>
    <col min="15619" max="15660" width="9.6640625" style="107" customWidth="1"/>
    <col min="15661" max="15661" width="12.6640625" style="107" customWidth="1"/>
    <col min="15662" max="15690" width="9.6640625" style="107" customWidth="1"/>
    <col min="15691" max="15872" width="8.88671875" style="107"/>
    <col min="15873" max="15873" width="38.44140625" style="107" customWidth="1"/>
    <col min="15874" max="15874" width="12.88671875" style="107" customWidth="1"/>
    <col min="15875" max="15916" width="9.6640625" style="107" customWidth="1"/>
    <col min="15917" max="15917" width="12.6640625" style="107" customWidth="1"/>
    <col min="15918" max="15946" width="9.6640625" style="107" customWidth="1"/>
    <col min="15947" max="16128" width="8.88671875" style="107"/>
    <col min="16129" max="16129" width="38.44140625" style="107" customWidth="1"/>
    <col min="16130" max="16130" width="12.88671875" style="107" customWidth="1"/>
    <col min="16131" max="16172" width="9.6640625" style="107" customWidth="1"/>
    <col min="16173" max="16173" width="12.6640625" style="107" customWidth="1"/>
    <col min="16174" max="16202" width="9.6640625" style="107" customWidth="1"/>
    <col min="16203" max="16384" width="8.88671875" style="107"/>
  </cols>
  <sheetData>
    <row r="1" spans="1:75" ht="17.399999999999999" x14ac:dyDescent="0.3">
      <c r="A1" s="164" t="s">
        <v>18</v>
      </c>
      <c r="B1" s="165"/>
    </row>
    <row r="2" spans="1:75" ht="15.6" x14ac:dyDescent="0.3">
      <c r="A2" s="166" t="s">
        <v>152</v>
      </c>
      <c r="B2" s="167"/>
    </row>
    <row r="3" spans="1:75" ht="14.4" thickBot="1" x14ac:dyDescent="0.3">
      <c r="A3" s="168" t="s">
        <v>19</v>
      </c>
      <c r="B3" s="169"/>
    </row>
    <row r="6" spans="1:75" x14ac:dyDescent="0.25">
      <c r="AO6" s="109" t="s">
        <v>20</v>
      </c>
      <c r="AP6" s="109" t="s">
        <v>20</v>
      </c>
      <c r="AQ6" s="109" t="s">
        <v>20</v>
      </c>
      <c r="AR6" s="109" t="s">
        <v>20</v>
      </c>
      <c r="AS6" s="110" t="s">
        <v>21</v>
      </c>
      <c r="AT6" s="111" t="s">
        <v>21</v>
      </c>
      <c r="AU6" s="111" t="s">
        <v>21</v>
      </c>
      <c r="AV6" s="110" t="s">
        <v>21</v>
      </c>
      <c r="AW6" s="112" t="s">
        <v>22</v>
      </c>
      <c r="AX6" s="113" t="s">
        <v>22</v>
      </c>
      <c r="AY6" s="113" t="s">
        <v>22</v>
      </c>
      <c r="AZ6" s="113" t="s">
        <v>22</v>
      </c>
      <c r="BA6" s="114" t="s">
        <v>23</v>
      </c>
      <c r="BB6" s="114" t="s">
        <v>23</v>
      </c>
      <c r="BC6" s="114" t="s">
        <v>23</v>
      </c>
      <c r="BD6" s="114" t="s">
        <v>23</v>
      </c>
      <c r="BE6" s="115" t="s">
        <v>24</v>
      </c>
      <c r="BF6" s="115" t="s">
        <v>24</v>
      </c>
      <c r="BG6" s="115" t="s">
        <v>24</v>
      </c>
      <c r="BH6" s="115" t="s">
        <v>24</v>
      </c>
      <c r="BI6" s="116" t="s">
        <v>25</v>
      </c>
      <c r="BJ6" s="116" t="s">
        <v>25</v>
      </c>
      <c r="BK6" s="116" t="s">
        <v>25</v>
      </c>
      <c r="BL6" s="116" t="s">
        <v>25</v>
      </c>
    </row>
    <row r="7" spans="1:75" s="108" customFormat="1" x14ac:dyDescent="0.25">
      <c r="B7" s="108" t="s">
        <v>26</v>
      </c>
      <c r="C7" s="117" t="s">
        <v>27</v>
      </c>
      <c r="D7" s="117" t="s">
        <v>28</v>
      </c>
      <c r="E7" s="117" t="s">
        <v>29</v>
      </c>
      <c r="F7" s="117" t="s">
        <v>30</v>
      </c>
      <c r="G7" s="117" t="s">
        <v>31</v>
      </c>
      <c r="H7" s="117" t="s">
        <v>32</v>
      </c>
      <c r="I7" s="117" t="s">
        <v>33</v>
      </c>
      <c r="J7" s="117" t="s">
        <v>34</v>
      </c>
      <c r="K7" s="117" t="s">
        <v>35</v>
      </c>
      <c r="L7" s="117" t="s">
        <v>36</v>
      </c>
      <c r="M7" s="117" t="s">
        <v>37</v>
      </c>
      <c r="N7" s="117" t="s">
        <v>38</v>
      </c>
      <c r="O7" s="117" t="s">
        <v>39</v>
      </c>
      <c r="P7" s="117" t="s">
        <v>40</v>
      </c>
      <c r="Q7" s="117" t="s">
        <v>41</v>
      </c>
      <c r="R7" s="117" t="s">
        <v>42</v>
      </c>
      <c r="S7" s="117" t="s">
        <v>43</v>
      </c>
      <c r="T7" s="117" t="s">
        <v>44</v>
      </c>
      <c r="U7" s="117" t="s">
        <v>45</v>
      </c>
      <c r="V7" s="117" t="s">
        <v>46</v>
      </c>
      <c r="W7" s="117" t="s">
        <v>47</v>
      </c>
      <c r="X7" s="117" t="s">
        <v>48</v>
      </c>
      <c r="Y7" s="117" t="s">
        <v>49</v>
      </c>
      <c r="Z7" s="117" t="s">
        <v>50</v>
      </c>
      <c r="AA7" s="117" t="s">
        <v>51</v>
      </c>
      <c r="AB7" s="117" t="s">
        <v>52</v>
      </c>
      <c r="AC7" s="117" t="s">
        <v>53</v>
      </c>
      <c r="AD7" s="117" t="s">
        <v>54</v>
      </c>
      <c r="AE7" s="117" t="s">
        <v>55</v>
      </c>
      <c r="AF7" s="117" t="s">
        <v>56</v>
      </c>
      <c r="AG7" s="117" t="s">
        <v>57</v>
      </c>
      <c r="AH7" s="117" t="s">
        <v>58</v>
      </c>
      <c r="AI7" s="117" t="s">
        <v>59</v>
      </c>
      <c r="AJ7" s="117" t="s">
        <v>60</v>
      </c>
      <c r="AK7" s="117" t="s">
        <v>61</v>
      </c>
      <c r="AL7" s="117" t="s">
        <v>62</v>
      </c>
      <c r="AM7" s="117" t="s">
        <v>63</v>
      </c>
      <c r="AN7" s="117" t="s">
        <v>64</v>
      </c>
      <c r="AO7" s="117" t="s">
        <v>65</v>
      </c>
      <c r="AP7" s="117" t="s">
        <v>66</v>
      </c>
      <c r="AQ7" s="117" t="s">
        <v>67</v>
      </c>
      <c r="AR7" s="117" t="s">
        <v>68</v>
      </c>
      <c r="AS7" s="117" t="s">
        <v>69</v>
      </c>
      <c r="AT7" s="117" t="s">
        <v>70</v>
      </c>
      <c r="AU7" s="108" t="s">
        <v>71</v>
      </c>
      <c r="AV7" s="108" t="s">
        <v>72</v>
      </c>
      <c r="AW7" s="108" t="s">
        <v>73</v>
      </c>
      <c r="AX7" s="108" t="s">
        <v>74</v>
      </c>
      <c r="AY7" s="108" t="s">
        <v>75</v>
      </c>
      <c r="AZ7" s="108" t="s">
        <v>76</v>
      </c>
      <c r="BA7" s="108" t="s">
        <v>77</v>
      </c>
      <c r="BB7" s="108" t="s">
        <v>78</v>
      </c>
      <c r="BC7" s="108" t="s">
        <v>79</v>
      </c>
      <c r="BD7" s="108" t="s">
        <v>80</v>
      </c>
      <c r="BE7" s="108" t="s">
        <v>81</v>
      </c>
      <c r="BF7" s="108" t="s">
        <v>82</v>
      </c>
      <c r="BG7" s="108" t="s">
        <v>83</v>
      </c>
      <c r="BH7" s="108" t="s">
        <v>84</v>
      </c>
      <c r="BI7" s="108" t="s">
        <v>85</v>
      </c>
      <c r="BJ7" s="108" t="s">
        <v>86</v>
      </c>
      <c r="BK7" s="108" t="s">
        <v>87</v>
      </c>
      <c r="BL7" s="108" t="s">
        <v>88</v>
      </c>
      <c r="BM7" s="108" t="s">
        <v>89</v>
      </c>
      <c r="BN7" s="108" t="s">
        <v>90</v>
      </c>
      <c r="BO7" s="108" t="s">
        <v>91</v>
      </c>
      <c r="BP7" s="108" t="s">
        <v>92</v>
      </c>
      <c r="BQ7" s="108" t="s">
        <v>93</v>
      </c>
      <c r="BR7" s="108" t="s">
        <v>94</v>
      </c>
      <c r="BS7" s="108" t="s">
        <v>95</v>
      </c>
      <c r="BT7" s="108" t="s">
        <v>96</v>
      </c>
      <c r="BU7" s="108" t="s">
        <v>97</v>
      </c>
      <c r="BV7" s="108" t="s">
        <v>98</v>
      </c>
      <c r="BW7" s="108" t="s">
        <v>99</v>
      </c>
    </row>
    <row r="8" spans="1:75" x14ac:dyDescent="0.25">
      <c r="A8" s="108" t="s">
        <v>100</v>
      </c>
      <c r="B8" s="108" t="s">
        <v>101</v>
      </c>
      <c r="C8" s="118">
        <v>2.036</v>
      </c>
      <c r="D8" s="118">
        <v>2.0609999999999999</v>
      </c>
      <c r="E8" s="118">
        <v>2.0659999999999998</v>
      </c>
      <c r="F8" s="118">
        <v>2.0880000000000001</v>
      </c>
      <c r="G8" s="118">
        <v>2.105</v>
      </c>
      <c r="H8" s="118">
        <v>2.1160000000000001</v>
      </c>
      <c r="I8" s="118">
        <v>2.15</v>
      </c>
      <c r="J8" s="118">
        <v>2.17</v>
      </c>
      <c r="K8" s="118">
        <v>2.1880000000000002</v>
      </c>
      <c r="L8" s="118">
        <v>2.2149999999999999</v>
      </c>
      <c r="M8" s="118">
        <v>2.2349999999999999</v>
      </c>
      <c r="N8" s="118">
        <v>2.222</v>
      </c>
      <c r="O8" s="118">
        <v>2.2349999999999999</v>
      </c>
      <c r="P8" s="118">
        <v>2.262</v>
      </c>
      <c r="Q8" s="118">
        <v>2.2749999999999999</v>
      </c>
      <c r="R8" s="118">
        <v>2.3029999999999999</v>
      </c>
      <c r="S8" s="118">
        <v>2.3220000000000001</v>
      </c>
      <c r="T8" s="118">
        <v>2.363</v>
      </c>
      <c r="U8" s="118">
        <v>2.403</v>
      </c>
      <c r="V8" s="118">
        <v>2.3519999999999999</v>
      </c>
      <c r="W8" s="118">
        <v>2.3460000000000001</v>
      </c>
      <c r="X8" s="118">
        <v>2.351</v>
      </c>
      <c r="Y8" s="118">
        <v>2.371</v>
      </c>
      <c r="Z8" s="118">
        <v>2.3849999999999998</v>
      </c>
      <c r="AA8" s="118">
        <v>2.3849999999999998</v>
      </c>
      <c r="AB8" s="118">
        <v>2.3860000000000001</v>
      </c>
      <c r="AC8" s="118">
        <v>2.4009999999999998</v>
      </c>
      <c r="AD8" s="118">
        <v>2.4239999999999999</v>
      </c>
      <c r="AE8" s="118">
        <v>2.4369999999999998</v>
      </c>
      <c r="AF8" s="118">
        <v>2.4809999999999999</v>
      </c>
      <c r="AG8" s="118">
        <v>2.492</v>
      </c>
      <c r="AH8" s="118">
        <v>2.4990000000000001</v>
      </c>
      <c r="AI8" s="118">
        <v>2.52</v>
      </c>
      <c r="AJ8" s="118">
        <v>2.524</v>
      </c>
      <c r="AK8" s="118">
        <v>2.5329999999999999</v>
      </c>
      <c r="AL8" s="118">
        <v>2.5499999999999998</v>
      </c>
      <c r="AM8" s="118">
        <v>2.5630000000000002</v>
      </c>
      <c r="AN8" s="118">
        <v>2.5590000000000002</v>
      </c>
      <c r="AO8" s="118">
        <v>2.5750000000000002</v>
      </c>
      <c r="AP8" s="118">
        <v>2.589</v>
      </c>
      <c r="AQ8" s="118">
        <v>2.6059999999999999</v>
      </c>
      <c r="AR8" s="118">
        <v>2.6139999999999999</v>
      </c>
      <c r="AS8" s="118">
        <v>2.6160000000000001</v>
      </c>
      <c r="AT8" s="118">
        <v>2.6190000000000002</v>
      </c>
      <c r="AU8" s="107">
        <v>2.6219999999999999</v>
      </c>
      <c r="AV8" s="107">
        <v>2.63</v>
      </c>
      <c r="AW8" s="107">
        <v>2.6240000000000001</v>
      </c>
      <c r="AX8" s="107">
        <v>2.6259999999999999</v>
      </c>
      <c r="AY8" s="107">
        <v>2.6240000000000001</v>
      </c>
      <c r="AZ8" s="107">
        <v>2.6269999999999998</v>
      </c>
      <c r="BA8" s="107">
        <v>2.6429999999999998</v>
      </c>
      <c r="BB8" s="107">
        <v>2.6669999999999998</v>
      </c>
      <c r="BC8" s="107">
        <v>2.6749999999999998</v>
      </c>
      <c r="BD8" s="107">
        <v>2.6920000000000002</v>
      </c>
      <c r="BE8" s="107">
        <v>2.7130000000000001</v>
      </c>
      <c r="BF8" s="107">
        <v>2.7250000000000001</v>
      </c>
      <c r="BG8" s="107">
        <v>2.7440000000000002</v>
      </c>
      <c r="BH8" s="107">
        <v>2.7639999999999998</v>
      </c>
      <c r="BI8" s="107">
        <v>2.7829999999999999</v>
      </c>
      <c r="BJ8" s="107">
        <v>2.802</v>
      </c>
      <c r="BK8" s="107">
        <v>2.82</v>
      </c>
      <c r="BL8" s="107">
        <v>2.8380000000000001</v>
      </c>
      <c r="BM8" s="107">
        <v>2.8559999999999999</v>
      </c>
      <c r="BN8" s="107">
        <v>2.875</v>
      </c>
      <c r="BO8" s="107">
        <v>2.8940000000000001</v>
      </c>
      <c r="BP8" s="107">
        <v>2.9129999999999998</v>
      </c>
      <c r="BQ8" s="107">
        <v>2.9329999999999998</v>
      </c>
      <c r="BR8" s="107">
        <v>2.9529999999999998</v>
      </c>
      <c r="BS8" s="107">
        <v>2.972</v>
      </c>
      <c r="BT8" s="107">
        <v>2.9929999999999999</v>
      </c>
      <c r="BU8" s="107">
        <v>3.0150000000000001</v>
      </c>
      <c r="BV8" s="107">
        <v>3.0339999999999998</v>
      </c>
    </row>
    <row r="9" spans="1:75" x14ac:dyDescent="0.25">
      <c r="A9" s="108" t="s">
        <v>102</v>
      </c>
      <c r="B9" s="108" t="s">
        <v>103</v>
      </c>
      <c r="C9" s="118">
        <v>2.036</v>
      </c>
      <c r="D9" s="118">
        <v>2.0609999999999999</v>
      </c>
      <c r="E9" s="118">
        <v>2.0659999999999998</v>
      </c>
      <c r="F9" s="118">
        <v>2.0880000000000001</v>
      </c>
      <c r="G9" s="118">
        <v>2.105</v>
      </c>
      <c r="H9" s="118">
        <v>2.1160000000000001</v>
      </c>
      <c r="I9" s="118">
        <v>2.15</v>
      </c>
      <c r="J9" s="118">
        <v>2.17</v>
      </c>
      <c r="K9" s="118">
        <v>2.1880000000000002</v>
      </c>
      <c r="L9" s="118">
        <v>2.2149999999999999</v>
      </c>
      <c r="M9" s="118">
        <v>2.2349999999999999</v>
      </c>
      <c r="N9" s="118">
        <v>2.222</v>
      </c>
      <c r="O9" s="118">
        <v>2.2349999999999999</v>
      </c>
      <c r="P9" s="118">
        <v>2.262</v>
      </c>
      <c r="Q9" s="118">
        <v>2.2749999999999999</v>
      </c>
      <c r="R9" s="118">
        <v>2.3029999999999999</v>
      </c>
      <c r="S9" s="118">
        <v>2.3220000000000001</v>
      </c>
      <c r="T9" s="118">
        <v>2.363</v>
      </c>
      <c r="U9" s="118">
        <v>2.403</v>
      </c>
      <c r="V9" s="118">
        <v>2.3519999999999999</v>
      </c>
      <c r="W9" s="118">
        <v>2.3460000000000001</v>
      </c>
      <c r="X9" s="118">
        <v>2.351</v>
      </c>
      <c r="Y9" s="118">
        <v>2.371</v>
      </c>
      <c r="Z9" s="118">
        <v>2.3849999999999998</v>
      </c>
      <c r="AA9" s="118">
        <v>2.3849999999999998</v>
      </c>
      <c r="AB9" s="118">
        <v>2.3860000000000001</v>
      </c>
      <c r="AC9" s="118">
        <v>2.4009999999999998</v>
      </c>
      <c r="AD9" s="118">
        <v>2.4239999999999999</v>
      </c>
      <c r="AE9" s="118">
        <v>2.4369999999999998</v>
      </c>
      <c r="AF9" s="118">
        <v>2.4809999999999999</v>
      </c>
      <c r="AG9" s="118">
        <v>2.492</v>
      </c>
      <c r="AH9" s="118">
        <v>2.4990000000000001</v>
      </c>
      <c r="AI9" s="118">
        <v>2.52</v>
      </c>
      <c r="AJ9" s="118">
        <v>2.524</v>
      </c>
      <c r="AK9" s="118">
        <v>2.5329999999999999</v>
      </c>
      <c r="AL9" s="118">
        <v>2.5499999999999998</v>
      </c>
      <c r="AM9" s="118">
        <v>2.5630000000000002</v>
      </c>
      <c r="AN9" s="118">
        <v>2.5590000000000002</v>
      </c>
      <c r="AO9" s="118">
        <v>2.5750000000000002</v>
      </c>
      <c r="AP9" s="118">
        <v>2.589</v>
      </c>
      <c r="AQ9" s="118">
        <v>2.6059999999999999</v>
      </c>
      <c r="AR9" s="118">
        <v>2.6139999999999999</v>
      </c>
      <c r="AS9" s="118">
        <v>2.6160000000000001</v>
      </c>
      <c r="AT9" s="118">
        <v>2.6190000000000002</v>
      </c>
      <c r="AU9" s="107">
        <v>2.6219999999999999</v>
      </c>
      <c r="AV9" s="107">
        <v>2.63</v>
      </c>
      <c r="AW9" s="107">
        <v>2.6240000000000001</v>
      </c>
      <c r="AX9" s="107">
        <v>2.6259999999999999</v>
      </c>
      <c r="AY9" s="107">
        <v>2.6240000000000001</v>
      </c>
      <c r="AZ9" s="107">
        <v>2.6230000000000002</v>
      </c>
      <c r="BA9" s="107">
        <v>2.6339999999999999</v>
      </c>
      <c r="BB9" s="107">
        <v>2.6520000000000001</v>
      </c>
      <c r="BC9" s="107">
        <v>2.6589999999999998</v>
      </c>
      <c r="BD9" s="107">
        <v>2.6709999999999998</v>
      </c>
      <c r="BE9" s="107">
        <v>2.6869999999999998</v>
      </c>
      <c r="BF9" s="107">
        <v>2.6960000000000002</v>
      </c>
      <c r="BG9" s="107">
        <v>2.7120000000000002</v>
      </c>
      <c r="BH9" s="107">
        <v>2.7269999999999999</v>
      </c>
      <c r="BI9" s="107">
        <v>2.7429999999999999</v>
      </c>
      <c r="BJ9" s="107">
        <v>2.7589999999999999</v>
      </c>
      <c r="BK9" s="107">
        <v>2.7759999999999998</v>
      </c>
      <c r="BL9" s="107">
        <v>2.7919999999999998</v>
      </c>
      <c r="BM9" s="107">
        <v>2.8090000000000002</v>
      </c>
      <c r="BN9" s="107">
        <v>2.827</v>
      </c>
      <c r="BO9" s="107">
        <v>2.8450000000000002</v>
      </c>
      <c r="BP9" s="107">
        <v>2.863</v>
      </c>
      <c r="BQ9" s="107">
        <v>2.8809999999999998</v>
      </c>
      <c r="BR9" s="107">
        <v>2.9</v>
      </c>
      <c r="BS9" s="107">
        <v>2.92</v>
      </c>
      <c r="BT9" s="107">
        <v>2.9390000000000001</v>
      </c>
      <c r="BU9" s="107">
        <v>2.96</v>
      </c>
      <c r="BV9" s="107">
        <v>2.9790000000000001</v>
      </c>
    </row>
    <row r="10" spans="1:75" x14ac:dyDescent="0.25">
      <c r="A10" s="108" t="s">
        <v>104</v>
      </c>
      <c r="B10" s="108" t="s">
        <v>105</v>
      </c>
      <c r="C10" s="118">
        <v>2.036</v>
      </c>
      <c r="D10" s="118">
        <v>2.0609999999999999</v>
      </c>
      <c r="E10" s="118">
        <v>2.0659999999999998</v>
      </c>
      <c r="F10" s="118">
        <v>2.0880000000000001</v>
      </c>
      <c r="G10" s="118">
        <v>2.105</v>
      </c>
      <c r="H10" s="118">
        <v>2.1160000000000001</v>
      </c>
      <c r="I10" s="118">
        <v>2.15</v>
      </c>
      <c r="J10" s="118">
        <v>2.17</v>
      </c>
      <c r="K10" s="118">
        <v>2.1880000000000002</v>
      </c>
      <c r="L10" s="118">
        <v>2.2149999999999999</v>
      </c>
      <c r="M10" s="118">
        <v>2.2349999999999999</v>
      </c>
      <c r="N10" s="118">
        <v>2.222</v>
      </c>
      <c r="O10" s="118">
        <v>2.2349999999999999</v>
      </c>
      <c r="P10" s="118">
        <v>2.262</v>
      </c>
      <c r="Q10" s="118">
        <v>2.2749999999999999</v>
      </c>
      <c r="R10" s="118">
        <v>2.3029999999999999</v>
      </c>
      <c r="S10" s="118">
        <v>2.3220000000000001</v>
      </c>
      <c r="T10" s="118">
        <v>2.363</v>
      </c>
      <c r="U10" s="118">
        <v>2.403</v>
      </c>
      <c r="V10" s="118">
        <v>2.3519999999999999</v>
      </c>
      <c r="W10" s="118">
        <v>2.3460000000000001</v>
      </c>
      <c r="X10" s="118">
        <v>2.351</v>
      </c>
      <c r="Y10" s="118">
        <v>2.371</v>
      </c>
      <c r="Z10" s="118">
        <v>2.3849999999999998</v>
      </c>
      <c r="AA10" s="118">
        <v>2.3849999999999998</v>
      </c>
      <c r="AB10" s="118">
        <v>2.3860000000000001</v>
      </c>
      <c r="AC10" s="118">
        <v>2.4009999999999998</v>
      </c>
      <c r="AD10" s="118">
        <v>2.4239999999999999</v>
      </c>
      <c r="AE10" s="118">
        <v>2.4369999999999998</v>
      </c>
      <c r="AF10" s="118">
        <v>2.4809999999999999</v>
      </c>
      <c r="AG10" s="118">
        <v>2.492</v>
      </c>
      <c r="AH10" s="118">
        <v>2.4990000000000001</v>
      </c>
      <c r="AI10" s="118">
        <v>2.52</v>
      </c>
      <c r="AJ10" s="118">
        <v>2.524</v>
      </c>
      <c r="AK10" s="118">
        <v>2.5329999999999999</v>
      </c>
      <c r="AL10" s="118">
        <v>2.5499999999999998</v>
      </c>
      <c r="AM10" s="118">
        <v>2.5630000000000002</v>
      </c>
      <c r="AN10" s="118">
        <v>2.5590000000000002</v>
      </c>
      <c r="AO10" s="118">
        <v>2.5750000000000002</v>
      </c>
      <c r="AP10" s="118">
        <v>2.589</v>
      </c>
      <c r="AQ10" s="118">
        <v>2.6059999999999999</v>
      </c>
      <c r="AR10" s="118">
        <v>2.6139999999999999</v>
      </c>
      <c r="AS10" s="118">
        <v>2.6160000000000001</v>
      </c>
      <c r="AT10" s="118">
        <v>2.6190000000000002</v>
      </c>
      <c r="AU10" s="107">
        <v>2.6219999999999999</v>
      </c>
      <c r="AV10" s="107">
        <v>2.63</v>
      </c>
      <c r="AW10" s="107">
        <v>2.6240000000000001</v>
      </c>
      <c r="AX10" s="107">
        <v>2.6259999999999999</v>
      </c>
      <c r="AY10" s="107">
        <v>2.6240000000000001</v>
      </c>
      <c r="AZ10" s="107">
        <v>2.629</v>
      </c>
      <c r="BA10" s="107">
        <v>2.6469999999999998</v>
      </c>
      <c r="BB10" s="107">
        <v>2.6749999999999998</v>
      </c>
      <c r="BC10" s="107">
        <v>2.6850000000000001</v>
      </c>
      <c r="BD10" s="107">
        <v>2.7069999999999999</v>
      </c>
      <c r="BE10" s="107">
        <v>2.734</v>
      </c>
      <c r="BF10" s="107">
        <v>2.75</v>
      </c>
      <c r="BG10" s="107">
        <v>2.774</v>
      </c>
      <c r="BH10" s="107">
        <v>2.8</v>
      </c>
      <c r="BI10" s="107">
        <v>2.8239999999999998</v>
      </c>
      <c r="BJ10" s="107">
        <v>2.8490000000000002</v>
      </c>
      <c r="BK10" s="107">
        <v>2.8730000000000002</v>
      </c>
      <c r="BL10" s="107">
        <v>2.8980000000000001</v>
      </c>
      <c r="BM10" s="107">
        <v>2.923</v>
      </c>
      <c r="BN10" s="107">
        <v>2.9489999999999998</v>
      </c>
      <c r="BO10" s="107">
        <v>2.9750000000000001</v>
      </c>
      <c r="BP10" s="107">
        <v>3.0030000000000001</v>
      </c>
      <c r="BQ10" s="107">
        <v>3.0310000000000001</v>
      </c>
      <c r="BR10" s="107">
        <v>3.0590000000000002</v>
      </c>
      <c r="BS10" s="107">
        <v>3.0880000000000001</v>
      </c>
      <c r="BT10" s="107">
        <v>3.1179999999999999</v>
      </c>
      <c r="BU10" s="107">
        <v>3.149</v>
      </c>
      <c r="BV10" s="107">
        <v>3.1779999999999999</v>
      </c>
    </row>
    <row r="12" spans="1:75" x14ac:dyDescent="0.25"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</row>
    <row r="13" spans="1:75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</row>
    <row r="14" spans="1:75" x14ac:dyDescent="0.25"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</row>
    <row r="15" spans="1:75" x14ac:dyDescent="0.25"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</row>
    <row r="16" spans="1:75" x14ac:dyDescent="0.25"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</row>
    <row r="17" spans="45:56" x14ac:dyDescent="0.25">
      <c r="AS17" s="2" t="s">
        <v>109</v>
      </c>
      <c r="AT17" s="3"/>
      <c r="AU17" s="3"/>
      <c r="AV17" s="4" t="s">
        <v>154</v>
      </c>
      <c r="AW17" s="5"/>
      <c r="AX17" s="5"/>
      <c r="AY17" s="5"/>
      <c r="AZ17" s="5"/>
      <c r="BA17" s="5"/>
      <c r="BB17" s="3"/>
      <c r="BC17" s="3"/>
      <c r="BD17" s="3"/>
    </row>
    <row r="18" spans="45:56" x14ac:dyDescent="0.25">
      <c r="AS18" s="6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8"/>
    </row>
    <row r="19" spans="45:56" x14ac:dyDescent="0.25">
      <c r="AS19" s="9"/>
      <c r="AT19" s="10" t="s">
        <v>106</v>
      </c>
      <c r="AU19" s="11" t="s">
        <v>22</v>
      </c>
      <c r="AV19" s="11"/>
      <c r="AW19" s="11"/>
      <c r="AX19" s="11"/>
      <c r="AY19" s="11"/>
      <c r="AZ19" s="11"/>
      <c r="BA19" s="11"/>
      <c r="BB19" s="11"/>
      <c r="BC19" s="11"/>
      <c r="BD19" s="12"/>
    </row>
    <row r="20" spans="45:56" x14ac:dyDescent="0.25">
      <c r="AS20" s="9"/>
      <c r="AT20" s="11"/>
      <c r="AU20" s="1" t="s">
        <v>73</v>
      </c>
      <c r="AV20" s="1" t="s">
        <v>74</v>
      </c>
      <c r="AW20" s="1" t="s">
        <v>75</v>
      </c>
      <c r="AX20" s="1" t="s">
        <v>76</v>
      </c>
      <c r="AY20" s="11"/>
      <c r="AZ20" s="11"/>
      <c r="BA20" s="11"/>
      <c r="BB20" s="11"/>
      <c r="BC20" s="11"/>
      <c r="BD20" s="13" t="s">
        <v>107</v>
      </c>
    </row>
    <row r="21" spans="45:56" x14ac:dyDescent="0.25">
      <c r="AS21" s="9"/>
      <c r="AT21" s="11"/>
      <c r="AU21" s="121">
        <f>AW9</f>
        <v>2.6240000000000001</v>
      </c>
      <c r="AV21" s="121">
        <f t="shared" ref="AV21:AX21" si="0">AX9</f>
        <v>2.6259999999999999</v>
      </c>
      <c r="AW21" s="121">
        <f t="shared" si="0"/>
        <v>2.6240000000000001</v>
      </c>
      <c r="AX21" s="121">
        <f t="shared" si="0"/>
        <v>2.6230000000000002</v>
      </c>
      <c r="AY21" s="11"/>
      <c r="AZ21" s="11"/>
      <c r="BA21" s="11"/>
      <c r="BB21" s="11"/>
      <c r="BC21" s="11"/>
      <c r="BD21" s="15">
        <f>AVERAGE(AU21:AX21)</f>
        <v>2.62425</v>
      </c>
    </row>
    <row r="22" spans="45:56" x14ac:dyDescent="0.25">
      <c r="AS22" s="9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4"/>
    </row>
    <row r="23" spans="45:56" x14ac:dyDescent="0.25">
      <c r="AS23" s="9"/>
      <c r="AT23" s="10" t="s">
        <v>108</v>
      </c>
      <c r="AU23" s="11" t="s">
        <v>114</v>
      </c>
      <c r="AV23" s="11"/>
      <c r="AW23" s="11"/>
      <c r="AX23" s="11"/>
      <c r="AY23" s="11"/>
      <c r="AZ23" s="11"/>
      <c r="BA23" s="11"/>
      <c r="BB23" s="11"/>
      <c r="BC23" s="11"/>
      <c r="BD23" s="14"/>
    </row>
    <row r="24" spans="45:56" x14ac:dyDescent="0.25">
      <c r="AS24" s="9"/>
      <c r="AT24" s="11"/>
      <c r="AU24" s="1" t="s">
        <v>79</v>
      </c>
      <c r="AV24" s="1" t="s">
        <v>80</v>
      </c>
      <c r="AW24" s="1" t="s">
        <v>81</v>
      </c>
      <c r="AX24" s="1" t="s">
        <v>82</v>
      </c>
      <c r="AY24" s="1" t="s">
        <v>83</v>
      </c>
      <c r="AZ24" s="1" t="s">
        <v>84</v>
      </c>
      <c r="BA24" s="1" t="s">
        <v>85</v>
      </c>
      <c r="BB24" s="1" t="s">
        <v>86</v>
      </c>
      <c r="BC24" s="11"/>
      <c r="BD24" s="14"/>
    </row>
    <row r="25" spans="45:56" ht="12.75" x14ac:dyDescent="0.2">
      <c r="AS25" s="9"/>
      <c r="AT25" s="11"/>
      <c r="AU25" s="121">
        <f>BC9</f>
        <v>2.6589999999999998</v>
      </c>
      <c r="AV25" s="121">
        <f t="shared" ref="AV25:BB25" si="1">BD9</f>
        <v>2.6709999999999998</v>
      </c>
      <c r="AW25" s="121">
        <f t="shared" si="1"/>
        <v>2.6869999999999998</v>
      </c>
      <c r="AX25" s="121">
        <f t="shared" si="1"/>
        <v>2.6960000000000002</v>
      </c>
      <c r="AY25" s="121">
        <f t="shared" si="1"/>
        <v>2.7120000000000002</v>
      </c>
      <c r="AZ25" s="121">
        <f t="shared" si="1"/>
        <v>2.7269999999999999</v>
      </c>
      <c r="BA25" s="121">
        <f t="shared" si="1"/>
        <v>2.7429999999999999</v>
      </c>
      <c r="BB25" s="121">
        <f t="shared" si="1"/>
        <v>2.7589999999999999</v>
      </c>
      <c r="BC25" s="11"/>
      <c r="BD25" s="15">
        <f>AVERAGE(AU25:BB25)</f>
        <v>2.7067499999999995</v>
      </c>
    </row>
    <row r="26" spans="45:56" ht="12.75" x14ac:dyDescent="0.2">
      <c r="AS26" s="9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4"/>
    </row>
    <row r="27" spans="45:56" ht="12.75" x14ac:dyDescent="0.2">
      <c r="AS27" s="9"/>
      <c r="AT27" s="11"/>
      <c r="AU27" s="11"/>
      <c r="AV27" s="11"/>
      <c r="AW27" s="11"/>
      <c r="AX27" s="11"/>
      <c r="AY27" s="11"/>
      <c r="AZ27" s="11"/>
      <c r="BA27" s="11"/>
      <c r="BB27" s="11"/>
      <c r="BC27" s="16" t="s">
        <v>16</v>
      </c>
      <c r="BD27" s="120">
        <f>(BD25-BD21)/BD21</f>
        <v>3.1437553586738907E-2</v>
      </c>
    </row>
    <row r="28" spans="45:56" x14ac:dyDescent="0.25">
      <c r="AS28" s="17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9"/>
    </row>
  </sheetData>
  <mergeCells count="3">
    <mergeCell ref="A1:B1"/>
    <mergeCell ref="A2:B2"/>
    <mergeCell ref="A3:B3"/>
  </mergeCells>
  <pageMargins left="0.25" right="0.25" top="1" bottom="1" header="0.5" footer="0.5"/>
  <pageSetup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workbookViewId="0">
      <selection activeCell="A27" sqref="A1:R27"/>
    </sheetView>
  </sheetViews>
  <sheetFormatPr defaultRowHeight="14.4" x14ac:dyDescent="0.3"/>
  <cols>
    <col min="1" max="1" width="19.33203125" customWidth="1"/>
    <col min="3" max="3" width="8.88671875" style="20"/>
    <col min="6" max="6" width="17.6640625" bestFit="1" customWidth="1"/>
    <col min="11" max="11" width="17.6640625" bestFit="1" customWidth="1"/>
    <col min="13" max="13" width="11.6640625" customWidth="1"/>
    <col min="14" max="14" width="6.44140625" customWidth="1"/>
    <col min="15" max="15" width="20.6640625" customWidth="1"/>
    <col min="16" max="16" width="10.44140625" customWidth="1"/>
    <col min="17" max="17" width="13.109375" customWidth="1"/>
    <col min="18" max="18" width="10" bestFit="1" customWidth="1"/>
  </cols>
  <sheetData>
    <row r="1" spans="1:18" x14ac:dyDescent="0.3">
      <c r="A1" s="170" t="s">
        <v>155</v>
      </c>
      <c r="B1" s="170"/>
      <c r="C1" s="170"/>
      <c r="F1" s="170" t="s">
        <v>156</v>
      </c>
      <c r="G1" s="170"/>
      <c r="H1" s="170"/>
      <c r="I1" s="27"/>
      <c r="K1" s="170" t="s">
        <v>157</v>
      </c>
      <c r="L1" s="170"/>
      <c r="M1" s="170"/>
    </row>
    <row r="2" spans="1:18" x14ac:dyDescent="0.3">
      <c r="B2" t="s">
        <v>0</v>
      </c>
      <c r="C2" s="20" t="s">
        <v>121</v>
      </c>
      <c r="G2" t="s">
        <v>0</v>
      </c>
      <c r="H2" s="20" t="s">
        <v>121</v>
      </c>
      <c r="I2" s="20"/>
      <c r="L2" t="s">
        <v>0</v>
      </c>
      <c r="M2" s="20" t="s">
        <v>121</v>
      </c>
      <c r="P2" t="s">
        <v>132</v>
      </c>
      <c r="Q2" t="s">
        <v>133</v>
      </c>
      <c r="R2" t="s">
        <v>134</v>
      </c>
    </row>
    <row r="3" spans="1:18" x14ac:dyDescent="0.3">
      <c r="A3" t="s">
        <v>116</v>
      </c>
      <c r="B3">
        <v>0.25</v>
      </c>
      <c r="C3" s="20">
        <v>13303</v>
      </c>
      <c r="F3" t="s">
        <v>116</v>
      </c>
      <c r="G3">
        <v>0.63</v>
      </c>
      <c r="H3" s="20">
        <v>30026</v>
      </c>
      <c r="I3" s="20"/>
      <c r="K3" t="s">
        <v>116</v>
      </c>
      <c r="L3">
        <v>1</v>
      </c>
      <c r="M3" s="20">
        <v>44880</v>
      </c>
      <c r="O3" t="s">
        <v>135</v>
      </c>
      <c r="P3">
        <f>B3+G3+L3+B4+G4+L4</f>
        <v>2.4099999999999997</v>
      </c>
      <c r="Q3" s="20">
        <f>C3+H3+M3+C4+H4+M4</f>
        <v>132976</v>
      </c>
      <c r="R3" s="20">
        <f>Q3/P3</f>
        <v>55176.763485477182</v>
      </c>
    </row>
    <row r="4" spans="1:18" x14ac:dyDescent="0.3">
      <c r="A4" t="s">
        <v>117</v>
      </c>
      <c r="B4">
        <v>0.01</v>
      </c>
      <c r="C4" s="20">
        <v>1930</v>
      </c>
      <c r="F4" t="s">
        <v>117</v>
      </c>
      <c r="G4">
        <v>0.45</v>
      </c>
      <c r="H4" s="20">
        <v>34117</v>
      </c>
      <c r="I4" s="20"/>
      <c r="K4" t="s">
        <v>117</v>
      </c>
      <c r="L4">
        <v>7.0000000000000007E-2</v>
      </c>
      <c r="M4" s="20">
        <v>8720</v>
      </c>
      <c r="O4" t="s">
        <v>140</v>
      </c>
      <c r="P4">
        <f>B5+B6+B7+G5+L7</f>
        <v>4.68</v>
      </c>
      <c r="Q4" s="20">
        <f>C5+C6+C7+H5+M7</f>
        <v>171688</v>
      </c>
      <c r="R4" s="20">
        <f t="shared" ref="R4:R5" si="0">Q4/P4</f>
        <v>36685.470085470086</v>
      </c>
    </row>
    <row r="5" spans="1:18" ht="15" thickBot="1" x14ac:dyDescent="0.35">
      <c r="A5" t="s">
        <v>119</v>
      </c>
      <c r="B5">
        <v>0.05</v>
      </c>
      <c r="C5" s="20">
        <v>5850</v>
      </c>
      <c r="F5" t="s">
        <v>130</v>
      </c>
      <c r="G5">
        <v>1.78</v>
      </c>
      <c r="H5" s="20">
        <v>42618</v>
      </c>
      <c r="I5" s="20"/>
      <c r="K5" t="s">
        <v>119</v>
      </c>
      <c r="L5" s="22" t="s">
        <v>131</v>
      </c>
      <c r="M5" s="22" t="s">
        <v>131</v>
      </c>
      <c r="O5" t="s">
        <v>111</v>
      </c>
      <c r="P5" s="26">
        <f>B8+G8</f>
        <v>0.51</v>
      </c>
      <c r="Q5" s="20">
        <f>C8+H8</f>
        <v>12670</v>
      </c>
      <c r="R5" s="20">
        <f t="shared" si="0"/>
        <v>24843.137254901962</v>
      </c>
    </row>
    <row r="6" spans="1:18" ht="15" thickTop="1" x14ac:dyDescent="0.3">
      <c r="A6" t="s">
        <v>110</v>
      </c>
      <c r="B6">
        <v>1.07</v>
      </c>
      <c r="C6" s="20">
        <v>56682</v>
      </c>
      <c r="F6" t="s">
        <v>110</v>
      </c>
      <c r="G6" s="22" t="s">
        <v>131</v>
      </c>
      <c r="H6" s="22" t="s">
        <v>131</v>
      </c>
      <c r="I6" s="22"/>
      <c r="K6" t="s">
        <v>110</v>
      </c>
      <c r="L6" s="22" t="s">
        <v>131</v>
      </c>
      <c r="M6" s="22" t="s">
        <v>131</v>
      </c>
      <c r="P6">
        <f>SUM(P3:P5)</f>
        <v>7.6</v>
      </c>
    </row>
    <row r="7" spans="1:18" x14ac:dyDescent="0.3">
      <c r="A7" t="s">
        <v>118</v>
      </c>
      <c r="B7">
        <v>0.03</v>
      </c>
      <c r="C7" s="20">
        <v>10540</v>
      </c>
      <c r="F7" t="s">
        <v>118</v>
      </c>
      <c r="G7" s="22" t="s">
        <v>131</v>
      </c>
      <c r="H7" s="22" t="s">
        <v>131</v>
      </c>
      <c r="I7" s="22"/>
      <c r="K7" t="s">
        <v>118</v>
      </c>
      <c r="L7">
        <v>1.75</v>
      </c>
      <c r="M7" s="20">
        <v>55998</v>
      </c>
    </row>
    <row r="8" spans="1:18" ht="15" thickBot="1" x14ac:dyDescent="0.35">
      <c r="A8" t="s">
        <v>111</v>
      </c>
      <c r="B8" s="26">
        <v>0.05</v>
      </c>
      <c r="C8" s="23">
        <v>1442</v>
      </c>
      <c r="F8" t="s">
        <v>111</v>
      </c>
      <c r="G8" s="26">
        <v>0.46</v>
      </c>
      <c r="H8" s="23">
        <v>11228</v>
      </c>
      <c r="I8" s="21"/>
      <c r="K8" t="s">
        <v>111</v>
      </c>
      <c r="L8" s="25" t="s">
        <v>131</v>
      </c>
      <c r="M8" s="25" t="s">
        <v>131</v>
      </c>
      <c r="O8" t="s">
        <v>11</v>
      </c>
      <c r="Q8" s="28">
        <f>30063+21220+33147</f>
        <v>84430</v>
      </c>
      <c r="R8" s="24">
        <f>Q8/SUM(M9+H9+C9)</f>
        <v>0.26606036541940037</v>
      </c>
    </row>
    <row r="9" spans="1:18" ht="15" thickTop="1" x14ac:dyDescent="0.3">
      <c r="B9">
        <f>SUM(B3:B8)</f>
        <v>1.4600000000000002</v>
      </c>
      <c r="C9" s="20">
        <f>SUM(C3:C8)</f>
        <v>89747</v>
      </c>
      <c r="D9">
        <v>1.5</v>
      </c>
      <c r="G9">
        <f>SUM(G3:G8)</f>
        <v>3.3200000000000003</v>
      </c>
      <c r="H9" s="20">
        <f>SUM(H3:H8)</f>
        <v>117989</v>
      </c>
      <c r="I9" s="101">
        <v>3.5</v>
      </c>
      <c r="L9">
        <f>SUM(L3:L8)</f>
        <v>2.8200000000000003</v>
      </c>
      <c r="M9" s="20">
        <f>SUM(M3:M8)</f>
        <v>109598</v>
      </c>
      <c r="N9">
        <v>5</v>
      </c>
    </row>
    <row r="10" spans="1:18" x14ac:dyDescent="0.3">
      <c r="H10" s="20"/>
      <c r="I10" s="20"/>
      <c r="M10" s="20"/>
    </row>
    <row r="11" spans="1:18" ht="15" thickBot="1" x14ac:dyDescent="0.35">
      <c r="A11" t="s">
        <v>11</v>
      </c>
      <c r="B11" s="24">
        <f>C11/C9</f>
        <v>0.33497498523627528</v>
      </c>
      <c r="C11" s="23">
        <f>10767+19296</f>
        <v>30063</v>
      </c>
      <c r="F11" t="s">
        <v>11</v>
      </c>
      <c r="G11" s="24">
        <f>H11/H9</f>
        <v>0.17984727389841426</v>
      </c>
      <c r="H11" s="23">
        <f>11799+9421</f>
        <v>21220</v>
      </c>
      <c r="I11" s="21"/>
      <c r="K11" t="s">
        <v>11</v>
      </c>
      <c r="L11" s="24">
        <f>M11/M9</f>
        <v>0.3024416503950802</v>
      </c>
      <c r="M11" s="23">
        <f>17255+15892</f>
        <v>33147</v>
      </c>
    </row>
    <row r="12" spans="1:18" ht="15" thickTop="1" x14ac:dyDescent="0.3">
      <c r="C12" s="20">
        <f>C9+C11</f>
        <v>119810</v>
      </c>
      <c r="H12" s="20">
        <f>H9+H11</f>
        <v>139209</v>
      </c>
      <c r="I12" s="20"/>
      <c r="M12" s="20">
        <f>M9+M11</f>
        <v>142745</v>
      </c>
    </row>
    <row r="13" spans="1:18" x14ac:dyDescent="0.3">
      <c r="H13" s="20"/>
      <c r="I13" s="20"/>
      <c r="M13" s="20"/>
      <c r="Q13" s="30" t="s">
        <v>136</v>
      </c>
    </row>
    <row r="14" spans="1:18" x14ac:dyDescent="0.3">
      <c r="A14" t="s">
        <v>2</v>
      </c>
      <c r="C14" s="20">
        <v>12568</v>
      </c>
      <c r="D14">
        <f>C14/B9</f>
        <v>8608.2191780821904</v>
      </c>
      <c r="F14" t="s">
        <v>2</v>
      </c>
      <c r="H14" s="20">
        <v>5531</v>
      </c>
      <c r="I14" s="20"/>
      <c r="K14" t="s">
        <v>2</v>
      </c>
      <c r="M14" s="20">
        <v>9000</v>
      </c>
      <c r="O14" t="s">
        <v>2</v>
      </c>
      <c r="Q14" s="20">
        <f>(M14+H14+C14)/$P$6</f>
        <v>3565.6578947368421</v>
      </c>
    </row>
    <row r="15" spans="1:18" x14ac:dyDescent="0.3">
      <c r="A15" t="s">
        <v>122</v>
      </c>
      <c r="C15" s="20">
        <v>400</v>
      </c>
      <c r="F15" t="s">
        <v>122</v>
      </c>
      <c r="H15" s="20">
        <v>200</v>
      </c>
      <c r="I15" s="20"/>
      <c r="K15" t="s">
        <v>122</v>
      </c>
      <c r="M15" s="20">
        <v>5500</v>
      </c>
      <c r="O15" t="s">
        <v>122</v>
      </c>
      <c r="Q15" s="20">
        <f t="shared" ref="Q15:Q17" si="1">(M15+H15+C15)/$P$6</f>
        <v>802.63157894736844</v>
      </c>
    </row>
    <row r="16" spans="1:18" x14ac:dyDescent="0.3">
      <c r="A16" t="s">
        <v>112</v>
      </c>
      <c r="C16" s="20">
        <v>497</v>
      </c>
      <c r="F16" t="s">
        <v>112</v>
      </c>
      <c r="H16" s="20">
        <v>300</v>
      </c>
      <c r="I16" s="20"/>
      <c r="K16" t="s">
        <v>112</v>
      </c>
      <c r="M16" s="20">
        <v>8600</v>
      </c>
      <c r="O16" t="s">
        <v>112</v>
      </c>
      <c r="Q16" s="122">
        <f t="shared" si="1"/>
        <v>1236.4473684210527</v>
      </c>
    </row>
    <row r="17" spans="1:18" x14ac:dyDescent="0.3">
      <c r="A17" t="s">
        <v>123</v>
      </c>
      <c r="C17" s="20">
        <v>35263</v>
      </c>
      <c r="F17" t="s">
        <v>123</v>
      </c>
      <c r="H17" s="20">
        <v>156182</v>
      </c>
      <c r="I17" s="20"/>
      <c r="K17" t="s">
        <v>123</v>
      </c>
      <c r="M17" s="20">
        <v>149533</v>
      </c>
      <c r="O17" s="123" t="s">
        <v>123</v>
      </c>
      <c r="P17" s="123"/>
      <c r="Q17" s="124">
        <f t="shared" si="1"/>
        <v>44865.526315789473</v>
      </c>
    </row>
    <row r="18" spans="1:18" x14ac:dyDescent="0.3">
      <c r="A18" t="s">
        <v>124</v>
      </c>
      <c r="C18" s="20">
        <v>550</v>
      </c>
      <c r="F18" t="s">
        <v>129</v>
      </c>
      <c r="H18" s="20">
        <v>1820</v>
      </c>
      <c r="I18" s="20"/>
      <c r="K18" t="s">
        <v>129</v>
      </c>
      <c r="M18" s="20">
        <v>82120</v>
      </c>
      <c r="O18" s="123" t="s">
        <v>129</v>
      </c>
      <c r="P18" s="123"/>
      <c r="Q18" s="124">
        <f>(M18+H18)/$P$6</f>
        <v>11044.736842105263</v>
      </c>
    </row>
    <row r="19" spans="1:18" x14ac:dyDescent="0.3">
      <c r="A19" t="s">
        <v>125</v>
      </c>
      <c r="C19" s="20">
        <v>7315</v>
      </c>
      <c r="F19" t="s">
        <v>124</v>
      </c>
      <c r="H19" s="20">
        <v>550</v>
      </c>
      <c r="I19" s="20"/>
      <c r="K19" t="s">
        <v>125</v>
      </c>
      <c r="M19" s="20"/>
      <c r="O19" s="123" t="s">
        <v>124</v>
      </c>
      <c r="P19" s="123"/>
      <c r="Q19" s="125">
        <f>(C18+H19)/P6</f>
        <v>144.73684210526318</v>
      </c>
    </row>
    <row r="20" spans="1:18" x14ac:dyDescent="0.3">
      <c r="A20" t="s">
        <v>126</v>
      </c>
      <c r="C20" s="20">
        <v>2400</v>
      </c>
      <c r="F20" t="s">
        <v>126</v>
      </c>
      <c r="H20" s="20"/>
      <c r="I20" s="20"/>
      <c r="K20" t="s">
        <v>126</v>
      </c>
      <c r="M20" s="20"/>
      <c r="O20" t="s">
        <v>125</v>
      </c>
      <c r="Q20" s="122">
        <f>C19/P6</f>
        <v>962.5</v>
      </c>
    </row>
    <row r="21" spans="1:18" x14ac:dyDescent="0.3">
      <c r="A21" t="s">
        <v>128</v>
      </c>
      <c r="C21" s="21">
        <v>3193</v>
      </c>
      <c r="F21" t="s">
        <v>128</v>
      </c>
      <c r="H21" s="21">
        <v>20565</v>
      </c>
      <c r="I21" s="21"/>
      <c r="K21" t="s">
        <v>128</v>
      </c>
      <c r="M21" s="21">
        <v>600</v>
      </c>
      <c r="O21" t="s">
        <v>126</v>
      </c>
      <c r="Q21" s="20">
        <f>C20/P6</f>
        <v>315.78947368421052</v>
      </c>
    </row>
    <row r="22" spans="1:18" ht="15.75" thickBot="1" x14ac:dyDescent="0.3">
      <c r="A22" t="s">
        <v>127</v>
      </c>
      <c r="C22" s="23">
        <v>3797</v>
      </c>
      <c r="F22" t="s">
        <v>127</v>
      </c>
      <c r="H22" s="23">
        <v>5010</v>
      </c>
      <c r="I22" s="21"/>
      <c r="K22" t="s">
        <v>127</v>
      </c>
      <c r="M22" s="23">
        <v>1088</v>
      </c>
      <c r="O22" t="s">
        <v>128</v>
      </c>
      <c r="Q22" s="20">
        <f>(M21+H21+C21)/P6</f>
        <v>3205</v>
      </c>
    </row>
    <row r="23" spans="1:18" ht="15.75" thickTop="1" x14ac:dyDescent="0.25">
      <c r="C23" s="20">
        <f>SUM(C14:C22)</f>
        <v>65983</v>
      </c>
      <c r="H23" s="20">
        <f>SUM(H14:H22)</f>
        <v>190158</v>
      </c>
      <c r="I23" s="20"/>
      <c r="M23" s="20">
        <f>SUM(M14:M22)</f>
        <v>256441</v>
      </c>
      <c r="O23" t="s">
        <v>127</v>
      </c>
      <c r="Q23" s="20">
        <f>(M22+H22+C22)/P6</f>
        <v>1301.9736842105265</v>
      </c>
    </row>
    <row r="24" spans="1:18" x14ac:dyDescent="0.3">
      <c r="H24" s="20"/>
      <c r="I24" s="20"/>
      <c r="M24" s="20"/>
    </row>
    <row r="25" spans="1:18" x14ac:dyDescent="0.3">
      <c r="C25" s="20">
        <f>C12+C23</f>
        <v>185793</v>
      </c>
      <c r="H25" s="20">
        <f>H12+H23</f>
        <v>329367</v>
      </c>
      <c r="I25" s="20"/>
      <c r="M25" s="20">
        <f>M12+M23</f>
        <v>399186</v>
      </c>
    </row>
    <row r="26" spans="1:18" ht="15" thickBot="1" x14ac:dyDescent="0.35">
      <c r="A26" t="s">
        <v>3</v>
      </c>
      <c r="B26" s="24">
        <f>C26/C25</f>
        <v>8.9998008536381888E-2</v>
      </c>
      <c r="C26" s="23">
        <v>16721</v>
      </c>
      <c r="F26" t="s">
        <v>3</v>
      </c>
      <c r="G26" s="24">
        <f>H26/H25</f>
        <v>7.2350903399551261E-2</v>
      </c>
      <c r="H26" s="23">
        <v>23830</v>
      </c>
      <c r="I26" s="21"/>
      <c r="K26" t="s">
        <v>3</v>
      </c>
      <c r="L26" s="24">
        <f>M26/M25</f>
        <v>0.12999704398450848</v>
      </c>
      <c r="M26" s="23">
        <v>51893</v>
      </c>
      <c r="O26" t="s">
        <v>3</v>
      </c>
      <c r="Q26" s="29">
        <f>M26+H26+C26</f>
        <v>92444</v>
      </c>
      <c r="R26" s="24">
        <f>Q26/(M25+H25+C25)</f>
        <v>0.10110395845773919</v>
      </c>
    </row>
    <row r="27" spans="1:18" ht="15" thickTop="1" x14ac:dyDescent="0.3">
      <c r="C27" s="20">
        <f>SUM(C25:C26)</f>
        <v>202514</v>
      </c>
      <c r="H27" s="20">
        <f>SUM(H25:H26)</f>
        <v>353197</v>
      </c>
      <c r="I27" s="20"/>
      <c r="M27" s="20">
        <f>SUM(M25:M26)</f>
        <v>451079</v>
      </c>
    </row>
  </sheetData>
  <mergeCells count="3">
    <mergeCell ref="A1:C1"/>
    <mergeCell ref="K1:M1"/>
    <mergeCell ref="F1:H1"/>
  </mergeCells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ALP - models</vt:lpstr>
      <vt:lpstr>CAF Spring 2018</vt:lpstr>
      <vt:lpstr>CAF Sp 2016</vt:lpstr>
      <vt:lpstr> Contract Data</vt:lpstr>
      <vt:lpstr>' Contract Data'!Print_Area</vt:lpstr>
      <vt:lpstr>'ALP - models'!Print_Area</vt:lpstr>
      <vt:lpstr>'CAF Sp 2016'!Print_Area</vt:lpstr>
      <vt:lpstr>'CAF Spring 2018'!Print_Area</vt:lpstr>
      <vt:lpstr>'CAF Sp 2016'!Print_Titles</vt:lpstr>
      <vt:lpstr>'CAF Spring 2018'!Print_Titles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Chapter 257 - DCF Alternative to Lock-up Program Model</dc:title>
  <dc:creator>EHS</dc:creator>
  <cp:lastModifiedBy>AutoBVT</cp:lastModifiedBy>
  <cp:lastPrinted>2016-12-16T16:04:14Z</cp:lastPrinted>
  <dcterms:created xsi:type="dcterms:W3CDTF">2015-08-14T13:02:59Z</dcterms:created>
  <dcterms:modified xsi:type="dcterms:W3CDTF">2018-08-03T16:57:59Z</dcterms:modified>
</cp:coreProperties>
</file>