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585"/>
  </bookViews>
  <sheets>
    <sheet name="MasterData" sheetId="1" r:id="rId1"/>
    <sheet name="Model Calculator" sheetId="2" r:id="rId2"/>
    <sheet name="Vehicle Add-Ons" sheetId="3" r:id="rId3"/>
    <sheet name="Add-Ons old" sheetId="5" state="hidden" r:id="rId4"/>
    <sheet name="Rate Table" sheetId="6" r:id="rId5"/>
    <sheet name="ALTR Add on Rates 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sdfasdf" localSheetId="5">#REF!</definedName>
    <definedName name="asdfasdf">#REF!</definedName>
    <definedName name="Average" localSheetId="5">#REF!</definedName>
    <definedName name="Average">#REF!</definedName>
    <definedName name="CAF_NEW">[1]RawDataCalcs!$L$70:$DB$70</definedName>
    <definedName name="Cap">[2]RawDataCalcs!$L$70:$DB$70</definedName>
    <definedName name="Data" localSheetId="5">#REF!</definedName>
    <definedName name="Data">#REF!</definedName>
    <definedName name="Floor">[2]RawDataCalcs!$L$69:$DB$69</definedName>
    <definedName name="Funds">'[3]RawDataCalcs3386&amp;3401'!$L$68:$DB$68</definedName>
    <definedName name="gk" localSheetId="5">#REF!</definedName>
    <definedName name="gk">#REF!</definedName>
    <definedName name="hhh" localSheetId="5">#REF!</definedName>
    <definedName name="hhh">#REF!</definedName>
    <definedName name="JailDAverage" localSheetId="5">#REF!</definedName>
    <definedName name="JailDAverage">#REF!</definedName>
    <definedName name="JailDCap">[4]ALLRawDataCalcs!$L$80:$DB$80</definedName>
    <definedName name="JailDFloor">[4]ALLRawDataCalcs!$L$79:$DB$79</definedName>
    <definedName name="JailDgk" localSheetId="5">#REF!</definedName>
    <definedName name="JailDgk">#REF!</definedName>
    <definedName name="JailDMax" localSheetId="5">#REF!</definedName>
    <definedName name="JailDMax">#REF!</definedName>
    <definedName name="JailDMedian" localSheetId="5">#REF!</definedName>
    <definedName name="JailDMedian">#REF!</definedName>
    <definedName name="kls" localSheetId="5">#REF!</definedName>
    <definedName name="kls">#REF!</definedName>
    <definedName name="ListProviders">'[5]List of Programs'!$A$24:$A$29</definedName>
    <definedName name="Max" localSheetId="5">#REF!</definedName>
    <definedName name="Max">#REF!</definedName>
    <definedName name="Median" localSheetId="5">#REF!</definedName>
    <definedName name="Median">#REF!</definedName>
    <definedName name="Min" localSheetId="5">#REF!</definedName>
    <definedName name="Min">#REF!</definedName>
    <definedName name="MT" localSheetId="5">#REF!</definedName>
    <definedName name="MT">#REF!</definedName>
    <definedName name="new" localSheetId="5">#REF!</definedName>
    <definedName name="new">#REF!</definedName>
    <definedName name="ok" localSheetId="5">#REF!</definedName>
    <definedName name="ok">#REF!</definedName>
    <definedName name="_xlnm.Print_Area" localSheetId="5">'ALTR Add on Rates '!$A$3:$K$23</definedName>
    <definedName name="_xlnm.Print_Area" localSheetId="0">MasterData!$B$2:$N$37</definedName>
    <definedName name="_xlnm.Print_Area" localSheetId="1">'Model Calculator'!$A$1:$AK$311</definedName>
    <definedName name="_xlnm.Print_Area" localSheetId="4">'Rate Table'!$C$2:$O$29</definedName>
    <definedName name="_xlnm.Print_Area" localSheetId="2">'Vehicle Add-Ons'!$A$1:$M$68</definedName>
    <definedName name="Program_File" localSheetId="5">#REF!</definedName>
    <definedName name="Program_File">#REF!</definedName>
    <definedName name="Programs">'[5]List of Programs'!$B$3:$B$19</definedName>
    <definedName name="ProvFTE">'[6]FTE Data'!$A$3:$AW$56</definedName>
    <definedName name="PurchasedBy">'[6]FTE Data'!$C$263:$AZ$657</definedName>
    <definedName name="resmay2007" localSheetId="5">#REF!</definedName>
    <definedName name="resmay2007">#REF!</definedName>
    <definedName name="Site_list">[6]Lists!$A$2:$A$53</definedName>
    <definedName name="Source" localSheetId="5">#REF!</definedName>
    <definedName name="Source">#REF!</definedName>
    <definedName name="Source_2" localSheetId="5">#REF!</definedName>
    <definedName name="Source_2">#REF!</definedName>
    <definedName name="SourcePathAndFileName" localSheetId="5">#REF!</definedName>
    <definedName name="SourcePathAndFileName">#REF!</definedName>
    <definedName name="Total_UFR" localSheetId="5">#REF!</definedName>
    <definedName name="Total_UFR">#REF!</definedName>
    <definedName name="Total_UFRs" localSheetId="5">#REF!</definedName>
    <definedName name="Total_UFRs">#REF!</definedName>
    <definedName name="Total_UFRs_" localSheetId="5">#REF!</definedName>
    <definedName name="Total_UFRs_">#REF!</definedName>
    <definedName name="UFR" localSheetId="5">'[7]Complete UFR List'!#REF!</definedName>
    <definedName name="UFR">'[7]Complete UFR List'!#REF!</definedName>
    <definedName name="UFRS" localSheetId="5">'[7]Complete UFR List'!#REF!</definedName>
    <definedName name="UFRS">'[7]Complete UFR List'!#REF!</definedName>
  </definedNames>
  <calcPr calcId="145621"/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AF2" i="2" l="1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E4" i="1"/>
  <c r="J12" i="7" l="1"/>
  <c r="G6" i="7"/>
  <c r="J21" i="7" l="1"/>
  <c r="D21" i="7"/>
  <c r="J20" i="7"/>
  <c r="D20" i="7"/>
  <c r="D22" i="7" s="1"/>
  <c r="D23" i="7" s="1"/>
  <c r="I10" i="7"/>
  <c r="H10" i="7"/>
  <c r="C10" i="7"/>
  <c r="I8" i="7"/>
  <c r="I9" i="7" s="1"/>
  <c r="H8" i="7"/>
  <c r="H9" i="7" s="1"/>
  <c r="C8" i="7"/>
  <c r="C9" i="7" s="1"/>
  <c r="G10" i="7"/>
  <c r="F10" i="7"/>
  <c r="E8" i="7"/>
  <c r="E9" i="7" s="1"/>
  <c r="D6" i="7"/>
  <c r="D10" i="7" s="1"/>
  <c r="B8" i="7"/>
  <c r="B9" i="7" s="1"/>
  <c r="J22" i="7" l="1"/>
  <c r="J23" i="7" s="1"/>
  <c r="E13" i="7" s="1"/>
  <c r="G8" i="7"/>
  <c r="G9" i="7" s="1"/>
  <c r="G11" i="7" s="1"/>
  <c r="E10" i="7"/>
  <c r="E11" i="7" s="1"/>
  <c r="B10" i="7"/>
  <c r="B11" i="7" s="1"/>
  <c r="G13" i="7"/>
  <c r="C11" i="7"/>
  <c r="H11" i="7"/>
  <c r="I11" i="7"/>
  <c r="D13" i="7"/>
  <c r="B13" i="7"/>
  <c r="C13" i="7"/>
  <c r="D8" i="7"/>
  <c r="D9" i="7" s="1"/>
  <c r="D11" i="7" s="1"/>
  <c r="F8" i="7"/>
  <c r="F9" i="7" s="1"/>
  <c r="F11" i="7" s="1"/>
  <c r="F13" i="7" l="1"/>
  <c r="I13" i="7"/>
  <c r="H13" i="7"/>
  <c r="D12" i="7"/>
  <c r="D14" i="7" s="1"/>
  <c r="F12" i="7"/>
  <c r="F14" i="7" s="1"/>
  <c r="I12" i="7"/>
  <c r="I14" i="7" s="1"/>
  <c r="E12" i="7"/>
  <c r="E14" i="7" s="1"/>
  <c r="H12" i="7"/>
  <c r="C12" i="7"/>
  <c r="C14" i="7" s="1"/>
  <c r="G12" i="7"/>
  <c r="G14" i="7" s="1"/>
  <c r="B12" i="7"/>
  <c r="B14" i="7" s="1"/>
  <c r="H14" i="7" l="1"/>
  <c r="V4" i="6" l="1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3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3" i="6"/>
  <c r="C20" i="1" l="1"/>
  <c r="D937" i="5" l="1"/>
  <c r="F937" i="5"/>
  <c r="H937" i="5"/>
  <c r="D938" i="5"/>
  <c r="F938" i="5"/>
  <c r="H938" i="5"/>
  <c r="C938" i="5"/>
  <c r="C937" i="5"/>
  <c r="K4" i="1"/>
  <c r="E938" i="5" l="1"/>
  <c r="E937" i="5"/>
  <c r="G938" i="5"/>
  <c r="I938" i="5" s="1"/>
  <c r="L938" i="5" s="1"/>
  <c r="G937" i="5"/>
  <c r="I937" i="5" s="1"/>
  <c r="L937" i="5" s="1"/>
  <c r="K938" i="5"/>
  <c r="E7" i="1" s="1"/>
  <c r="I4" i="1"/>
  <c r="I3" i="1"/>
  <c r="C936" i="5"/>
  <c r="C935" i="5"/>
  <c r="C934" i="5"/>
  <c r="C933" i="5"/>
  <c r="C932" i="5"/>
  <c r="H936" i="5"/>
  <c r="H935" i="5"/>
  <c r="H934" i="5"/>
  <c r="H933" i="5"/>
  <c r="H932" i="5"/>
  <c r="F936" i="5"/>
  <c r="G936" i="5" s="1"/>
  <c r="F935" i="5"/>
  <c r="F934" i="5"/>
  <c r="F933" i="5"/>
  <c r="F932" i="5"/>
  <c r="D936" i="5"/>
  <c r="D935" i="5"/>
  <c r="D934" i="5"/>
  <c r="D933" i="5"/>
  <c r="D932" i="5"/>
  <c r="G934" i="5"/>
  <c r="B303" i="2"/>
  <c r="B304" i="2"/>
  <c r="B305" i="2"/>
  <c r="B306" i="2"/>
  <c r="B307" i="2"/>
  <c r="B308" i="2"/>
  <c r="B309" i="2"/>
  <c r="B310" i="2"/>
  <c r="B311" i="2"/>
  <c r="B30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15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20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5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E934" i="5" l="1"/>
  <c r="K934" i="5" s="1"/>
  <c r="D7" i="1" s="1"/>
  <c r="G932" i="5"/>
  <c r="E936" i="5"/>
  <c r="G933" i="5"/>
  <c r="I934" i="5"/>
  <c r="E935" i="5"/>
  <c r="I936" i="5"/>
  <c r="L936" i="5" s="1"/>
  <c r="G935" i="5"/>
  <c r="E932" i="5"/>
  <c r="K932" i="5" s="1"/>
  <c r="C7" i="1" s="1"/>
  <c r="E933" i="5"/>
  <c r="L934" i="5"/>
  <c r="R303" i="2"/>
  <c r="S303" i="2" s="1"/>
  <c r="R304" i="2"/>
  <c r="S304" i="2" s="1"/>
  <c r="R305" i="2"/>
  <c r="S305" i="2" s="1"/>
  <c r="R306" i="2"/>
  <c r="S306" i="2" s="1"/>
  <c r="R307" i="2"/>
  <c r="S307" i="2" s="1"/>
  <c r="R308" i="2"/>
  <c r="S308" i="2" s="1"/>
  <c r="R309" i="2"/>
  <c r="S309" i="2" s="1"/>
  <c r="R310" i="2"/>
  <c r="S310" i="2" s="1"/>
  <c r="R311" i="2"/>
  <c r="S311" i="2" s="1"/>
  <c r="L303" i="2"/>
  <c r="M303" i="2" s="1"/>
  <c r="L304" i="2"/>
  <c r="M304" i="2" s="1"/>
  <c r="L305" i="2"/>
  <c r="M305" i="2" s="1"/>
  <c r="L306" i="2"/>
  <c r="M306" i="2" s="1"/>
  <c r="L307" i="2"/>
  <c r="M307" i="2" s="1"/>
  <c r="L308" i="2"/>
  <c r="M308" i="2" s="1"/>
  <c r="L309" i="2"/>
  <c r="M309" i="2" s="1"/>
  <c r="L310" i="2"/>
  <c r="M310" i="2" s="1"/>
  <c r="L311" i="2"/>
  <c r="M311" i="2" s="1"/>
  <c r="G303" i="2"/>
  <c r="H303" i="2" s="1"/>
  <c r="G304" i="2"/>
  <c r="H304" i="2" s="1"/>
  <c r="G305" i="2"/>
  <c r="H305" i="2" s="1"/>
  <c r="G306" i="2"/>
  <c r="H306" i="2" s="1"/>
  <c r="G307" i="2"/>
  <c r="H307" i="2" s="1"/>
  <c r="G308" i="2"/>
  <c r="H308" i="2" s="1"/>
  <c r="G309" i="2"/>
  <c r="H309" i="2" s="1"/>
  <c r="G310" i="2"/>
  <c r="H310" i="2" s="1"/>
  <c r="G311" i="2"/>
  <c r="H311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X303" i="2"/>
  <c r="Z303" i="2"/>
  <c r="AD303" i="2"/>
  <c r="AE303" i="2"/>
  <c r="X304" i="2"/>
  <c r="Z304" i="2"/>
  <c r="AD304" i="2"/>
  <c r="AE304" i="2"/>
  <c r="X305" i="2"/>
  <c r="Z305" i="2"/>
  <c r="AD305" i="2"/>
  <c r="AE305" i="2"/>
  <c r="X306" i="2"/>
  <c r="Z306" i="2"/>
  <c r="AD306" i="2"/>
  <c r="AE306" i="2"/>
  <c r="X307" i="2"/>
  <c r="Z307" i="2"/>
  <c r="AD307" i="2"/>
  <c r="AE307" i="2"/>
  <c r="X308" i="2"/>
  <c r="Z308" i="2"/>
  <c r="AD308" i="2"/>
  <c r="AE308" i="2"/>
  <c r="X309" i="2"/>
  <c r="Z309" i="2"/>
  <c r="AD309" i="2"/>
  <c r="AE309" i="2"/>
  <c r="X310" i="2"/>
  <c r="Z310" i="2"/>
  <c r="AD310" i="2"/>
  <c r="AE310" i="2"/>
  <c r="X311" i="2"/>
  <c r="Z311" i="2"/>
  <c r="AD311" i="2"/>
  <c r="AE311" i="2"/>
  <c r="AE302" i="2"/>
  <c r="AD302" i="2"/>
  <c r="Z302" i="2"/>
  <c r="X302" i="2"/>
  <c r="R302" i="2"/>
  <c r="S302" i="2" s="1"/>
  <c r="L302" i="2"/>
  <c r="M302" i="2" s="1"/>
  <c r="G302" i="2"/>
  <c r="H302" i="2" s="1"/>
  <c r="E302" i="2"/>
  <c r="F302" i="2" s="1"/>
  <c r="H116" i="1"/>
  <c r="P302" i="2" s="1"/>
  <c r="G116" i="1"/>
  <c r="N302" i="2" s="1"/>
  <c r="E116" i="1"/>
  <c r="J302" i="2" s="1"/>
  <c r="H125" i="1"/>
  <c r="P311" i="2" s="1"/>
  <c r="G125" i="1"/>
  <c r="N311" i="2" s="1"/>
  <c r="E125" i="1"/>
  <c r="J311" i="2" s="1"/>
  <c r="K311" i="2" s="1"/>
  <c r="H124" i="1"/>
  <c r="P310" i="2" s="1"/>
  <c r="G124" i="1"/>
  <c r="N310" i="2" s="1"/>
  <c r="E124" i="1"/>
  <c r="J310" i="2" s="1"/>
  <c r="H123" i="1"/>
  <c r="P309" i="2" s="1"/>
  <c r="G123" i="1"/>
  <c r="N309" i="2" s="1"/>
  <c r="E123" i="1"/>
  <c r="J309" i="2" s="1"/>
  <c r="K309" i="2" s="1"/>
  <c r="H122" i="1"/>
  <c r="P308" i="2" s="1"/>
  <c r="G122" i="1"/>
  <c r="N308" i="2" s="1"/>
  <c r="E122" i="1"/>
  <c r="J308" i="2" s="1"/>
  <c r="H121" i="1"/>
  <c r="P307" i="2" s="1"/>
  <c r="G121" i="1"/>
  <c r="N307" i="2" s="1"/>
  <c r="E121" i="1"/>
  <c r="J307" i="2" s="1"/>
  <c r="K307" i="2" s="1"/>
  <c r="H120" i="1"/>
  <c r="P306" i="2" s="1"/>
  <c r="G120" i="1"/>
  <c r="N306" i="2" s="1"/>
  <c r="E120" i="1"/>
  <c r="J306" i="2" s="1"/>
  <c r="H119" i="1"/>
  <c r="P305" i="2" s="1"/>
  <c r="G119" i="1"/>
  <c r="N305" i="2" s="1"/>
  <c r="E119" i="1"/>
  <c r="J305" i="2" s="1"/>
  <c r="K305" i="2" s="1"/>
  <c r="H118" i="1"/>
  <c r="P304" i="2" s="1"/>
  <c r="G118" i="1"/>
  <c r="N304" i="2" s="1"/>
  <c r="E118" i="1"/>
  <c r="J304" i="2" s="1"/>
  <c r="H117" i="1"/>
  <c r="P303" i="2" s="1"/>
  <c r="G117" i="1"/>
  <c r="N303" i="2" s="1"/>
  <c r="E117" i="1"/>
  <c r="J303" i="2" s="1"/>
  <c r="K303" i="2" s="1"/>
  <c r="K304" i="2" l="1"/>
  <c r="I304" i="2"/>
  <c r="K306" i="2"/>
  <c r="I306" i="2"/>
  <c r="K308" i="2"/>
  <c r="I308" i="2"/>
  <c r="K310" i="2"/>
  <c r="I310" i="2"/>
  <c r="I935" i="5"/>
  <c r="L935" i="5" s="1"/>
  <c r="I932" i="5"/>
  <c r="L932" i="5" s="1"/>
  <c r="I933" i="5"/>
  <c r="L933" i="5" s="1"/>
  <c r="I302" i="2"/>
  <c r="K302" i="2"/>
  <c r="I311" i="2"/>
  <c r="I309" i="2"/>
  <c r="I307" i="2"/>
  <c r="I305" i="2"/>
  <c r="I303" i="2"/>
  <c r="AA303" i="2" l="1"/>
  <c r="AA311" i="2"/>
  <c r="AA302" i="2"/>
  <c r="AA305" i="2"/>
  <c r="AA307" i="2"/>
  <c r="AA309" i="2"/>
  <c r="AA308" i="2"/>
  <c r="AA304" i="2"/>
  <c r="AA310" i="2"/>
  <c r="AA306" i="2"/>
  <c r="Y303" i="2"/>
  <c r="Y311" i="2"/>
  <c r="Y302" i="2"/>
  <c r="Y305" i="2"/>
  <c r="Y307" i="2"/>
  <c r="Y309" i="2"/>
  <c r="Y304" i="2"/>
  <c r="Y308" i="2"/>
  <c r="Y310" i="2"/>
  <c r="Y306" i="2"/>
  <c r="E153" i="2"/>
  <c r="F153" i="2" s="1"/>
  <c r="G153" i="2"/>
  <c r="H153" i="2" s="1"/>
  <c r="L153" i="2"/>
  <c r="M153" i="2" s="1"/>
  <c r="R153" i="2"/>
  <c r="S153" i="2" s="1"/>
  <c r="X153" i="2"/>
  <c r="Z153" i="2"/>
  <c r="AD153" i="2"/>
  <c r="AE153" i="2"/>
  <c r="E154" i="2"/>
  <c r="F154" i="2" s="1"/>
  <c r="G154" i="2"/>
  <c r="H154" i="2" s="1"/>
  <c r="L154" i="2"/>
  <c r="M154" i="2" s="1"/>
  <c r="R154" i="2"/>
  <c r="S154" i="2" s="1"/>
  <c r="X154" i="2"/>
  <c r="Z154" i="2"/>
  <c r="AD154" i="2"/>
  <c r="AE154" i="2"/>
  <c r="E155" i="2"/>
  <c r="F155" i="2" s="1"/>
  <c r="G155" i="2"/>
  <c r="H155" i="2" s="1"/>
  <c r="L155" i="2"/>
  <c r="M155" i="2" s="1"/>
  <c r="R155" i="2"/>
  <c r="S155" i="2" s="1"/>
  <c r="X155" i="2"/>
  <c r="Z155" i="2"/>
  <c r="AD155" i="2"/>
  <c r="AE155" i="2"/>
  <c r="E156" i="2"/>
  <c r="F156" i="2" s="1"/>
  <c r="G156" i="2"/>
  <c r="H156" i="2" s="1"/>
  <c r="L156" i="2"/>
  <c r="M156" i="2" s="1"/>
  <c r="R156" i="2"/>
  <c r="S156" i="2" s="1"/>
  <c r="X156" i="2"/>
  <c r="Z156" i="2"/>
  <c r="AD156" i="2"/>
  <c r="AE156" i="2"/>
  <c r="E157" i="2"/>
  <c r="F157" i="2" s="1"/>
  <c r="G157" i="2"/>
  <c r="H157" i="2" s="1"/>
  <c r="L157" i="2"/>
  <c r="M157" i="2" s="1"/>
  <c r="R157" i="2"/>
  <c r="S157" i="2" s="1"/>
  <c r="X157" i="2"/>
  <c r="Z157" i="2"/>
  <c r="AD157" i="2"/>
  <c r="AE157" i="2"/>
  <c r="E158" i="2"/>
  <c r="F158" i="2" s="1"/>
  <c r="G158" i="2"/>
  <c r="H158" i="2" s="1"/>
  <c r="L158" i="2"/>
  <c r="M158" i="2" s="1"/>
  <c r="R158" i="2"/>
  <c r="S158" i="2" s="1"/>
  <c r="X158" i="2"/>
  <c r="Z158" i="2"/>
  <c r="AD158" i="2"/>
  <c r="AE158" i="2"/>
  <c r="E159" i="2"/>
  <c r="F159" i="2" s="1"/>
  <c r="G159" i="2"/>
  <c r="H159" i="2" s="1"/>
  <c r="L159" i="2"/>
  <c r="M159" i="2" s="1"/>
  <c r="R159" i="2"/>
  <c r="S159" i="2" s="1"/>
  <c r="X159" i="2"/>
  <c r="Z159" i="2"/>
  <c r="AD159" i="2"/>
  <c r="AE159" i="2"/>
  <c r="E160" i="2"/>
  <c r="F160" i="2" s="1"/>
  <c r="G160" i="2"/>
  <c r="H160" i="2" s="1"/>
  <c r="L160" i="2"/>
  <c r="M160" i="2" s="1"/>
  <c r="R160" i="2"/>
  <c r="S160" i="2" s="1"/>
  <c r="X160" i="2"/>
  <c r="Z160" i="2"/>
  <c r="AD160" i="2"/>
  <c r="AE160" i="2"/>
  <c r="E161" i="2"/>
  <c r="F161" i="2" s="1"/>
  <c r="G161" i="2"/>
  <c r="H161" i="2" s="1"/>
  <c r="L161" i="2"/>
  <c r="M161" i="2" s="1"/>
  <c r="R161" i="2"/>
  <c r="S161" i="2" s="1"/>
  <c r="X161" i="2"/>
  <c r="Z161" i="2"/>
  <c r="AD161" i="2"/>
  <c r="AE161" i="2"/>
  <c r="E162" i="2"/>
  <c r="F162" i="2" s="1"/>
  <c r="G162" i="2"/>
  <c r="H162" i="2" s="1"/>
  <c r="L162" i="2"/>
  <c r="M162" i="2" s="1"/>
  <c r="R162" i="2"/>
  <c r="S162" i="2" s="1"/>
  <c r="X162" i="2"/>
  <c r="Z162" i="2"/>
  <c r="AD162" i="2"/>
  <c r="AE162" i="2"/>
  <c r="E163" i="2"/>
  <c r="F163" i="2" s="1"/>
  <c r="G163" i="2"/>
  <c r="H163" i="2" s="1"/>
  <c r="L163" i="2"/>
  <c r="M163" i="2" s="1"/>
  <c r="R163" i="2"/>
  <c r="S163" i="2" s="1"/>
  <c r="X163" i="2"/>
  <c r="Z163" i="2"/>
  <c r="AD163" i="2"/>
  <c r="AE163" i="2"/>
  <c r="E164" i="2"/>
  <c r="F164" i="2" s="1"/>
  <c r="G164" i="2"/>
  <c r="H164" i="2" s="1"/>
  <c r="L164" i="2"/>
  <c r="M164" i="2" s="1"/>
  <c r="R164" i="2"/>
  <c r="S164" i="2" s="1"/>
  <c r="X164" i="2"/>
  <c r="Z164" i="2"/>
  <c r="AD164" i="2"/>
  <c r="AE164" i="2"/>
  <c r="E165" i="2"/>
  <c r="F165" i="2" s="1"/>
  <c r="G165" i="2"/>
  <c r="H165" i="2" s="1"/>
  <c r="L165" i="2"/>
  <c r="M165" i="2" s="1"/>
  <c r="R165" i="2"/>
  <c r="S165" i="2" s="1"/>
  <c r="X165" i="2"/>
  <c r="Z165" i="2"/>
  <c r="AD165" i="2"/>
  <c r="AE165" i="2"/>
  <c r="E166" i="2"/>
  <c r="F166" i="2" s="1"/>
  <c r="G166" i="2"/>
  <c r="H166" i="2" s="1"/>
  <c r="L166" i="2"/>
  <c r="M166" i="2" s="1"/>
  <c r="R166" i="2"/>
  <c r="S166" i="2" s="1"/>
  <c r="X166" i="2"/>
  <c r="Z166" i="2"/>
  <c r="AD166" i="2"/>
  <c r="AE166" i="2"/>
  <c r="E167" i="2"/>
  <c r="F167" i="2" s="1"/>
  <c r="G167" i="2"/>
  <c r="H167" i="2" s="1"/>
  <c r="L167" i="2"/>
  <c r="M167" i="2" s="1"/>
  <c r="R167" i="2"/>
  <c r="S167" i="2" s="1"/>
  <c r="X167" i="2"/>
  <c r="Z167" i="2"/>
  <c r="AD167" i="2"/>
  <c r="AE167" i="2"/>
  <c r="E168" i="2"/>
  <c r="F168" i="2" s="1"/>
  <c r="G168" i="2"/>
  <c r="H168" i="2" s="1"/>
  <c r="L168" i="2"/>
  <c r="M168" i="2" s="1"/>
  <c r="R168" i="2"/>
  <c r="S168" i="2" s="1"/>
  <c r="X168" i="2"/>
  <c r="Z168" i="2"/>
  <c r="AD168" i="2"/>
  <c r="AE168" i="2"/>
  <c r="E169" i="2"/>
  <c r="F169" i="2" s="1"/>
  <c r="G169" i="2"/>
  <c r="H169" i="2" s="1"/>
  <c r="L169" i="2"/>
  <c r="M169" i="2" s="1"/>
  <c r="R169" i="2"/>
  <c r="S169" i="2" s="1"/>
  <c r="X169" i="2"/>
  <c r="Z169" i="2"/>
  <c r="AD169" i="2"/>
  <c r="AE169" i="2"/>
  <c r="E170" i="2"/>
  <c r="F170" i="2" s="1"/>
  <c r="G170" i="2"/>
  <c r="H170" i="2" s="1"/>
  <c r="L170" i="2"/>
  <c r="M170" i="2" s="1"/>
  <c r="R170" i="2"/>
  <c r="S170" i="2" s="1"/>
  <c r="X170" i="2"/>
  <c r="Z170" i="2"/>
  <c r="AD170" i="2"/>
  <c r="AE170" i="2"/>
  <c r="E171" i="2"/>
  <c r="F171" i="2" s="1"/>
  <c r="G171" i="2"/>
  <c r="H171" i="2" s="1"/>
  <c r="L171" i="2"/>
  <c r="M171" i="2" s="1"/>
  <c r="R171" i="2"/>
  <c r="S171" i="2" s="1"/>
  <c r="X171" i="2"/>
  <c r="Z171" i="2"/>
  <c r="AD171" i="2"/>
  <c r="AE171" i="2"/>
  <c r="E172" i="2"/>
  <c r="F172" i="2" s="1"/>
  <c r="G172" i="2"/>
  <c r="H172" i="2" s="1"/>
  <c r="L172" i="2"/>
  <c r="M172" i="2" s="1"/>
  <c r="R172" i="2"/>
  <c r="S172" i="2" s="1"/>
  <c r="X172" i="2"/>
  <c r="Z172" i="2"/>
  <c r="AD172" i="2"/>
  <c r="AE172" i="2"/>
  <c r="E173" i="2"/>
  <c r="F173" i="2" s="1"/>
  <c r="G173" i="2"/>
  <c r="H173" i="2" s="1"/>
  <c r="L173" i="2"/>
  <c r="M173" i="2" s="1"/>
  <c r="R173" i="2"/>
  <c r="S173" i="2" s="1"/>
  <c r="X173" i="2"/>
  <c r="Z173" i="2"/>
  <c r="AD173" i="2"/>
  <c r="AE173" i="2"/>
  <c r="E174" i="2"/>
  <c r="F174" i="2" s="1"/>
  <c r="G174" i="2"/>
  <c r="H174" i="2" s="1"/>
  <c r="L174" i="2"/>
  <c r="M174" i="2" s="1"/>
  <c r="R174" i="2"/>
  <c r="S174" i="2" s="1"/>
  <c r="X174" i="2"/>
  <c r="Z174" i="2"/>
  <c r="AD174" i="2"/>
  <c r="AE174" i="2"/>
  <c r="E175" i="2"/>
  <c r="F175" i="2" s="1"/>
  <c r="G175" i="2"/>
  <c r="H175" i="2" s="1"/>
  <c r="L175" i="2"/>
  <c r="M175" i="2" s="1"/>
  <c r="R175" i="2"/>
  <c r="S175" i="2" s="1"/>
  <c r="X175" i="2"/>
  <c r="Z175" i="2"/>
  <c r="AD175" i="2"/>
  <c r="AE175" i="2"/>
  <c r="E176" i="2"/>
  <c r="F176" i="2" s="1"/>
  <c r="G176" i="2"/>
  <c r="H176" i="2" s="1"/>
  <c r="L176" i="2"/>
  <c r="M176" i="2" s="1"/>
  <c r="R176" i="2"/>
  <c r="S176" i="2" s="1"/>
  <c r="X176" i="2"/>
  <c r="Z176" i="2"/>
  <c r="AD176" i="2"/>
  <c r="AE176" i="2"/>
  <c r="E177" i="2"/>
  <c r="F177" i="2" s="1"/>
  <c r="G177" i="2"/>
  <c r="H177" i="2" s="1"/>
  <c r="L177" i="2"/>
  <c r="M177" i="2" s="1"/>
  <c r="R177" i="2"/>
  <c r="S177" i="2" s="1"/>
  <c r="X177" i="2"/>
  <c r="Z177" i="2"/>
  <c r="AD177" i="2"/>
  <c r="AE177" i="2"/>
  <c r="E178" i="2"/>
  <c r="F178" i="2" s="1"/>
  <c r="G178" i="2"/>
  <c r="H178" i="2" s="1"/>
  <c r="L178" i="2"/>
  <c r="M178" i="2" s="1"/>
  <c r="R178" i="2"/>
  <c r="S178" i="2" s="1"/>
  <c r="X178" i="2"/>
  <c r="Z178" i="2"/>
  <c r="AD178" i="2"/>
  <c r="AE178" i="2"/>
  <c r="E179" i="2"/>
  <c r="F179" i="2" s="1"/>
  <c r="G179" i="2"/>
  <c r="H179" i="2" s="1"/>
  <c r="L179" i="2"/>
  <c r="R179" i="2"/>
  <c r="S179" i="2" s="1"/>
  <c r="X179" i="2"/>
  <c r="Z179" i="2"/>
  <c r="AD179" i="2"/>
  <c r="AE179" i="2"/>
  <c r="E180" i="2"/>
  <c r="F180" i="2" s="1"/>
  <c r="G180" i="2"/>
  <c r="H180" i="2" s="1"/>
  <c r="L180" i="2"/>
  <c r="M180" i="2" s="1"/>
  <c r="R180" i="2"/>
  <c r="S180" i="2" s="1"/>
  <c r="X180" i="2"/>
  <c r="Z180" i="2"/>
  <c r="AD180" i="2"/>
  <c r="AE180" i="2"/>
  <c r="E181" i="2"/>
  <c r="F181" i="2" s="1"/>
  <c r="G181" i="2"/>
  <c r="H181" i="2" s="1"/>
  <c r="L181" i="2"/>
  <c r="R181" i="2"/>
  <c r="S181" i="2" s="1"/>
  <c r="X181" i="2"/>
  <c r="Z181" i="2"/>
  <c r="AD181" i="2"/>
  <c r="AE181" i="2"/>
  <c r="E182" i="2"/>
  <c r="F182" i="2" s="1"/>
  <c r="G182" i="2"/>
  <c r="H182" i="2" s="1"/>
  <c r="L182" i="2"/>
  <c r="M182" i="2" s="1"/>
  <c r="R182" i="2"/>
  <c r="S182" i="2" s="1"/>
  <c r="X182" i="2"/>
  <c r="Z182" i="2"/>
  <c r="AD182" i="2"/>
  <c r="AE182" i="2"/>
  <c r="E183" i="2"/>
  <c r="F183" i="2" s="1"/>
  <c r="G183" i="2"/>
  <c r="H183" i="2" s="1"/>
  <c r="L183" i="2"/>
  <c r="R183" i="2"/>
  <c r="S183" i="2" s="1"/>
  <c r="X183" i="2"/>
  <c r="Z183" i="2"/>
  <c r="AD183" i="2"/>
  <c r="AE183" i="2"/>
  <c r="E184" i="2"/>
  <c r="F184" i="2" s="1"/>
  <c r="G184" i="2"/>
  <c r="H184" i="2" s="1"/>
  <c r="L184" i="2"/>
  <c r="M184" i="2" s="1"/>
  <c r="R184" i="2"/>
  <c r="S184" i="2" s="1"/>
  <c r="X184" i="2"/>
  <c r="Z184" i="2"/>
  <c r="AD184" i="2"/>
  <c r="AE184" i="2"/>
  <c r="E185" i="2"/>
  <c r="F185" i="2" s="1"/>
  <c r="G185" i="2"/>
  <c r="H185" i="2" s="1"/>
  <c r="L185" i="2"/>
  <c r="R185" i="2"/>
  <c r="S185" i="2" s="1"/>
  <c r="X185" i="2"/>
  <c r="Z185" i="2"/>
  <c r="AD185" i="2"/>
  <c r="AE185" i="2"/>
  <c r="E186" i="2"/>
  <c r="F186" i="2" s="1"/>
  <c r="G186" i="2"/>
  <c r="H186" i="2" s="1"/>
  <c r="L186" i="2"/>
  <c r="M186" i="2" s="1"/>
  <c r="R186" i="2"/>
  <c r="S186" i="2" s="1"/>
  <c r="X186" i="2"/>
  <c r="Z186" i="2"/>
  <c r="AD186" i="2"/>
  <c r="AE186" i="2"/>
  <c r="E187" i="2"/>
  <c r="F187" i="2" s="1"/>
  <c r="G187" i="2"/>
  <c r="H187" i="2" s="1"/>
  <c r="L187" i="2"/>
  <c r="M187" i="2" s="1"/>
  <c r="R187" i="2"/>
  <c r="S187" i="2" s="1"/>
  <c r="X187" i="2"/>
  <c r="Z187" i="2"/>
  <c r="AD187" i="2"/>
  <c r="AE187" i="2"/>
  <c r="E188" i="2"/>
  <c r="F188" i="2" s="1"/>
  <c r="G188" i="2"/>
  <c r="H188" i="2" s="1"/>
  <c r="L188" i="2"/>
  <c r="M188" i="2" s="1"/>
  <c r="R188" i="2"/>
  <c r="S188" i="2" s="1"/>
  <c r="X188" i="2"/>
  <c r="Z188" i="2"/>
  <c r="AD188" i="2"/>
  <c r="AE188" i="2"/>
  <c r="E189" i="2"/>
  <c r="F189" i="2" s="1"/>
  <c r="G189" i="2"/>
  <c r="H189" i="2" s="1"/>
  <c r="L189" i="2"/>
  <c r="M189" i="2" s="1"/>
  <c r="R189" i="2"/>
  <c r="S189" i="2" s="1"/>
  <c r="X189" i="2"/>
  <c r="Z189" i="2"/>
  <c r="AD189" i="2"/>
  <c r="AE189" i="2"/>
  <c r="E190" i="2"/>
  <c r="F190" i="2" s="1"/>
  <c r="G190" i="2"/>
  <c r="H190" i="2" s="1"/>
  <c r="L190" i="2"/>
  <c r="M190" i="2" s="1"/>
  <c r="R190" i="2"/>
  <c r="S190" i="2" s="1"/>
  <c r="X190" i="2"/>
  <c r="Z190" i="2"/>
  <c r="AD190" i="2"/>
  <c r="AE190" i="2"/>
  <c r="E191" i="2"/>
  <c r="F191" i="2" s="1"/>
  <c r="G191" i="2"/>
  <c r="H191" i="2" s="1"/>
  <c r="L191" i="2"/>
  <c r="M191" i="2" s="1"/>
  <c r="R191" i="2"/>
  <c r="S191" i="2" s="1"/>
  <c r="X191" i="2"/>
  <c r="Z191" i="2"/>
  <c r="AD191" i="2"/>
  <c r="AE191" i="2"/>
  <c r="E192" i="2"/>
  <c r="F192" i="2" s="1"/>
  <c r="G192" i="2"/>
  <c r="H192" i="2" s="1"/>
  <c r="L192" i="2"/>
  <c r="M192" i="2" s="1"/>
  <c r="R192" i="2"/>
  <c r="S192" i="2" s="1"/>
  <c r="X192" i="2"/>
  <c r="Z192" i="2"/>
  <c r="AD192" i="2"/>
  <c r="AE192" i="2"/>
  <c r="E193" i="2"/>
  <c r="F193" i="2" s="1"/>
  <c r="G193" i="2"/>
  <c r="H193" i="2" s="1"/>
  <c r="L193" i="2"/>
  <c r="M193" i="2" s="1"/>
  <c r="R193" i="2"/>
  <c r="S193" i="2" s="1"/>
  <c r="X193" i="2"/>
  <c r="Z193" i="2"/>
  <c r="AD193" i="2"/>
  <c r="AE193" i="2"/>
  <c r="E194" i="2"/>
  <c r="F194" i="2" s="1"/>
  <c r="G194" i="2"/>
  <c r="H194" i="2" s="1"/>
  <c r="L194" i="2"/>
  <c r="M194" i="2" s="1"/>
  <c r="R194" i="2"/>
  <c r="S194" i="2" s="1"/>
  <c r="X194" i="2"/>
  <c r="Z194" i="2"/>
  <c r="AD194" i="2"/>
  <c r="AE194" i="2"/>
  <c r="E195" i="2"/>
  <c r="F195" i="2" s="1"/>
  <c r="G195" i="2"/>
  <c r="H195" i="2" s="1"/>
  <c r="L195" i="2"/>
  <c r="M195" i="2" s="1"/>
  <c r="R195" i="2"/>
  <c r="S195" i="2" s="1"/>
  <c r="X195" i="2"/>
  <c r="Z195" i="2"/>
  <c r="AD195" i="2"/>
  <c r="AE195" i="2"/>
  <c r="E196" i="2"/>
  <c r="F196" i="2" s="1"/>
  <c r="G196" i="2"/>
  <c r="H196" i="2" s="1"/>
  <c r="L196" i="2"/>
  <c r="M196" i="2" s="1"/>
  <c r="R196" i="2"/>
  <c r="S196" i="2" s="1"/>
  <c r="X196" i="2"/>
  <c r="Z196" i="2"/>
  <c r="AD196" i="2"/>
  <c r="AE196" i="2"/>
  <c r="E197" i="2"/>
  <c r="F197" i="2" s="1"/>
  <c r="G197" i="2"/>
  <c r="H197" i="2" s="1"/>
  <c r="L197" i="2"/>
  <c r="M197" i="2" s="1"/>
  <c r="R197" i="2"/>
  <c r="S197" i="2" s="1"/>
  <c r="X197" i="2"/>
  <c r="Z197" i="2"/>
  <c r="AD197" i="2"/>
  <c r="AE197" i="2"/>
  <c r="E198" i="2"/>
  <c r="F198" i="2" s="1"/>
  <c r="G198" i="2"/>
  <c r="H198" i="2" s="1"/>
  <c r="L198" i="2"/>
  <c r="M198" i="2" s="1"/>
  <c r="R198" i="2"/>
  <c r="S198" i="2" s="1"/>
  <c r="X198" i="2"/>
  <c r="Z198" i="2"/>
  <c r="AD198" i="2"/>
  <c r="AE198" i="2"/>
  <c r="E199" i="2"/>
  <c r="F199" i="2" s="1"/>
  <c r="G199" i="2"/>
  <c r="H199" i="2" s="1"/>
  <c r="L199" i="2"/>
  <c r="M199" i="2" s="1"/>
  <c r="R199" i="2"/>
  <c r="S199" i="2" s="1"/>
  <c r="X199" i="2"/>
  <c r="Z199" i="2"/>
  <c r="AD199" i="2"/>
  <c r="AE199" i="2"/>
  <c r="E200" i="2"/>
  <c r="F200" i="2" s="1"/>
  <c r="G200" i="2"/>
  <c r="H200" i="2" s="1"/>
  <c r="L200" i="2"/>
  <c r="M200" i="2" s="1"/>
  <c r="R200" i="2"/>
  <c r="S200" i="2" s="1"/>
  <c r="X200" i="2"/>
  <c r="Z200" i="2"/>
  <c r="AD200" i="2"/>
  <c r="AE200" i="2"/>
  <c r="E201" i="2"/>
  <c r="F201" i="2" s="1"/>
  <c r="G201" i="2"/>
  <c r="H201" i="2" s="1"/>
  <c r="L201" i="2"/>
  <c r="M201" i="2" s="1"/>
  <c r="R201" i="2"/>
  <c r="S201" i="2" s="1"/>
  <c r="X201" i="2"/>
  <c r="Z201" i="2"/>
  <c r="AD201" i="2"/>
  <c r="AE201" i="2"/>
  <c r="E202" i="2"/>
  <c r="F202" i="2" s="1"/>
  <c r="G202" i="2"/>
  <c r="H202" i="2" s="1"/>
  <c r="L202" i="2"/>
  <c r="M202" i="2" s="1"/>
  <c r="R202" i="2"/>
  <c r="S202" i="2" s="1"/>
  <c r="X202" i="2"/>
  <c r="Z202" i="2"/>
  <c r="AD202" i="2"/>
  <c r="AE202" i="2"/>
  <c r="E203" i="2"/>
  <c r="F203" i="2" s="1"/>
  <c r="G203" i="2"/>
  <c r="H203" i="2" s="1"/>
  <c r="L203" i="2"/>
  <c r="M203" i="2" s="1"/>
  <c r="R203" i="2"/>
  <c r="S203" i="2" s="1"/>
  <c r="X203" i="2"/>
  <c r="Z203" i="2"/>
  <c r="AD203" i="2"/>
  <c r="AE203" i="2"/>
  <c r="E204" i="2"/>
  <c r="F204" i="2" s="1"/>
  <c r="G204" i="2"/>
  <c r="H204" i="2" s="1"/>
  <c r="L204" i="2"/>
  <c r="M204" i="2" s="1"/>
  <c r="R204" i="2"/>
  <c r="S204" i="2" s="1"/>
  <c r="X204" i="2"/>
  <c r="Z204" i="2"/>
  <c r="AD204" i="2"/>
  <c r="AE204" i="2"/>
  <c r="E205" i="2"/>
  <c r="F205" i="2" s="1"/>
  <c r="G205" i="2"/>
  <c r="H205" i="2" s="1"/>
  <c r="L205" i="2"/>
  <c r="M205" i="2" s="1"/>
  <c r="R205" i="2"/>
  <c r="S205" i="2" s="1"/>
  <c r="X205" i="2"/>
  <c r="Z205" i="2"/>
  <c r="AD205" i="2"/>
  <c r="AE205" i="2"/>
  <c r="E206" i="2"/>
  <c r="F206" i="2" s="1"/>
  <c r="G206" i="2"/>
  <c r="H206" i="2" s="1"/>
  <c r="L206" i="2"/>
  <c r="M206" i="2" s="1"/>
  <c r="R206" i="2"/>
  <c r="S206" i="2" s="1"/>
  <c r="X206" i="2"/>
  <c r="Z206" i="2"/>
  <c r="AD206" i="2"/>
  <c r="AE206" i="2"/>
  <c r="E207" i="2"/>
  <c r="F207" i="2" s="1"/>
  <c r="G207" i="2"/>
  <c r="H207" i="2" s="1"/>
  <c r="L207" i="2"/>
  <c r="M207" i="2" s="1"/>
  <c r="R207" i="2"/>
  <c r="S207" i="2" s="1"/>
  <c r="X207" i="2"/>
  <c r="Z207" i="2"/>
  <c r="AD207" i="2"/>
  <c r="AE207" i="2"/>
  <c r="E208" i="2"/>
  <c r="F208" i="2" s="1"/>
  <c r="G208" i="2"/>
  <c r="H208" i="2" s="1"/>
  <c r="L208" i="2"/>
  <c r="M208" i="2" s="1"/>
  <c r="R208" i="2"/>
  <c r="S208" i="2" s="1"/>
  <c r="X208" i="2"/>
  <c r="Z208" i="2"/>
  <c r="AD208" i="2"/>
  <c r="AE208" i="2"/>
  <c r="E209" i="2"/>
  <c r="F209" i="2" s="1"/>
  <c r="G209" i="2"/>
  <c r="H209" i="2" s="1"/>
  <c r="L209" i="2"/>
  <c r="M209" i="2" s="1"/>
  <c r="R209" i="2"/>
  <c r="S209" i="2" s="1"/>
  <c r="X209" i="2"/>
  <c r="Z209" i="2"/>
  <c r="AD209" i="2"/>
  <c r="AE209" i="2"/>
  <c r="E210" i="2"/>
  <c r="F210" i="2" s="1"/>
  <c r="G210" i="2"/>
  <c r="H210" i="2" s="1"/>
  <c r="L210" i="2"/>
  <c r="M210" i="2" s="1"/>
  <c r="R210" i="2"/>
  <c r="S210" i="2" s="1"/>
  <c r="X210" i="2"/>
  <c r="Z210" i="2"/>
  <c r="AD210" i="2"/>
  <c r="AE210" i="2"/>
  <c r="E211" i="2"/>
  <c r="F211" i="2" s="1"/>
  <c r="G211" i="2"/>
  <c r="H211" i="2" s="1"/>
  <c r="L211" i="2"/>
  <c r="M211" i="2" s="1"/>
  <c r="R211" i="2"/>
  <c r="S211" i="2" s="1"/>
  <c r="X211" i="2"/>
  <c r="Z211" i="2"/>
  <c r="AD211" i="2"/>
  <c r="AE211" i="2"/>
  <c r="E212" i="2"/>
  <c r="F212" i="2" s="1"/>
  <c r="G212" i="2"/>
  <c r="H212" i="2" s="1"/>
  <c r="L212" i="2"/>
  <c r="M212" i="2" s="1"/>
  <c r="R212" i="2"/>
  <c r="S212" i="2" s="1"/>
  <c r="X212" i="2"/>
  <c r="Z212" i="2"/>
  <c r="AD212" i="2"/>
  <c r="AE212" i="2"/>
  <c r="E213" i="2"/>
  <c r="F213" i="2" s="1"/>
  <c r="G213" i="2"/>
  <c r="H213" i="2" s="1"/>
  <c r="L213" i="2"/>
  <c r="M213" i="2" s="1"/>
  <c r="R213" i="2"/>
  <c r="S213" i="2" s="1"/>
  <c r="X213" i="2"/>
  <c r="Z213" i="2"/>
  <c r="AD213" i="2"/>
  <c r="AE213" i="2"/>
  <c r="E214" i="2"/>
  <c r="F214" i="2" s="1"/>
  <c r="G214" i="2"/>
  <c r="H214" i="2" s="1"/>
  <c r="L214" i="2"/>
  <c r="M214" i="2" s="1"/>
  <c r="R214" i="2"/>
  <c r="S214" i="2" s="1"/>
  <c r="X214" i="2"/>
  <c r="Z214" i="2"/>
  <c r="AD214" i="2"/>
  <c r="AE214" i="2"/>
  <c r="E215" i="2"/>
  <c r="F215" i="2" s="1"/>
  <c r="G215" i="2"/>
  <c r="H215" i="2" s="1"/>
  <c r="L215" i="2"/>
  <c r="M215" i="2" s="1"/>
  <c r="R215" i="2"/>
  <c r="S215" i="2" s="1"/>
  <c r="X215" i="2"/>
  <c r="Z215" i="2"/>
  <c r="AD215" i="2"/>
  <c r="AE215" i="2"/>
  <c r="E216" i="2"/>
  <c r="F216" i="2" s="1"/>
  <c r="G216" i="2"/>
  <c r="H216" i="2" s="1"/>
  <c r="L216" i="2"/>
  <c r="M216" i="2" s="1"/>
  <c r="R216" i="2"/>
  <c r="S216" i="2" s="1"/>
  <c r="X216" i="2"/>
  <c r="Z216" i="2"/>
  <c r="AD216" i="2"/>
  <c r="AE216" i="2"/>
  <c r="E217" i="2"/>
  <c r="F217" i="2" s="1"/>
  <c r="G217" i="2"/>
  <c r="H217" i="2" s="1"/>
  <c r="L217" i="2"/>
  <c r="M217" i="2" s="1"/>
  <c r="R217" i="2"/>
  <c r="S217" i="2" s="1"/>
  <c r="X217" i="2"/>
  <c r="Z217" i="2"/>
  <c r="AD217" i="2"/>
  <c r="AE217" i="2"/>
  <c r="E218" i="2"/>
  <c r="F218" i="2" s="1"/>
  <c r="G218" i="2"/>
  <c r="H218" i="2" s="1"/>
  <c r="L218" i="2"/>
  <c r="R218" i="2"/>
  <c r="S218" i="2" s="1"/>
  <c r="X218" i="2"/>
  <c r="Z218" i="2"/>
  <c r="AD218" i="2"/>
  <c r="AE218" i="2"/>
  <c r="E219" i="2"/>
  <c r="F219" i="2" s="1"/>
  <c r="G219" i="2"/>
  <c r="H219" i="2" s="1"/>
  <c r="L219" i="2"/>
  <c r="M219" i="2" s="1"/>
  <c r="R219" i="2"/>
  <c r="S219" i="2" s="1"/>
  <c r="X219" i="2"/>
  <c r="Z219" i="2"/>
  <c r="AD219" i="2"/>
  <c r="AE219" i="2"/>
  <c r="E220" i="2"/>
  <c r="F220" i="2" s="1"/>
  <c r="G220" i="2"/>
  <c r="H220" i="2" s="1"/>
  <c r="L220" i="2"/>
  <c r="R220" i="2"/>
  <c r="S220" i="2" s="1"/>
  <c r="X220" i="2"/>
  <c r="Z220" i="2"/>
  <c r="AD220" i="2"/>
  <c r="AE220" i="2"/>
  <c r="E221" i="2"/>
  <c r="F221" i="2" s="1"/>
  <c r="G221" i="2"/>
  <c r="H221" i="2" s="1"/>
  <c r="L221" i="2"/>
  <c r="R221" i="2"/>
  <c r="S221" i="2" s="1"/>
  <c r="X221" i="2"/>
  <c r="Z221" i="2"/>
  <c r="AD221" i="2"/>
  <c r="AE221" i="2"/>
  <c r="E222" i="2"/>
  <c r="F222" i="2" s="1"/>
  <c r="G222" i="2"/>
  <c r="H222" i="2" s="1"/>
  <c r="L222" i="2"/>
  <c r="M222" i="2" s="1"/>
  <c r="R222" i="2"/>
  <c r="S222" i="2" s="1"/>
  <c r="X222" i="2"/>
  <c r="Z222" i="2"/>
  <c r="AD222" i="2"/>
  <c r="AE222" i="2"/>
  <c r="E223" i="2"/>
  <c r="F223" i="2" s="1"/>
  <c r="G223" i="2"/>
  <c r="H223" i="2" s="1"/>
  <c r="L223" i="2"/>
  <c r="M223" i="2" s="1"/>
  <c r="R223" i="2"/>
  <c r="S223" i="2" s="1"/>
  <c r="X223" i="2"/>
  <c r="Z223" i="2"/>
  <c r="AD223" i="2"/>
  <c r="AE223" i="2"/>
  <c r="E224" i="2"/>
  <c r="F224" i="2" s="1"/>
  <c r="G224" i="2"/>
  <c r="H224" i="2" s="1"/>
  <c r="L224" i="2"/>
  <c r="M224" i="2" s="1"/>
  <c r="R224" i="2"/>
  <c r="S224" i="2" s="1"/>
  <c r="X224" i="2"/>
  <c r="Z224" i="2"/>
  <c r="AD224" i="2"/>
  <c r="AE224" i="2"/>
  <c r="E225" i="2"/>
  <c r="F225" i="2" s="1"/>
  <c r="G225" i="2"/>
  <c r="H225" i="2" s="1"/>
  <c r="L225" i="2"/>
  <c r="M225" i="2" s="1"/>
  <c r="R225" i="2"/>
  <c r="S225" i="2" s="1"/>
  <c r="X225" i="2"/>
  <c r="Z225" i="2"/>
  <c r="AD225" i="2"/>
  <c r="AE225" i="2"/>
  <c r="E226" i="2"/>
  <c r="F226" i="2" s="1"/>
  <c r="G226" i="2"/>
  <c r="H226" i="2" s="1"/>
  <c r="L226" i="2"/>
  <c r="M226" i="2" s="1"/>
  <c r="R226" i="2"/>
  <c r="S226" i="2" s="1"/>
  <c r="X226" i="2"/>
  <c r="Z226" i="2"/>
  <c r="AD226" i="2"/>
  <c r="AE226" i="2"/>
  <c r="E227" i="2"/>
  <c r="F227" i="2" s="1"/>
  <c r="G227" i="2"/>
  <c r="H227" i="2" s="1"/>
  <c r="L227" i="2"/>
  <c r="M227" i="2" s="1"/>
  <c r="R227" i="2"/>
  <c r="S227" i="2" s="1"/>
  <c r="X227" i="2"/>
  <c r="Z227" i="2"/>
  <c r="AD227" i="2"/>
  <c r="AE227" i="2"/>
  <c r="E228" i="2"/>
  <c r="F228" i="2" s="1"/>
  <c r="G228" i="2"/>
  <c r="H228" i="2" s="1"/>
  <c r="L228" i="2"/>
  <c r="M228" i="2" s="1"/>
  <c r="R228" i="2"/>
  <c r="S228" i="2" s="1"/>
  <c r="X228" i="2"/>
  <c r="Z228" i="2"/>
  <c r="AD228" i="2"/>
  <c r="AE228" i="2"/>
  <c r="E229" i="2"/>
  <c r="F229" i="2" s="1"/>
  <c r="G229" i="2"/>
  <c r="H229" i="2" s="1"/>
  <c r="L229" i="2"/>
  <c r="M229" i="2" s="1"/>
  <c r="R229" i="2"/>
  <c r="S229" i="2" s="1"/>
  <c r="X229" i="2"/>
  <c r="Z229" i="2"/>
  <c r="AD229" i="2"/>
  <c r="AE229" i="2"/>
  <c r="E230" i="2"/>
  <c r="F230" i="2" s="1"/>
  <c r="G230" i="2"/>
  <c r="H230" i="2" s="1"/>
  <c r="L230" i="2"/>
  <c r="M230" i="2" s="1"/>
  <c r="R230" i="2"/>
  <c r="S230" i="2" s="1"/>
  <c r="X230" i="2"/>
  <c r="Z230" i="2"/>
  <c r="AD230" i="2"/>
  <c r="AE230" i="2"/>
  <c r="E231" i="2"/>
  <c r="F231" i="2" s="1"/>
  <c r="G231" i="2"/>
  <c r="H231" i="2" s="1"/>
  <c r="L231" i="2"/>
  <c r="R231" i="2"/>
  <c r="S231" i="2" s="1"/>
  <c r="X231" i="2"/>
  <c r="Z231" i="2"/>
  <c r="AD231" i="2"/>
  <c r="AE231" i="2"/>
  <c r="E232" i="2"/>
  <c r="F232" i="2" s="1"/>
  <c r="G232" i="2"/>
  <c r="H232" i="2" s="1"/>
  <c r="L232" i="2"/>
  <c r="M232" i="2" s="1"/>
  <c r="R232" i="2"/>
  <c r="S232" i="2" s="1"/>
  <c r="X232" i="2"/>
  <c r="Z232" i="2"/>
  <c r="AD232" i="2"/>
  <c r="AE232" i="2"/>
  <c r="E233" i="2"/>
  <c r="F233" i="2" s="1"/>
  <c r="G233" i="2"/>
  <c r="H233" i="2" s="1"/>
  <c r="L233" i="2"/>
  <c r="R233" i="2"/>
  <c r="S233" i="2" s="1"/>
  <c r="X233" i="2"/>
  <c r="Z233" i="2"/>
  <c r="AD233" i="2"/>
  <c r="AE233" i="2"/>
  <c r="E234" i="2"/>
  <c r="F234" i="2" s="1"/>
  <c r="G234" i="2"/>
  <c r="H234" i="2" s="1"/>
  <c r="L234" i="2"/>
  <c r="M234" i="2" s="1"/>
  <c r="R234" i="2"/>
  <c r="S234" i="2" s="1"/>
  <c r="X234" i="2"/>
  <c r="Z234" i="2"/>
  <c r="AD234" i="2"/>
  <c r="AE234" i="2"/>
  <c r="E235" i="2"/>
  <c r="F235" i="2" s="1"/>
  <c r="G235" i="2"/>
  <c r="H235" i="2" s="1"/>
  <c r="L235" i="2"/>
  <c r="R235" i="2"/>
  <c r="S235" i="2" s="1"/>
  <c r="X235" i="2"/>
  <c r="Z235" i="2"/>
  <c r="AD235" i="2"/>
  <c r="AE235" i="2"/>
  <c r="E236" i="2"/>
  <c r="F236" i="2" s="1"/>
  <c r="G236" i="2"/>
  <c r="H236" i="2" s="1"/>
  <c r="L236" i="2"/>
  <c r="M236" i="2" s="1"/>
  <c r="R236" i="2"/>
  <c r="S236" i="2" s="1"/>
  <c r="X236" i="2"/>
  <c r="Z236" i="2"/>
  <c r="AD236" i="2"/>
  <c r="AE236" i="2"/>
  <c r="E237" i="2"/>
  <c r="F237" i="2" s="1"/>
  <c r="G237" i="2"/>
  <c r="H237" i="2" s="1"/>
  <c r="L237" i="2"/>
  <c r="R237" i="2"/>
  <c r="S237" i="2" s="1"/>
  <c r="X237" i="2"/>
  <c r="Z237" i="2"/>
  <c r="AD237" i="2"/>
  <c r="AE237" i="2"/>
  <c r="E238" i="2"/>
  <c r="F238" i="2" s="1"/>
  <c r="G238" i="2"/>
  <c r="H238" i="2" s="1"/>
  <c r="L238" i="2"/>
  <c r="R238" i="2"/>
  <c r="S238" i="2" s="1"/>
  <c r="X238" i="2"/>
  <c r="Z238" i="2"/>
  <c r="AD238" i="2"/>
  <c r="AE238" i="2"/>
  <c r="E239" i="2"/>
  <c r="F239" i="2" s="1"/>
  <c r="G239" i="2"/>
  <c r="H239" i="2" s="1"/>
  <c r="L239" i="2"/>
  <c r="M239" i="2" s="1"/>
  <c r="R239" i="2"/>
  <c r="S239" i="2" s="1"/>
  <c r="X239" i="2"/>
  <c r="Z239" i="2"/>
  <c r="AD239" i="2"/>
  <c r="AE239" i="2"/>
  <c r="E240" i="2"/>
  <c r="F240" i="2" s="1"/>
  <c r="G240" i="2"/>
  <c r="H240" i="2" s="1"/>
  <c r="L240" i="2"/>
  <c r="M240" i="2" s="1"/>
  <c r="R240" i="2"/>
  <c r="S240" i="2" s="1"/>
  <c r="X240" i="2"/>
  <c r="Z240" i="2"/>
  <c r="AD240" i="2"/>
  <c r="AE240" i="2"/>
  <c r="E241" i="2"/>
  <c r="F241" i="2" s="1"/>
  <c r="G241" i="2"/>
  <c r="H241" i="2" s="1"/>
  <c r="L241" i="2"/>
  <c r="M241" i="2" s="1"/>
  <c r="R241" i="2"/>
  <c r="S241" i="2" s="1"/>
  <c r="X241" i="2"/>
  <c r="Z241" i="2"/>
  <c r="AD241" i="2"/>
  <c r="AE241" i="2"/>
  <c r="E242" i="2"/>
  <c r="F242" i="2" s="1"/>
  <c r="G242" i="2"/>
  <c r="H242" i="2" s="1"/>
  <c r="L242" i="2"/>
  <c r="M242" i="2" s="1"/>
  <c r="R242" i="2"/>
  <c r="S242" i="2" s="1"/>
  <c r="X242" i="2"/>
  <c r="Z242" i="2"/>
  <c r="AD242" i="2"/>
  <c r="AE242" i="2"/>
  <c r="E243" i="2"/>
  <c r="F243" i="2" s="1"/>
  <c r="G243" i="2"/>
  <c r="H243" i="2" s="1"/>
  <c r="L243" i="2"/>
  <c r="M243" i="2" s="1"/>
  <c r="R243" i="2"/>
  <c r="S243" i="2" s="1"/>
  <c r="X243" i="2"/>
  <c r="Z243" i="2"/>
  <c r="AD243" i="2"/>
  <c r="AE243" i="2"/>
  <c r="E244" i="2"/>
  <c r="F244" i="2" s="1"/>
  <c r="G244" i="2"/>
  <c r="H244" i="2" s="1"/>
  <c r="L244" i="2"/>
  <c r="M244" i="2" s="1"/>
  <c r="R244" i="2"/>
  <c r="S244" i="2" s="1"/>
  <c r="X244" i="2"/>
  <c r="Z244" i="2"/>
  <c r="AD244" i="2"/>
  <c r="AE244" i="2"/>
  <c r="E245" i="2"/>
  <c r="F245" i="2" s="1"/>
  <c r="G245" i="2"/>
  <c r="H245" i="2" s="1"/>
  <c r="L245" i="2"/>
  <c r="M245" i="2" s="1"/>
  <c r="R245" i="2"/>
  <c r="S245" i="2" s="1"/>
  <c r="X245" i="2"/>
  <c r="Z245" i="2"/>
  <c r="AD245" i="2"/>
  <c r="AE245" i="2"/>
  <c r="E246" i="2"/>
  <c r="F246" i="2" s="1"/>
  <c r="G246" i="2"/>
  <c r="H246" i="2" s="1"/>
  <c r="L246" i="2"/>
  <c r="M246" i="2" s="1"/>
  <c r="R246" i="2"/>
  <c r="S246" i="2" s="1"/>
  <c r="X246" i="2"/>
  <c r="Z246" i="2"/>
  <c r="AD246" i="2"/>
  <c r="AE246" i="2"/>
  <c r="E247" i="2"/>
  <c r="F247" i="2" s="1"/>
  <c r="G247" i="2"/>
  <c r="H247" i="2" s="1"/>
  <c r="L247" i="2"/>
  <c r="M247" i="2" s="1"/>
  <c r="R247" i="2"/>
  <c r="S247" i="2" s="1"/>
  <c r="X247" i="2"/>
  <c r="Z247" i="2"/>
  <c r="AD247" i="2"/>
  <c r="AE247" i="2"/>
  <c r="E248" i="2"/>
  <c r="F248" i="2" s="1"/>
  <c r="G248" i="2"/>
  <c r="H248" i="2" s="1"/>
  <c r="L248" i="2"/>
  <c r="M248" i="2" s="1"/>
  <c r="R248" i="2"/>
  <c r="S248" i="2" s="1"/>
  <c r="X248" i="2"/>
  <c r="Z248" i="2"/>
  <c r="AD248" i="2"/>
  <c r="AE248" i="2"/>
  <c r="E249" i="2"/>
  <c r="F249" i="2" s="1"/>
  <c r="G249" i="2"/>
  <c r="H249" i="2" s="1"/>
  <c r="L249" i="2"/>
  <c r="M249" i="2" s="1"/>
  <c r="R249" i="2"/>
  <c r="S249" i="2" s="1"/>
  <c r="X249" i="2"/>
  <c r="Z249" i="2"/>
  <c r="AD249" i="2"/>
  <c r="AE249" i="2"/>
  <c r="E250" i="2"/>
  <c r="F250" i="2" s="1"/>
  <c r="G250" i="2"/>
  <c r="H250" i="2" s="1"/>
  <c r="L250" i="2"/>
  <c r="M250" i="2" s="1"/>
  <c r="R250" i="2"/>
  <c r="S250" i="2" s="1"/>
  <c r="X250" i="2"/>
  <c r="Z250" i="2"/>
  <c r="AD250" i="2"/>
  <c r="AE250" i="2"/>
  <c r="E251" i="2"/>
  <c r="F251" i="2" s="1"/>
  <c r="G251" i="2"/>
  <c r="H251" i="2" s="1"/>
  <c r="L251" i="2"/>
  <c r="M251" i="2" s="1"/>
  <c r="R251" i="2"/>
  <c r="S251" i="2" s="1"/>
  <c r="X251" i="2"/>
  <c r="Z251" i="2"/>
  <c r="AD251" i="2"/>
  <c r="AE251" i="2"/>
  <c r="E252" i="2"/>
  <c r="F252" i="2" s="1"/>
  <c r="G252" i="2"/>
  <c r="H252" i="2" s="1"/>
  <c r="L252" i="2"/>
  <c r="M252" i="2" s="1"/>
  <c r="R252" i="2"/>
  <c r="S252" i="2" s="1"/>
  <c r="X252" i="2"/>
  <c r="Z252" i="2"/>
  <c r="AD252" i="2"/>
  <c r="AE252" i="2"/>
  <c r="E253" i="2"/>
  <c r="F253" i="2" s="1"/>
  <c r="G253" i="2"/>
  <c r="H253" i="2" s="1"/>
  <c r="L253" i="2"/>
  <c r="M253" i="2" s="1"/>
  <c r="R253" i="2"/>
  <c r="S253" i="2" s="1"/>
  <c r="X253" i="2"/>
  <c r="Z253" i="2"/>
  <c r="AD253" i="2"/>
  <c r="AE253" i="2"/>
  <c r="E254" i="2"/>
  <c r="F254" i="2" s="1"/>
  <c r="G254" i="2"/>
  <c r="H254" i="2" s="1"/>
  <c r="L254" i="2"/>
  <c r="M254" i="2" s="1"/>
  <c r="R254" i="2"/>
  <c r="S254" i="2" s="1"/>
  <c r="X254" i="2"/>
  <c r="Z254" i="2"/>
  <c r="AD254" i="2"/>
  <c r="AE254" i="2"/>
  <c r="E255" i="2"/>
  <c r="F255" i="2" s="1"/>
  <c r="G255" i="2"/>
  <c r="H255" i="2" s="1"/>
  <c r="L255" i="2"/>
  <c r="M255" i="2" s="1"/>
  <c r="R255" i="2"/>
  <c r="S255" i="2" s="1"/>
  <c r="X255" i="2"/>
  <c r="Z255" i="2"/>
  <c r="AD255" i="2"/>
  <c r="AE255" i="2"/>
  <c r="E256" i="2"/>
  <c r="F256" i="2" s="1"/>
  <c r="G256" i="2"/>
  <c r="H256" i="2" s="1"/>
  <c r="L256" i="2"/>
  <c r="M256" i="2" s="1"/>
  <c r="R256" i="2"/>
  <c r="S256" i="2" s="1"/>
  <c r="X256" i="2"/>
  <c r="Z256" i="2"/>
  <c r="AD256" i="2"/>
  <c r="AE256" i="2"/>
  <c r="E257" i="2"/>
  <c r="F257" i="2" s="1"/>
  <c r="G257" i="2"/>
  <c r="H257" i="2" s="1"/>
  <c r="L257" i="2"/>
  <c r="M257" i="2" s="1"/>
  <c r="R257" i="2"/>
  <c r="S257" i="2" s="1"/>
  <c r="X257" i="2"/>
  <c r="Z257" i="2"/>
  <c r="AD257" i="2"/>
  <c r="AE257" i="2"/>
  <c r="E258" i="2"/>
  <c r="F258" i="2" s="1"/>
  <c r="G258" i="2"/>
  <c r="H258" i="2" s="1"/>
  <c r="L258" i="2"/>
  <c r="M258" i="2" s="1"/>
  <c r="R258" i="2"/>
  <c r="S258" i="2" s="1"/>
  <c r="X258" i="2"/>
  <c r="Z258" i="2"/>
  <c r="AD258" i="2"/>
  <c r="AE258" i="2"/>
  <c r="E259" i="2"/>
  <c r="F259" i="2" s="1"/>
  <c r="G259" i="2"/>
  <c r="H259" i="2" s="1"/>
  <c r="L259" i="2"/>
  <c r="M259" i="2" s="1"/>
  <c r="R259" i="2"/>
  <c r="S259" i="2" s="1"/>
  <c r="X259" i="2"/>
  <c r="Z259" i="2"/>
  <c r="AD259" i="2"/>
  <c r="AE259" i="2"/>
  <c r="E260" i="2"/>
  <c r="F260" i="2" s="1"/>
  <c r="G260" i="2"/>
  <c r="H260" i="2" s="1"/>
  <c r="L260" i="2"/>
  <c r="M260" i="2" s="1"/>
  <c r="R260" i="2"/>
  <c r="S260" i="2" s="1"/>
  <c r="X260" i="2"/>
  <c r="Z260" i="2"/>
  <c r="AD260" i="2"/>
  <c r="AE260" i="2"/>
  <c r="E261" i="2"/>
  <c r="F261" i="2" s="1"/>
  <c r="G261" i="2"/>
  <c r="H261" i="2" s="1"/>
  <c r="L261" i="2"/>
  <c r="M261" i="2" s="1"/>
  <c r="R261" i="2"/>
  <c r="S261" i="2" s="1"/>
  <c r="X261" i="2"/>
  <c r="Z261" i="2"/>
  <c r="AD261" i="2"/>
  <c r="AE261" i="2"/>
  <c r="E262" i="2"/>
  <c r="F262" i="2" s="1"/>
  <c r="G262" i="2"/>
  <c r="H262" i="2" s="1"/>
  <c r="L262" i="2"/>
  <c r="M262" i="2" s="1"/>
  <c r="R262" i="2"/>
  <c r="S262" i="2" s="1"/>
  <c r="X262" i="2"/>
  <c r="Z262" i="2"/>
  <c r="AD262" i="2"/>
  <c r="AE262" i="2"/>
  <c r="E263" i="2"/>
  <c r="F263" i="2" s="1"/>
  <c r="G263" i="2"/>
  <c r="H263" i="2" s="1"/>
  <c r="L263" i="2"/>
  <c r="M263" i="2" s="1"/>
  <c r="R263" i="2"/>
  <c r="S263" i="2" s="1"/>
  <c r="X263" i="2"/>
  <c r="Z263" i="2"/>
  <c r="AD263" i="2"/>
  <c r="AE263" i="2"/>
  <c r="E264" i="2"/>
  <c r="F264" i="2" s="1"/>
  <c r="G264" i="2"/>
  <c r="H264" i="2" s="1"/>
  <c r="L264" i="2"/>
  <c r="R264" i="2"/>
  <c r="S264" i="2" s="1"/>
  <c r="X264" i="2"/>
  <c r="Z264" i="2"/>
  <c r="AD264" i="2"/>
  <c r="AE264" i="2"/>
  <c r="E265" i="2"/>
  <c r="F265" i="2" s="1"/>
  <c r="G265" i="2"/>
  <c r="H265" i="2" s="1"/>
  <c r="L265" i="2"/>
  <c r="M265" i="2" s="1"/>
  <c r="R265" i="2"/>
  <c r="S265" i="2" s="1"/>
  <c r="X265" i="2"/>
  <c r="Z265" i="2"/>
  <c r="AD265" i="2"/>
  <c r="AE265" i="2"/>
  <c r="E266" i="2"/>
  <c r="F266" i="2" s="1"/>
  <c r="G266" i="2"/>
  <c r="H266" i="2" s="1"/>
  <c r="L266" i="2"/>
  <c r="R266" i="2"/>
  <c r="S266" i="2" s="1"/>
  <c r="X266" i="2"/>
  <c r="Z266" i="2"/>
  <c r="AD266" i="2"/>
  <c r="AE266" i="2"/>
  <c r="E267" i="2"/>
  <c r="F267" i="2" s="1"/>
  <c r="G267" i="2"/>
  <c r="H267" i="2" s="1"/>
  <c r="L267" i="2"/>
  <c r="M267" i="2" s="1"/>
  <c r="R267" i="2"/>
  <c r="S267" i="2" s="1"/>
  <c r="X267" i="2"/>
  <c r="Z267" i="2"/>
  <c r="AD267" i="2"/>
  <c r="AE267" i="2"/>
  <c r="E268" i="2"/>
  <c r="F268" i="2" s="1"/>
  <c r="G268" i="2"/>
  <c r="H268" i="2" s="1"/>
  <c r="L268" i="2"/>
  <c r="R268" i="2"/>
  <c r="S268" i="2" s="1"/>
  <c r="X268" i="2"/>
  <c r="Z268" i="2"/>
  <c r="AD268" i="2"/>
  <c r="AE268" i="2"/>
  <c r="E269" i="2"/>
  <c r="F269" i="2" s="1"/>
  <c r="G269" i="2"/>
  <c r="H269" i="2" s="1"/>
  <c r="L269" i="2"/>
  <c r="M269" i="2" s="1"/>
  <c r="R269" i="2"/>
  <c r="S269" i="2" s="1"/>
  <c r="X269" i="2"/>
  <c r="Z269" i="2"/>
  <c r="AD269" i="2"/>
  <c r="AE269" i="2"/>
  <c r="E270" i="2"/>
  <c r="F270" i="2" s="1"/>
  <c r="G270" i="2"/>
  <c r="H270" i="2" s="1"/>
  <c r="L270" i="2"/>
  <c r="M270" i="2" s="1"/>
  <c r="R270" i="2"/>
  <c r="S270" i="2" s="1"/>
  <c r="X270" i="2"/>
  <c r="Z270" i="2"/>
  <c r="AD270" i="2"/>
  <c r="AE270" i="2"/>
  <c r="E271" i="2"/>
  <c r="F271" i="2" s="1"/>
  <c r="G271" i="2"/>
  <c r="H271" i="2" s="1"/>
  <c r="L271" i="2"/>
  <c r="M271" i="2" s="1"/>
  <c r="R271" i="2"/>
  <c r="S271" i="2" s="1"/>
  <c r="X271" i="2"/>
  <c r="Z271" i="2"/>
  <c r="AD271" i="2"/>
  <c r="AE271" i="2"/>
  <c r="E272" i="2"/>
  <c r="F272" i="2" s="1"/>
  <c r="G272" i="2"/>
  <c r="H272" i="2" s="1"/>
  <c r="L272" i="2"/>
  <c r="M272" i="2" s="1"/>
  <c r="R272" i="2"/>
  <c r="S272" i="2" s="1"/>
  <c r="X272" i="2"/>
  <c r="Z272" i="2"/>
  <c r="AD272" i="2"/>
  <c r="AE272" i="2"/>
  <c r="E273" i="2"/>
  <c r="F273" i="2" s="1"/>
  <c r="G273" i="2"/>
  <c r="H273" i="2" s="1"/>
  <c r="L273" i="2"/>
  <c r="M273" i="2" s="1"/>
  <c r="R273" i="2"/>
  <c r="S273" i="2" s="1"/>
  <c r="X273" i="2"/>
  <c r="Z273" i="2"/>
  <c r="AD273" i="2"/>
  <c r="AE273" i="2"/>
  <c r="E274" i="2"/>
  <c r="F274" i="2" s="1"/>
  <c r="G274" i="2"/>
  <c r="H274" i="2" s="1"/>
  <c r="L274" i="2"/>
  <c r="M274" i="2" s="1"/>
  <c r="R274" i="2"/>
  <c r="S274" i="2" s="1"/>
  <c r="X274" i="2"/>
  <c r="Z274" i="2"/>
  <c r="AD274" i="2"/>
  <c r="AE274" i="2"/>
  <c r="E275" i="2"/>
  <c r="F275" i="2" s="1"/>
  <c r="G275" i="2"/>
  <c r="H275" i="2" s="1"/>
  <c r="L275" i="2"/>
  <c r="M275" i="2" s="1"/>
  <c r="R275" i="2"/>
  <c r="S275" i="2" s="1"/>
  <c r="X275" i="2"/>
  <c r="Z275" i="2"/>
  <c r="AD275" i="2"/>
  <c r="AE275" i="2"/>
  <c r="E276" i="2"/>
  <c r="F276" i="2" s="1"/>
  <c r="G276" i="2"/>
  <c r="H276" i="2" s="1"/>
  <c r="L276" i="2"/>
  <c r="M276" i="2" s="1"/>
  <c r="R276" i="2"/>
  <c r="S276" i="2" s="1"/>
  <c r="X276" i="2"/>
  <c r="Z276" i="2"/>
  <c r="AD276" i="2"/>
  <c r="AE276" i="2"/>
  <c r="E277" i="2"/>
  <c r="F277" i="2" s="1"/>
  <c r="G277" i="2"/>
  <c r="H277" i="2" s="1"/>
  <c r="L277" i="2"/>
  <c r="M277" i="2" s="1"/>
  <c r="R277" i="2"/>
  <c r="S277" i="2" s="1"/>
  <c r="X277" i="2"/>
  <c r="Z277" i="2"/>
  <c r="AD277" i="2"/>
  <c r="AE277" i="2"/>
  <c r="E278" i="2"/>
  <c r="F278" i="2" s="1"/>
  <c r="G278" i="2"/>
  <c r="H278" i="2" s="1"/>
  <c r="L278" i="2"/>
  <c r="M278" i="2" s="1"/>
  <c r="R278" i="2"/>
  <c r="S278" i="2" s="1"/>
  <c r="X278" i="2"/>
  <c r="Z278" i="2"/>
  <c r="AD278" i="2"/>
  <c r="AE278" i="2"/>
  <c r="E279" i="2"/>
  <c r="F279" i="2" s="1"/>
  <c r="G279" i="2"/>
  <c r="H279" i="2" s="1"/>
  <c r="L279" i="2"/>
  <c r="M279" i="2" s="1"/>
  <c r="R279" i="2"/>
  <c r="S279" i="2" s="1"/>
  <c r="X279" i="2"/>
  <c r="Z279" i="2"/>
  <c r="AD279" i="2"/>
  <c r="AE279" i="2"/>
  <c r="E280" i="2"/>
  <c r="F280" i="2" s="1"/>
  <c r="G280" i="2"/>
  <c r="H280" i="2" s="1"/>
  <c r="L280" i="2"/>
  <c r="M280" i="2" s="1"/>
  <c r="R280" i="2"/>
  <c r="S280" i="2" s="1"/>
  <c r="X280" i="2"/>
  <c r="Z280" i="2"/>
  <c r="AD280" i="2"/>
  <c r="AE280" i="2"/>
  <c r="E281" i="2"/>
  <c r="F281" i="2" s="1"/>
  <c r="G281" i="2"/>
  <c r="H281" i="2" s="1"/>
  <c r="L281" i="2"/>
  <c r="M281" i="2" s="1"/>
  <c r="R281" i="2"/>
  <c r="S281" i="2" s="1"/>
  <c r="X281" i="2"/>
  <c r="Z281" i="2"/>
  <c r="AD281" i="2"/>
  <c r="AE281" i="2"/>
  <c r="E282" i="2"/>
  <c r="F282" i="2" s="1"/>
  <c r="G282" i="2"/>
  <c r="H282" i="2" s="1"/>
  <c r="L282" i="2"/>
  <c r="M282" i="2" s="1"/>
  <c r="R282" i="2"/>
  <c r="S282" i="2" s="1"/>
  <c r="X282" i="2"/>
  <c r="Z282" i="2"/>
  <c r="AD282" i="2"/>
  <c r="AE282" i="2"/>
  <c r="E283" i="2"/>
  <c r="F283" i="2" s="1"/>
  <c r="G283" i="2"/>
  <c r="H283" i="2" s="1"/>
  <c r="L283" i="2"/>
  <c r="M283" i="2" s="1"/>
  <c r="R283" i="2"/>
  <c r="S283" i="2" s="1"/>
  <c r="X283" i="2"/>
  <c r="Z283" i="2"/>
  <c r="AD283" i="2"/>
  <c r="AE283" i="2"/>
  <c r="E284" i="2"/>
  <c r="F284" i="2" s="1"/>
  <c r="G284" i="2"/>
  <c r="H284" i="2" s="1"/>
  <c r="L284" i="2"/>
  <c r="M284" i="2" s="1"/>
  <c r="R284" i="2"/>
  <c r="S284" i="2" s="1"/>
  <c r="X284" i="2"/>
  <c r="Z284" i="2"/>
  <c r="AD284" i="2"/>
  <c r="AE284" i="2"/>
  <c r="E285" i="2"/>
  <c r="F285" i="2" s="1"/>
  <c r="G285" i="2"/>
  <c r="H285" i="2" s="1"/>
  <c r="L285" i="2"/>
  <c r="M285" i="2" s="1"/>
  <c r="R285" i="2"/>
  <c r="S285" i="2" s="1"/>
  <c r="X285" i="2"/>
  <c r="Z285" i="2"/>
  <c r="AD285" i="2"/>
  <c r="AE285" i="2"/>
  <c r="E286" i="2"/>
  <c r="F286" i="2" s="1"/>
  <c r="G286" i="2"/>
  <c r="H286" i="2" s="1"/>
  <c r="L286" i="2"/>
  <c r="M286" i="2" s="1"/>
  <c r="R286" i="2"/>
  <c r="S286" i="2" s="1"/>
  <c r="X286" i="2"/>
  <c r="Z286" i="2"/>
  <c r="AD286" i="2"/>
  <c r="AE286" i="2"/>
  <c r="E287" i="2"/>
  <c r="F287" i="2" s="1"/>
  <c r="G287" i="2"/>
  <c r="H287" i="2" s="1"/>
  <c r="L287" i="2"/>
  <c r="M287" i="2" s="1"/>
  <c r="R287" i="2"/>
  <c r="S287" i="2" s="1"/>
  <c r="X287" i="2"/>
  <c r="Z287" i="2"/>
  <c r="AD287" i="2"/>
  <c r="AE287" i="2"/>
  <c r="E288" i="2"/>
  <c r="F288" i="2" s="1"/>
  <c r="G288" i="2"/>
  <c r="H288" i="2" s="1"/>
  <c r="L288" i="2"/>
  <c r="M288" i="2" s="1"/>
  <c r="R288" i="2"/>
  <c r="S288" i="2" s="1"/>
  <c r="X288" i="2"/>
  <c r="Z288" i="2"/>
  <c r="AD288" i="2"/>
  <c r="AE288" i="2"/>
  <c r="E289" i="2"/>
  <c r="F289" i="2" s="1"/>
  <c r="G289" i="2"/>
  <c r="H289" i="2" s="1"/>
  <c r="L289" i="2"/>
  <c r="M289" i="2" s="1"/>
  <c r="R289" i="2"/>
  <c r="S289" i="2" s="1"/>
  <c r="X289" i="2"/>
  <c r="Z289" i="2"/>
  <c r="AD289" i="2"/>
  <c r="AE289" i="2"/>
  <c r="E290" i="2"/>
  <c r="F290" i="2" s="1"/>
  <c r="G290" i="2"/>
  <c r="H290" i="2" s="1"/>
  <c r="L290" i="2"/>
  <c r="M290" i="2" s="1"/>
  <c r="R290" i="2"/>
  <c r="S290" i="2" s="1"/>
  <c r="X290" i="2"/>
  <c r="Z290" i="2"/>
  <c r="AD290" i="2"/>
  <c r="AE290" i="2"/>
  <c r="E291" i="2"/>
  <c r="F291" i="2" s="1"/>
  <c r="G291" i="2"/>
  <c r="H291" i="2" s="1"/>
  <c r="L291" i="2"/>
  <c r="M291" i="2" s="1"/>
  <c r="R291" i="2"/>
  <c r="S291" i="2" s="1"/>
  <c r="X291" i="2"/>
  <c r="Z291" i="2"/>
  <c r="AD291" i="2"/>
  <c r="AE291" i="2"/>
  <c r="E292" i="2"/>
  <c r="F292" i="2" s="1"/>
  <c r="G292" i="2"/>
  <c r="H292" i="2" s="1"/>
  <c r="L292" i="2"/>
  <c r="M292" i="2" s="1"/>
  <c r="R292" i="2"/>
  <c r="S292" i="2" s="1"/>
  <c r="X292" i="2"/>
  <c r="Z292" i="2"/>
  <c r="AD292" i="2"/>
  <c r="AE292" i="2"/>
  <c r="E293" i="2"/>
  <c r="F293" i="2" s="1"/>
  <c r="G293" i="2"/>
  <c r="H293" i="2" s="1"/>
  <c r="L293" i="2"/>
  <c r="M293" i="2" s="1"/>
  <c r="R293" i="2"/>
  <c r="S293" i="2" s="1"/>
  <c r="X293" i="2"/>
  <c r="Z293" i="2"/>
  <c r="AD293" i="2"/>
  <c r="AE293" i="2"/>
  <c r="E294" i="2"/>
  <c r="F294" i="2" s="1"/>
  <c r="G294" i="2"/>
  <c r="H294" i="2" s="1"/>
  <c r="L294" i="2"/>
  <c r="M294" i="2" s="1"/>
  <c r="R294" i="2"/>
  <c r="S294" i="2" s="1"/>
  <c r="X294" i="2"/>
  <c r="Z294" i="2"/>
  <c r="AD294" i="2"/>
  <c r="AE294" i="2"/>
  <c r="E295" i="2"/>
  <c r="F295" i="2" s="1"/>
  <c r="G295" i="2"/>
  <c r="H295" i="2" s="1"/>
  <c r="L295" i="2"/>
  <c r="M295" i="2" s="1"/>
  <c r="R295" i="2"/>
  <c r="S295" i="2" s="1"/>
  <c r="X295" i="2"/>
  <c r="Z295" i="2"/>
  <c r="AD295" i="2"/>
  <c r="AE295" i="2"/>
  <c r="E296" i="2"/>
  <c r="F296" i="2" s="1"/>
  <c r="G296" i="2"/>
  <c r="H296" i="2" s="1"/>
  <c r="L296" i="2"/>
  <c r="M296" i="2" s="1"/>
  <c r="R296" i="2"/>
  <c r="S296" i="2" s="1"/>
  <c r="X296" i="2"/>
  <c r="Z296" i="2"/>
  <c r="AD296" i="2"/>
  <c r="AE296" i="2"/>
  <c r="E297" i="2"/>
  <c r="F297" i="2" s="1"/>
  <c r="G297" i="2"/>
  <c r="H297" i="2" s="1"/>
  <c r="L297" i="2"/>
  <c r="M297" i="2" s="1"/>
  <c r="R297" i="2"/>
  <c r="S297" i="2" s="1"/>
  <c r="X297" i="2"/>
  <c r="Z297" i="2"/>
  <c r="AD297" i="2"/>
  <c r="AE297" i="2"/>
  <c r="E298" i="2"/>
  <c r="F298" i="2" s="1"/>
  <c r="G298" i="2"/>
  <c r="H298" i="2" s="1"/>
  <c r="L298" i="2"/>
  <c r="M298" i="2" s="1"/>
  <c r="R298" i="2"/>
  <c r="S298" i="2" s="1"/>
  <c r="X298" i="2"/>
  <c r="Z298" i="2"/>
  <c r="AD298" i="2"/>
  <c r="AE298" i="2"/>
  <c r="E299" i="2"/>
  <c r="F299" i="2" s="1"/>
  <c r="G299" i="2"/>
  <c r="H299" i="2" s="1"/>
  <c r="L299" i="2"/>
  <c r="M299" i="2" s="1"/>
  <c r="R299" i="2"/>
  <c r="S299" i="2" s="1"/>
  <c r="X299" i="2"/>
  <c r="Z299" i="2"/>
  <c r="AD299" i="2"/>
  <c r="AE299" i="2"/>
  <c r="E300" i="2"/>
  <c r="F300" i="2" s="1"/>
  <c r="G300" i="2"/>
  <c r="H300" i="2" s="1"/>
  <c r="L300" i="2"/>
  <c r="M300" i="2" s="1"/>
  <c r="R300" i="2"/>
  <c r="S300" i="2" s="1"/>
  <c r="X300" i="2"/>
  <c r="Z300" i="2"/>
  <c r="AD300" i="2"/>
  <c r="AE300" i="2"/>
  <c r="E301" i="2"/>
  <c r="F301" i="2" s="1"/>
  <c r="G301" i="2"/>
  <c r="H301" i="2" s="1"/>
  <c r="L301" i="2"/>
  <c r="M301" i="2" s="1"/>
  <c r="R301" i="2"/>
  <c r="S301" i="2" s="1"/>
  <c r="X301" i="2"/>
  <c r="Z301" i="2"/>
  <c r="AD301" i="2"/>
  <c r="AE301" i="2"/>
  <c r="AE152" i="2"/>
  <c r="AD152" i="2"/>
  <c r="Z152" i="2"/>
  <c r="X152" i="2"/>
  <c r="R152" i="2"/>
  <c r="S152" i="2" s="1"/>
  <c r="L152" i="2"/>
  <c r="M152" i="2" s="1"/>
  <c r="G152" i="2"/>
  <c r="H152" i="2" s="1"/>
  <c r="E152" i="2"/>
  <c r="F152" i="2" s="1"/>
  <c r="E151" i="2"/>
  <c r="F151" i="2" s="1"/>
  <c r="T111" i="1"/>
  <c r="S111" i="1"/>
  <c r="N201" i="2" s="1"/>
  <c r="Q111" i="1"/>
  <c r="J201" i="2" s="1"/>
  <c r="K201" i="2" s="1"/>
  <c r="T110" i="1"/>
  <c r="P250" i="2" s="1"/>
  <c r="S110" i="1"/>
  <c r="N200" i="2" s="1"/>
  <c r="Q110" i="1"/>
  <c r="J200" i="2" s="1"/>
  <c r="K200" i="2" s="1"/>
  <c r="T109" i="1"/>
  <c r="S109" i="1"/>
  <c r="N199" i="2" s="1"/>
  <c r="Q109" i="1"/>
  <c r="J199" i="2" s="1"/>
  <c r="K199" i="2" s="1"/>
  <c r="T108" i="1"/>
  <c r="P273" i="2" s="1"/>
  <c r="S108" i="1"/>
  <c r="N198" i="2" s="1"/>
  <c r="Q108" i="1"/>
  <c r="J198" i="2" s="1"/>
  <c r="K198" i="2" s="1"/>
  <c r="T107" i="1"/>
  <c r="S107" i="1"/>
  <c r="N197" i="2" s="1"/>
  <c r="Q107" i="1"/>
  <c r="J197" i="2" s="1"/>
  <c r="K197" i="2" s="1"/>
  <c r="T106" i="1"/>
  <c r="P271" i="2" s="1"/>
  <c r="S106" i="1"/>
  <c r="N196" i="2" s="1"/>
  <c r="Q106" i="1"/>
  <c r="J196" i="2" s="1"/>
  <c r="T105" i="1"/>
  <c r="S105" i="1"/>
  <c r="N195" i="2" s="1"/>
  <c r="Q105" i="1"/>
  <c r="J195" i="2" s="1"/>
  <c r="T104" i="1"/>
  <c r="P269" i="2" s="1"/>
  <c r="S104" i="1"/>
  <c r="N194" i="2" s="1"/>
  <c r="Q104" i="1"/>
  <c r="J194" i="2" s="1"/>
  <c r="T103" i="1"/>
  <c r="S103" i="1"/>
  <c r="N193" i="2" s="1"/>
  <c r="Q103" i="1"/>
  <c r="J193" i="2" s="1"/>
  <c r="T102" i="1"/>
  <c r="P267" i="2" s="1"/>
  <c r="S102" i="1"/>
  <c r="N192" i="2" s="1"/>
  <c r="Q102" i="1"/>
  <c r="J192" i="2" s="1"/>
  <c r="T101" i="1"/>
  <c r="S101" i="1"/>
  <c r="Q101" i="1"/>
  <c r="T100" i="1"/>
  <c r="P265" i="2" s="1"/>
  <c r="S100" i="1"/>
  <c r="Q100" i="1"/>
  <c r="T99" i="1"/>
  <c r="S99" i="1"/>
  <c r="Q99" i="1"/>
  <c r="T98" i="1"/>
  <c r="P263" i="2" s="1"/>
  <c r="S98" i="1"/>
  <c r="Q98" i="1"/>
  <c r="T97" i="1"/>
  <c r="S97" i="1"/>
  <c r="Q97" i="1"/>
  <c r="T96" i="1"/>
  <c r="S96" i="1"/>
  <c r="Q96" i="1"/>
  <c r="T95" i="1"/>
  <c r="S95" i="1"/>
  <c r="Q95" i="1"/>
  <c r="T94" i="1"/>
  <c r="S94" i="1"/>
  <c r="Q94" i="1"/>
  <c r="J234" i="2" s="1"/>
  <c r="T93" i="1"/>
  <c r="S93" i="1"/>
  <c r="Q93" i="1"/>
  <c r="T92" i="1"/>
  <c r="P257" i="2" s="1"/>
  <c r="S92" i="1"/>
  <c r="Q92" i="1"/>
  <c r="T91" i="1"/>
  <c r="S91" i="1"/>
  <c r="Q91" i="1"/>
  <c r="T90" i="1"/>
  <c r="S90" i="1"/>
  <c r="Q90" i="1"/>
  <c r="T89" i="1"/>
  <c r="S89" i="1"/>
  <c r="Q89" i="1"/>
  <c r="T88" i="1"/>
  <c r="S88" i="1"/>
  <c r="Q88" i="1"/>
  <c r="J228" i="2" s="1"/>
  <c r="T87" i="1"/>
  <c r="S87" i="1"/>
  <c r="Q87" i="1"/>
  <c r="T86" i="1"/>
  <c r="P176" i="2" s="1"/>
  <c r="S86" i="1"/>
  <c r="N176" i="2" s="1"/>
  <c r="Q86" i="1"/>
  <c r="J176" i="2" s="1"/>
  <c r="K176" i="2" s="1"/>
  <c r="T85" i="1"/>
  <c r="P175" i="2" s="1"/>
  <c r="S85" i="1"/>
  <c r="N175" i="2" s="1"/>
  <c r="Q85" i="1"/>
  <c r="J175" i="2" s="1"/>
  <c r="K175" i="2" s="1"/>
  <c r="T84" i="1"/>
  <c r="P174" i="2" s="1"/>
  <c r="S84" i="1"/>
  <c r="N174" i="2" s="1"/>
  <c r="Q84" i="1"/>
  <c r="J174" i="2" s="1"/>
  <c r="K174" i="2" s="1"/>
  <c r="T83" i="1"/>
  <c r="P173" i="2" s="1"/>
  <c r="S83" i="1"/>
  <c r="N173" i="2" s="1"/>
  <c r="Q83" i="1"/>
  <c r="J173" i="2" s="1"/>
  <c r="K173" i="2" s="1"/>
  <c r="T82" i="1"/>
  <c r="P172" i="2" s="1"/>
  <c r="S82" i="1"/>
  <c r="N172" i="2" s="1"/>
  <c r="Q82" i="1"/>
  <c r="J172" i="2" s="1"/>
  <c r="K172" i="2" s="1"/>
  <c r="T81" i="1"/>
  <c r="P171" i="2" s="1"/>
  <c r="S81" i="1"/>
  <c r="N171" i="2" s="1"/>
  <c r="Q81" i="1"/>
  <c r="J171" i="2" s="1"/>
  <c r="K171" i="2" s="1"/>
  <c r="T80" i="1"/>
  <c r="P170" i="2" s="1"/>
  <c r="S80" i="1"/>
  <c r="N170" i="2" s="1"/>
  <c r="Q80" i="1"/>
  <c r="J170" i="2" s="1"/>
  <c r="K170" i="2" s="1"/>
  <c r="T79" i="1"/>
  <c r="P169" i="2" s="1"/>
  <c r="S79" i="1"/>
  <c r="N169" i="2" s="1"/>
  <c r="Q79" i="1"/>
  <c r="J169" i="2" s="1"/>
  <c r="K169" i="2" s="1"/>
  <c r="T78" i="1"/>
  <c r="P168" i="2" s="1"/>
  <c r="S78" i="1"/>
  <c r="N168" i="2" s="1"/>
  <c r="Q78" i="1"/>
  <c r="J168" i="2" s="1"/>
  <c r="T77" i="1"/>
  <c r="P167" i="2" s="1"/>
  <c r="S77" i="1"/>
  <c r="N167" i="2" s="1"/>
  <c r="Q77" i="1"/>
  <c r="J167" i="2" s="1"/>
  <c r="T76" i="1"/>
  <c r="P166" i="2" s="1"/>
  <c r="S76" i="1"/>
  <c r="N166" i="2" s="1"/>
  <c r="Q76" i="1"/>
  <c r="J166" i="2" s="1"/>
  <c r="T75" i="1"/>
  <c r="P165" i="2" s="1"/>
  <c r="S75" i="1"/>
  <c r="N165" i="2" s="1"/>
  <c r="Q75" i="1"/>
  <c r="J165" i="2" s="1"/>
  <c r="T74" i="1"/>
  <c r="P164" i="2" s="1"/>
  <c r="S74" i="1"/>
  <c r="N164" i="2" s="1"/>
  <c r="Q74" i="1"/>
  <c r="J164" i="2" s="1"/>
  <c r="K164" i="2" s="1"/>
  <c r="T73" i="1"/>
  <c r="P163" i="2" s="1"/>
  <c r="S73" i="1"/>
  <c r="N163" i="2" s="1"/>
  <c r="Q73" i="1"/>
  <c r="J163" i="2" s="1"/>
  <c r="K163" i="2" s="1"/>
  <c r="T72" i="1"/>
  <c r="P162" i="2" s="1"/>
  <c r="S72" i="1"/>
  <c r="N162" i="2" s="1"/>
  <c r="Q72" i="1"/>
  <c r="J162" i="2" s="1"/>
  <c r="K162" i="2" s="1"/>
  <c r="T71" i="1"/>
  <c r="P161" i="2" s="1"/>
  <c r="S71" i="1"/>
  <c r="N161" i="2" s="1"/>
  <c r="Q71" i="1"/>
  <c r="J161" i="2" s="1"/>
  <c r="K161" i="2" s="1"/>
  <c r="T70" i="1"/>
  <c r="P160" i="2" s="1"/>
  <c r="S70" i="1"/>
  <c r="N160" i="2" s="1"/>
  <c r="Q70" i="1"/>
  <c r="J160" i="2" s="1"/>
  <c r="K160" i="2" s="1"/>
  <c r="T69" i="1"/>
  <c r="P159" i="2" s="1"/>
  <c r="S69" i="1"/>
  <c r="N159" i="2" s="1"/>
  <c r="Q69" i="1"/>
  <c r="J159" i="2" s="1"/>
  <c r="K159" i="2" s="1"/>
  <c r="T68" i="1"/>
  <c r="P158" i="2" s="1"/>
  <c r="S68" i="1"/>
  <c r="N158" i="2" s="1"/>
  <c r="Q68" i="1"/>
  <c r="J158" i="2" s="1"/>
  <c r="K158" i="2" s="1"/>
  <c r="T67" i="1"/>
  <c r="P157" i="2" s="1"/>
  <c r="S67" i="1"/>
  <c r="N157" i="2" s="1"/>
  <c r="Q67" i="1"/>
  <c r="J157" i="2" s="1"/>
  <c r="K157" i="2" s="1"/>
  <c r="T66" i="1"/>
  <c r="P156" i="2" s="1"/>
  <c r="S66" i="1"/>
  <c r="N156" i="2" s="1"/>
  <c r="Q66" i="1"/>
  <c r="J156" i="2" s="1"/>
  <c r="K156" i="2" s="1"/>
  <c r="T65" i="1"/>
  <c r="P155" i="2" s="1"/>
  <c r="S65" i="1"/>
  <c r="N155" i="2" s="1"/>
  <c r="Q65" i="1"/>
  <c r="J155" i="2" s="1"/>
  <c r="K155" i="2" s="1"/>
  <c r="T64" i="1"/>
  <c r="P154" i="2" s="1"/>
  <c r="S64" i="1"/>
  <c r="N154" i="2" s="1"/>
  <c r="Q64" i="1"/>
  <c r="J154" i="2" s="1"/>
  <c r="K154" i="2" s="1"/>
  <c r="T63" i="1"/>
  <c r="P153" i="2" s="1"/>
  <c r="S63" i="1"/>
  <c r="N153" i="2" s="1"/>
  <c r="Q63" i="1"/>
  <c r="J153" i="2" s="1"/>
  <c r="T62" i="1"/>
  <c r="P152" i="2" s="1"/>
  <c r="S62" i="1"/>
  <c r="N152" i="2" s="1"/>
  <c r="Q62" i="1"/>
  <c r="J152" i="2" s="1"/>
  <c r="K152" i="2" s="1"/>
  <c r="N300" i="2" l="1"/>
  <c r="N298" i="2"/>
  <c r="J301" i="2"/>
  <c r="I301" i="2" s="1"/>
  <c r="J299" i="2"/>
  <c r="J297" i="2"/>
  <c r="I297" i="2" s="1"/>
  <c r="AB306" i="2"/>
  <c r="AB304" i="2"/>
  <c r="AB309" i="2"/>
  <c r="AB305" i="2"/>
  <c r="AB311" i="2"/>
  <c r="AB310" i="2"/>
  <c r="AB308" i="2"/>
  <c r="AB307" i="2"/>
  <c r="AB302" i="2"/>
  <c r="AB303" i="2"/>
  <c r="N177" i="2"/>
  <c r="N202" i="2"/>
  <c r="P203" i="2"/>
  <c r="P228" i="2"/>
  <c r="P178" i="2"/>
  <c r="J180" i="2"/>
  <c r="K180" i="2" s="1"/>
  <c r="J205" i="2"/>
  <c r="P205" i="2"/>
  <c r="P230" i="2"/>
  <c r="P180" i="2"/>
  <c r="J182" i="2"/>
  <c r="K182" i="2" s="1"/>
  <c r="J207" i="2"/>
  <c r="N183" i="2"/>
  <c r="N208" i="2"/>
  <c r="P209" i="2"/>
  <c r="P234" i="2"/>
  <c r="P184" i="2"/>
  <c r="J186" i="2"/>
  <c r="K186" i="2" s="1"/>
  <c r="J211" i="2"/>
  <c r="P211" i="2"/>
  <c r="P236" i="2"/>
  <c r="P186" i="2"/>
  <c r="J188" i="2"/>
  <c r="K188" i="2" s="1"/>
  <c r="J213" i="2"/>
  <c r="N189" i="2"/>
  <c r="N214" i="2"/>
  <c r="J190" i="2"/>
  <c r="J215" i="2"/>
  <c r="N191" i="2"/>
  <c r="N216" i="2"/>
  <c r="J177" i="2"/>
  <c r="K177" i="2" s="1"/>
  <c r="J202" i="2"/>
  <c r="I202" i="2" s="1"/>
  <c r="P202" i="2"/>
  <c r="P227" i="2"/>
  <c r="P177" i="2"/>
  <c r="N178" i="2"/>
  <c r="N203" i="2"/>
  <c r="J179" i="2"/>
  <c r="K179" i="2" s="1"/>
  <c r="J204" i="2"/>
  <c r="P204" i="2"/>
  <c r="P229" i="2"/>
  <c r="P179" i="2"/>
  <c r="N180" i="2"/>
  <c r="N205" i="2"/>
  <c r="J181" i="2"/>
  <c r="K181" i="2" s="1"/>
  <c r="J206" i="2"/>
  <c r="I206" i="2" s="1"/>
  <c r="P206" i="2"/>
  <c r="P231" i="2"/>
  <c r="P181" i="2"/>
  <c r="N182" i="2"/>
  <c r="N207" i="2"/>
  <c r="J183" i="2"/>
  <c r="K183" i="2" s="1"/>
  <c r="J208" i="2"/>
  <c r="P208" i="2"/>
  <c r="P233" i="2"/>
  <c r="P183" i="2"/>
  <c r="N184" i="2"/>
  <c r="N209" i="2"/>
  <c r="J185" i="2"/>
  <c r="K185" i="2" s="1"/>
  <c r="J210" i="2"/>
  <c r="I210" i="2" s="1"/>
  <c r="P210" i="2"/>
  <c r="P235" i="2"/>
  <c r="P185" i="2"/>
  <c r="N186" i="2"/>
  <c r="N211" i="2"/>
  <c r="J187" i="2"/>
  <c r="K187" i="2" s="1"/>
  <c r="J212" i="2"/>
  <c r="P212" i="2"/>
  <c r="P237" i="2"/>
  <c r="P187" i="2"/>
  <c r="N188" i="2"/>
  <c r="N213" i="2"/>
  <c r="J189" i="2"/>
  <c r="J214" i="2"/>
  <c r="I214" i="2" s="1"/>
  <c r="P214" i="2"/>
  <c r="P239" i="2"/>
  <c r="P189" i="2"/>
  <c r="N190" i="2"/>
  <c r="N215" i="2"/>
  <c r="J191" i="2"/>
  <c r="I191" i="2" s="1"/>
  <c r="J216" i="2"/>
  <c r="P216" i="2"/>
  <c r="P241" i="2"/>
  <c r="P191" i="2"/>
  <c r="P218" i="2"/>
  <c r="P243" i="2"/>
  <c r="P193" i="2"/>
  <c r="P195" i="2"/>
  <c r="P220" i="2"/>
  <c r="P245" i="2"/>
  <c r="P197" i="2"/>
  <c r="P222" i="2"/>
  <c r="P247" i="2"/>
  <c r="P199" i="2"/>
  <c r="P224" i="2"/>
  <c r="P201" i="2"/>
  <c r="P226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2" i="2"/>
  <c r="P270" i="2"/>
  <c r="P268" i="2"/>
  <c r="P266" i="2"/>
  <c r="P264" i="2"/>
  <c r="P262" i="2"/>
  <c r="P261" i="2"/>
  <c r="P260" i="2"/>
  <c r="P259" i="2"/>
  <c r="P258" i="2"/>
  <c r="P256" i="2"/>
  <c r="P255" i="2"/>
  <c r="P254" i="2"/>
  <c r="P253" i="2"/>
  <c r="P252" i="2"/>
  <c r="P251" i="2"/>
  <c r="P249" i="2"/>
  <c r="N248" i="2"/>
  <c r="J248" i="2"/>
  <c r="I248" i="2" s="1"/>
  <c r="N246" i="2"/>
  <c r="J246" i="2"/>
  <c r="N244" i="2"/>
  <c r="J244" i="2"/>
  <c r="I244" i="2" s="1"/>
  <c r="N242" i="2"/>
  <c r="J242" i="2"/>
  <c r="N240" i="2"/>
  <c r="J240" i="2"/>
  <c r="I240" i="2" s="1"/>
  <c r="N238" i="2"/>
  <c r="J238" i="2"/>
  <c r="N236" i="2"/>
  <c r="J236" i="2"/>
  <c r="N234" i="2"/>
  <c r="N232" i="2"/>
  <c r="J232" i="2"/>
  <c r="N230" i="2"/>
  <c r="J230" i="2"/>
  <c r="N228" i="2"/>
  <c r="N226" i="2"/>
  <c r="J226" i="2"/>
  <c r="N224" i="2"/>
  <c r="J224" i="2"/>
  <c r="N222" i="2"/>
  <c r="J222" i="2"/>
  <c r="I222" i="2" s="1"/>
  <c r="N220" i="2"/>
  <c r="J220" i="2"/>
  <c r="N218" i="2"/>
  <c r="J218" i="2"/>
  <c r="I218" i="2" s="1"/>
  <c r="J178" i="2"/>
  <c r="K178" i="2" s="1"/>
  <c r="J203" i="2"/>
  <c r="N179" i="2"/>
  <c r="N204" i="2"/>
  <c r="N181" i="2"/>
  <c r="N206" i="2"/>
  <c r="P207" i="2"/>
  <c r="P232" i="2"/>
  <c r="P182" i="2"/>
  <c r="J184" i="2"/>
  <c r="K184" i="2" s="1"/>
  <c r="J209" i="2"/>
  <c r="N185" i="2"/>
  <c r="N210" i="2"/>
  <c r="N187" i="2"/>
  <c r="N212" i="2"/>
  <c r="P213" i="2"/>
  <c r="P238" i="2"/>
  <c r="P188" i="2"/>
  <c r="P215" i="2"/>
  <c r="P240" i="2"/>
  <c r="P190" i="2"/>
  <c r="P217" i="2"/>
  <c r="P242" i="2"/>
  <c r="P192" i="2"/>
  <c r="P219" i="2"/>
  <c r="P244" i="2"/>
  <c r="P194" i="2"/>
  <c r="P196" i="2"/>
  <c r="P221" i="2"/>
  <c r="P246" i="2"/>
  <c r="P198" i="2"/>
  <c r="P223" i="2"/>
  <c r="P248" i="2"/>
  <c r="P200" i="2"/>
  <c r="P225" i="2"/>
  <c r="N301" i="2"/>
  <c r="J300" i="2"/>
  <c r="N299" i="2"/>
  <c r="J298" i="2"/>
  <c r="N297" i="2"/>
  <c r="N296" i="2"/>
  <c r="J296" i="2"/>
  <c r="I296" i="2" s="1"/>
  <c r="N295" i="2"/>
  <c r="J295" i="2"/>
  <c r="I295" i="2" s="1"/>
  <c r="N294" i="2"/>
  <c r="J294" i="2"/>
  <c r="I294" i="2" s="1"/>
  <c r="N293" i="2"/>
  <c r="J293" i="2"/>
  <c r="N292" i="2"/>
  <c r="J292" i="2"/>
  <c r="I292" i="2" s="1"/>
  <c r="N291" i="2"/>
  <c r="J291" i="2"/>
  <c r="I291" i="2" s="1"/>
  <c r="N290" i="2"/>
  <c r="J290" i="2"/>
  <c r="N289" i="2"/>
  <c r="J289" i="2"/>
  <c r="I289" i="2" s="1"/>
  <c r="N288" i="2"/>
  <c r="J288" i="2"/>
  <c r="I288" i="2" s="1"/>
  <c r="N287" i="2"/>
  <c r="J287" i="2"/>
  <c r="I287" i="2" s="1"/>
  <c r="N286" i="2"/>
  <c r="J286" i="2"/>
  <c r="I286" i="2" s="1"/>
  <c r="N285" i="2"/>
  <c r="J285" i="2"/>
  <c r="N284" i="2"/>
  <c r="J284" i="2"/>
  <c r="I284" i="2" s="1"/>
  <c r="N283" i="2"/>
  <c r="J283" i="2"/>
  <c r="I283" i="2" s="1"/>
  <c r="N282" i="2"/>
  <c r="J282" i="2"/>
  <c r="N281" i="2"/>
  <c r="J281" i="2"/>
  <c r="I281" i="2" s="1"/>
  <c r="N280" i="2"/>
  <c r="J280" i="2"/>
  <c r="I280" i="2" s="1"/>
  <c r="N279" i="2"/>
  <c r="J279" i="2"/>
  <c r="I279" i="2" s="1"/>
  <c r="N278" i="2"/>
  <c r="J278" i="2"/>
  <c r="I278" i="2" s="1"/>
  <c r="N277" i="2"/>
  <c r="J277" i="2"/>
  <c r="N276" i="2"/>
  <c r="J276" i="2"/>
  <c r="I276" i="2" s="1"/>
  <c r="N275" i="2"/>
  <c r="J275" i="2"/>
  <c r="I275" i="2" s="1"/>
  <c r="N274" i="2"/>
  <c r="J274" i="2"/>
  <c r="I274" i="2" s="1"/>
  <c r="N273" i="2"/>
  <c r="J273" i="2"/>
  <c r="I273" i="2" s="1"/>
  <c r="N272" i="2"/>
  <c r="J272" i="2"/>
  <c r="I272" i="2" s="1"/>
  <c r="N271" i="2"/>
  <c r="J271" i="2"/>
  <c r="I271" i="2" s="1"/>
  <c r="N270" i="2"/>
  <c r="J270" i="2"/>
  <c r="I270" i="2" s="1"/>
  <c r="N269" i="2"/>
  <c r="J269" i="2"/>
  <c r="I269" i="2" s="1"/>
  <c r="N268" i="2"/>
  <c r="J268" i="2"/>
  <c r="I268" i="2" s="1"/>
  <c r="N267" i="2"/>
  <c r="J267" i="2"/>
  <c r="I267" i="2" s="1"/>
  <c r="N266" i="2"/>
  <c r="J266" i="2"/>
  <c r="I266" i="2" s="1"/>
  <c r="N265" i="2"/>
  <c r="J265" i="2"/>
  <c r="I265" i="2" s="1"/>
  <c r="N264" i="2"/>
  <c r="J264" i="2"/>
  <c r="I264" i="2" s="1"/>
  <c r="N263" i="2"/>
  <c r="J263" i="2"/>
  <c r="I263" i="2" s="1"/>
  <c r="N262" i="2"/>
  <c r="J262" i="2"/>
  <c r="I262" i="2" s="1"/>
  <c r="N261" i="2"/>
  <c r="J261" i="2"/>
  <c r="I261" i="2" s="1"/>
  <c r="N260" i="2"/>
  <c r="J260" i="2"/>
  <c r="I260" i="2" s="1"/>
  <c r="N259" i="2"/>
  <c r="J259" i="2"/>
  <c r="I259" i="2" s="1"/>
  <c r="N258" i="2"/>
  <c r="J258" i="2"/>
  <c r="I258" i="2" s="1"/>
  <c r="N257" i="2"/>
  <c r="J257" i="2"/>
  <c r="I257" i="2" s="1"/>
  <c r="N256" i="2"/>
  <c r="J256" i="2"/>
  <c r="I256" i="2" s="1"/>
  <c r="N255" i="2"/>
  <c r="J255" i="2"/>
  <c r="N254" i="2"/>
  <c r="J254" i="2"/>
  <c r="I254" i="2" s="1"/>
  <c r="N253" i="2"/>
  <c r="J253" i="2"/>
  <c r="I253" i="2" s="1"/>
  <c r="N252" i="2"/>
  <c r="J252" i="2"/>
  <c r="I252" i="2" s="1"/>
  <c r="N251" i="2"/>
  <c r="J251" i="2"/>
  <c r="I251" i="2" s="1"/>
  <c r="N250" i="2"/>
  <c r="J250" i="2"/>
  <c r="I250" i="2" s="1"/>
  <c r="N249" i="2"/>
  <c r="J249" i="2"/>
  <c r="I249" i="2" s="1"/>
  <c r="N247" i="2"/>
  <c r="J247" i="2"/>
  <c r="I247" i="2" s="1"/>
  <c r="N245" i="2"/>
  <c r="J245" i="2"/>
  <c r="I245" i="2" s="1"/>
  <c r="N243" i="2"/>
  <c r="J243" i="2"/>
  <c r="I243" i="2" s="1"/>
  <c r="N241" i="2"/>
  <c r="J241" i="2"/>
  <c r="I241" i="2" s="1"/>
  <c r="N239" i="2"/>
  <c r="J239" i="2"/>
  <c r="I239" i="2" s="1"/>
  <c r="N237" i="2"/>
  <c r="J237" i="2"/>
  <c r="I237" i="2" s="1"/>
  <c r="N235" i="2"/>
  <c r="J235" i="2"/>
  <c r="I235" i="2" s="1"/>
  <c r="N233" i="2"/>
  <c r="J233" i="2"/>
  <c r="I233" i="2" s="1"/>
  <c r="N231" i="2"/>
  <c r="J231" i="2"/>
  <c r="I231" i="2" s="1"/>
  <c r="N229" i="2"/>
  <c r="J229" i="2"/>
  <c r="I229" i="2" s="1"/>
  <c r="N227" i="2"/>
  <c r="J227" i="2"/>
  <c r="I227" i="2" s="1"/>
  <c r="N225" i="2"/>
  <c r="J225" i="2"/>
  <c r="I225" i="2" s="1"/>
  <c r="N223" i="2"/>
  <c r="J223" i="2"/>
  <c r="I223" i="2" s="1"/>
  <c r="N221" i="2"/>
  <c r="J221" i="2"/>
  <c r="I221" i="2" s="1"/>
  <c r="N219" i="2"/>
  <c r="J219" i="2"/>
  <c r="I219" i="2" s="1"/>
  <c r="N217" i="2"/>
  <c r="J217" i="2"/>
  <c r="I217" i="2" s="1"/>
  <c r="I179" i="2"/>
  <c r="I238" i="2"/>
  <c r="I300" i="2"/>
  <c r="I298" i="2"/>
  <c r="I290" i="2"/>
  <c r="I282" i="2"/>
  <c r="I220" i="2"/>
  <c r="I185" i="2"/>
  <c r="I181" i="2"/>
  <c r="I299" i="2"/>
  <c r="I293" i="2"/>
  <c r="I285" i="2"/>
  <c r="I277" i="2"/>
  <c r="M268" i="2"/>
  <c r="M266" i="2"/>
  <c r="M264" i="2"/>
  <c r="M238" i="2"/>
  <c r="M237" i="2"/>
  <c r="I236" i="2"/>
  <c r="M235" i="2"/>
  <c r="I234" i="2"/>
  <c r="M233" i="2"/>
  <c r="I232" i="2"/>
  <c r="M231" i="2"/>
  <c r="I224" i="2"/>
  <c r="M221" i="2"/>
  <c r="M220" i="2"/>
  <c r="M218" i="2"/>
  <c r="I195" i="2"/>
  <c r="K195" i="2"/>
  <c r="I193" i="2"/>
  <c r="K193" i="2"/>
  <c r="K191" i="2"/>
  <c r="I189" i="2"/>
  <c r="K189" i="2"/>
  <c r="M185" i="2"/>
  <c r="I184" i="2"/>
  <c r="M183" i="2"/>
  <c r="I182" i="2"/>
  <c r="M181" i="2"/>
  <c r="I180" i="2"/>
  <c r="M179" i="2"/>
  <c r="I168" i="2"/>
  <c r="K168" i="2"/>
  <c r="I166" i="2"/>
  <c r="K166" i="2"/>
  <c r="I164" i="2"/>
  <c r="I163" i="2"/>
  <c r="I162" i="2"/>
  <c r="I161" i="2"/>
  <c r="I160" i="2"/>
  <c r="I159" i="2"/>
  <c r="I158" i="2"/>
  <c r="I157" i="2"/>
  <c r="I156" i="2"/>
  <c r="I155" i="2"/>
  <c r="I154" i="2"/>
  <c r="I246" i="2"/>
  <c r="I242" i="2"/>
  <c r="I196" i="2"/>
  <c r="K196" i="2"/>
  <c r="I194" i="2"/>
  <c r="K194" i="2"/>
  <c r="I192" i="2"/>
  <c r="K192" i="2"/>
  <c r="I190" i="2"/>
  <c r="K190" i="2"/>
  <c r="I186" i="2"/>
  <c r="I167" i="2"/>
  <c r="K167" i="2"/>
  <c r="I165" i="2"/>
  <c r="K165" i="2"/>
  <c r="K153" i="2"/>
  <c r="I153" i="2"/>
  <c r="I255" i="2"/>
  <c r="I230" i="2"/>
  <c r="I228" i="2"/>
  <c r="I226" i="2"/>
  <c r="I216" i="2"/>
  <c r="I215" i="2"/>
  <c r="I213" i="2"/>
  <c r="I212" i="2"/>
  <c r="I211" i="2"/>
  <c r="I209" i="2"/>
  <c r="I208" i="2"/>
  <c r="I207" i="2"/>
  <c r="I205" i="2"/>
  <c r="I204" i="2"/>
  <c r="I203" i="2"/>
  <c r="I201" i="2"/>
  <c r="I200" i="2"/>
  <c r="I199" i="2"/>
  <c r="I198" i="2"/>
  <c r="I197" i="2"/>
  <c r="I188" i="2"/>
  <c r="I187" i="2"/>
  <c r="I178" i="2"/>
  <c r="I177" i="2"/>
  <c r="I176" i="2"/>
  <c r="I175" i="2"/>
  <c r="I174" i="2"/>
  <c r="I173" i="2"/>
  <c r="I172" i="2"/>
  <c r="I171" i="2"/>
  <c r="I170" i="2"/>
  <c r="I169" i="2"/>
  <c r="I152" i="2"/>
  <c r="AD3" i="2"/>
  <c r="AE3" i="2"/>
  <c r="AD4" i="2"/>
  <c r="AE4" i="2"/>
  <c r="AD5" i="2"/>
  <c r="AE5" i="2"/>
  <c r="AD6" i="2"/>
  <c r="AE6" i="2"/>
  <c r="AD7" i="2"/>
  <c r="AE7" i="2"/>
  <c r="AD8" i="2"/>
  <c r="AE8" i="2"/>
  <c r="AD9" i="2"/>
  <c r="AE9" i="2"/>
  <c r="AD10" i="2"/>
  <c r="AE10" i="2"/>
  <c r="AD11" i="2"/>
  <c r="AE11" i="2"/>
  <c r="AD12" i="2"/>
  <c r="AE12" i="2"/>
  <c r="AD13" i="2"/>
  <c r="AE13" i="2"/>
  <c r="AD14" i="2"/>
  <c r="AE14" i="2"/>
  <c r="AD15" i="2"/>
  <c r="AE15" i="2"/>
  <c r="AD16" i="2"/>
  <c r="AE16" i="2"/>
  <c r="AD17" i="2"/>
  <c r="AE17" i="2"/>
  <c r="AD18" i="2"/>
  <c r="AE18" i="2"/>
  <c r="AD19" i="2"/>
  <c r="AE19" i="2"/>
  <c r="AD20" i="2"/>
  <c r="AE20" i="2"/>
  <c r="AD21" i="2"/>
  <c r="AE21" i="2"/>
  <c r="AD22" i="2"/>
  <c r="AE22" i="2"/>
  <c r="AD23" i="2"/>
  <c r="AE23" i="2"/>
  <c r="AD24" i="2"/>
  <c r="AE24" i="2"/>
  <c r="AD25" i="2"/>
  <c r="AE25" i="2"/>
  <c r="AD26" i="2"/>
  <c r="AE26" i="2"/>
  <c r="AD27" i="2"/>
  <c r="AE27" i="2"/>
  <c r="AD28" i="2"/>
  <c r="AE28" i="2"/>
  <c r="AD29" i="2"/>
  <c r="AE29" i="2"/>
  <c r="AD30" i="2"/>
  <c r="AE30" i="2"/>
  <c r="AD31" i="2"/>
  <c r="AE31" i="2"/>
  <c r="AD32" i="2"/>
  <c r="AE32" i="2"/>
  <c r="AD33" i="2"/>
  <c r="AE33" i="2"/>
  <c r="AD34" i="2"/>
  <c r="AE34" i="2"/>
  <c r="AD35" i="2"/>
  <c r="AE35" i="2"/>
  <c r="AD36" i="2"/>
  <c r="AE36" i="2"/>
  <c r="AD37" i="2"/>
  <c r="AE37" i="2"/>
  <c r="AD38" i="2"/>
  <c r="AE38" i="2"/>
  <c r="AD39" i="2"/>
  <c r="AE39" i="2"/>
  <c r="AD40" i="2"/>
  <c r="AE40" i="2"/>
  <c r="AD41" i="2"/>
  <c r="AE41" i="2"/>
  <c r="AD42" i="2"/>
  <c r="AE42" i="2"/>
  <c r="AD43" i="2"/>
  <c r="AE43" i="2"/>
  <c r="AD44" i="2"/>
  <c r="AE44" i="2"/>
  <c r="AD45" i="2"/>
  <c r="AE45" i="2"/>
  <c r="AD46" i="2"/>
  <c r="AE46" i="2"/>
  <c r="AD47" i="2"/>
  <c r="AE47" i="2"/>
  <c r="AD48" i="2"/>
  <c r="AE48" i="2"/>
  <c r="AD49" i="2"/>
  <c r="AE49" i="2"/>
  <c r="AD50" i="2"/>
  <c r="AE50" i="2"/>
  <c r="AD51" i="2"/>
  <c r="AE51" i="2"/>
  <c r="AD52" i="2"/>
  <c r="AE52" i="2"/>
  <c r="AD53" i="2"/>
  <c r="AE53" i="2"/>
  <c r="AD54" i="2"/>
  <c r="AE54" i="2"/>
  <c r="AD55" i="2"/>
  <c r="AE55" i="2"/>
  <c r="AD56" i="2"/>
  <c r="AE56" i="2"/>
  <c r="AD57" i="2"/>
  <c r="AE57" i="2"/>
  <c r="AD58" i="2"/>
  <c r="AE58" i="2"/>
  <c r="AD59" i="2"/>
  <c r="AE59" i="2"/>
  <c r="AD60" i="2"/>
  <c r="AE60" i="2"/>
  <c r="AD61" i="2"/>
  <c r="AE61" i="2"/>
  <c r="AD62" i="2"/>
  <c r="AE62" i="2"/>
  <c r="AD63" i="2"/>
  <c r="AE63" i="2"/>
  <c r="AD64" i="2"/>
  <c r="AE64" i="2"/>
  <c r="AD65" i="2"/>
  <c r="AE65" i="2"/>
  <c r="AD66" i="2"/>
  <c r="AE66" i="2"/>
  <c r="AD67" i="2"/>
  <c r="AE67" i="2"/>
  <c r="AD68" i="2"/>
  <c r="AE68" i="2"/>
  <c r="AD69" i="2"/>
  <c r="AE69" i="2"/>
  <c r="AD70" i="2"/>
  <c r="AE70" i="2"/>
  <c r="AD71" i="2"/>
  <c r="AE71" i="2"/>
  <c r="AD72" i="2"/>
  <c r="AE72" i="2"/>
  <c r="AD73" i="2"/>
  <c r="AE73" i="2"/>
  <c r="AD74" i="2"/>
  <c r="AE74" i="2"/>
  <c r="AD75" i="2"/>
  <c r="AE75" i="2"/>
  <c r="AD76" i="2"/>
  <c r="AE76" i="2"/>
  <c r="AD77" i="2"/>
  <c r="AE77" i="2"/>
  <c r="AD78" i="2"/>
  <c r="AE78" i="2"/>
  <c r="AD79" i="2"/>
  <c r="AE79" i="2"/>
  <c r="AD80" i="2"/>
  <c r="AE80" i="2"/>
  <c r="AD81" i="2"/>
  <c r="AE81" i="2"/>
  <c r="AD82" i="2"/>
  <c r="AE82" i="2"/>
  <c r="AD83" i="2"/>
  <c r="AE83" i="2"/>
  <c r="AD84" i="2"/>
  <c r="AE84" i="2"/>
  <c r="AD85" i="2"/>
  <c r="AE85" i="2"/>
  <c r="AD86" i="2"/>
  <c r="AE86" i="2"/>
  <c r="AD87" i="2"/>
  <c r="AE87" i="2"/>
  <c r="AD88" i="2"/>
  <c r="AE88" i="2"/>
  <c r="AD89" i="2"/>
  <c r="AE89" i="2"/>
  <c r="AD90" i="2"/>
  <c r="AE90" i="2"/>
  <c r="AD91" i="2"/>
  <c r="AE91" i="2"/>
  <c r="AD92" i="2"/>
  <c r="AE92" i="2"/>
  <c r="AD93" i="2"/>
  <c r="AE93" i="2"/>
  <c r="AD94" i="2"/>
  <c r="AE94" i="2"/>
  <c r="AD95" i="2"/>
  <c r="AE95" i="2"/>
  <c r="AD96" i="2"/>
  <c r="AE96" i="2"/>
  <c r="AD97" i="2"/>
  <c r="AE97" i="2"/>
  <c r="AD98" i="2"/>
  <c r="AE98" i="2"/>
  <c r="AD99" i="2"/>
  <c r="AE99" i="2"/>
  <c r="AD100" i="2"/>
  <c r="AE100" i="2"/>
  <c r="AD101" i="2"/>
  <c r="AE101" i="2"/>
  <c r="AD102" i="2"/>
  <c r="AE102" i="2"/>
  <c r="AD103" i="2"/>
  <c r="AE103" i="2"/>
  <c r="AD104" i="2"/>
  <c r="AE104" i="2"/>
  <c r="AD105" i="2"/>
  <c r="AE105" i="2"/>
  <c r="AD106" i="2"/>
  <c r="AE106" i="2"/>
  <c r="AD107" i="2"/>
  <c r="AE107" i="2"/>
  <c r="AD108" i="2"/>
  <c r="AE108" i="2"/>
  <c r="AD109" i="2"/>
  <c r="AE109" i="2"/>
  <c r="AD110" i="2"/>
  <c r="AE110" i="2"/>
  <c r="AD111" i="2"/>
  <c r="AE111" i="2"/>
  <c r="AD112" i="2"/>
  <c r="AE112" i="2"/>
  <c r="AD113" i="2"/>
  <c r="AE113" i="2"/>
  <c r="AD114" i="2"/>
  <c r="AE114" i="2"/>
  <c r="AD115" i="2"/>
  <c r="AE115" i="2"/>
  <c r="AD116" i="2"/>
  <c r="AE116" i="2"/>
  <c r="AD117" i="2"/>
  <c r="AE117" i="2"/>
  <c r="AD118" i="2"/>
  <c r="AE118" i="2"/>
  <c r="AD119" i="2"/>
  <c r="AE119" i="2"/>
  <c r="AD120" i="2"/>
  <c r="AE120" i="2"/>
  <c r="AD121" i="2"/>
  <c r="AE121" i="2"/>
  <c r="AD122" i="2"/>
  <c r="AE122" i="2"/>
  <c r="AD123" i="2"/>
  <c r="AE123" i="2"/>
  <c r="AD124" i="2"/>
  <c r="AE124" i="2"/>
  <c r="AD125" i="2"/>
  <c r="AE125" i="2"/>
  <c r="AD126" i="2"/>
  <c r="AE126" i="2"/>
  <c r="AD127" i="2"/>
  <c r="AE127" i="2"/>
  <c r="AD128" i="2"/>
  <c r="AE128" i="2"/>
  <c r="AD129" i="2"/>
  <c r="AE129" i="2"/>
  <c r="AD130" i="2"/>
  <c r="AE130" i="2"/>
  <c r="AD131" i="2"/>
  <c r="AE131" i="2"/>
  <c r="AD132" i="2"/>
  <c r="AE132" i="2"/>
  <c r="AD133" i="2"/>
  <c r="AE133" i="2"/>
  <c r="AD134" i="2"/>
  <c r="AE134" i="2"/>
  <c r="AD135" i="2"/>
  <c r="AE135" i="2"/>
  <c r="AD136" i="2"/>
  <c r="AE136" i="2"/>
  <c r="AD137" i="2"/>
  <c r="AE137" i="2"/>
  <c r="AD138" i="2"/>
  <c r="AE138" i="2"/>
  <c r="AD139" i="2"/>
  <c r="AE139" i="2"/>
  <c r="AD140" i="2"/>
  <c r="AE140" i="2"/>
  <c r="AD141" i="2"/>
  <c r="AE141" i="2"/>
  <c r="AD142" i="2"/>
  <c r="AE142" i="2"/>
  <c r="AD143" i="2"/>
  <c r="AE143" i="2"/>
  <c r="AD144" i="2"/>
  <c r="AE144" i="2"/>
  <c r="AD145" i="2"/>
  <c r="AE145" i="2"/>
  <c r="AD146" i="2"/>
  <c r="AE146" i="2"/>
  <c r="AD147" i="2"/>
  <c r="AE147" i="2"/>
  <c r="AD148" i="2"/>
  <c r="AE148" i="2"/>
  <c r="AD149" i="2"/>
  <c r="AE149" i="2"/>
  <c r="AD150" i="2"/>
  <c r="AE150" i="2"/>
  <c r="AD151" i="2"/>
  <c r="AE151" i="2"/>
  <c r="AE2" i="2"/>
  <c r="AD2" i="2"/>
  <c r="M63" i="3"/>
  <c r="L63" i="3"/>
  <c r="K63" i="3"/>
  <c r="J63" i="3"/>
  <c r="I57" i="3"/>
  <c r="H57" i="3"/>
  <c r="G57" i="3"/>
  <c r="F57" i="3"/>
  <c r="E51" i="3"/>
  <c r="D51" i="3"/>
  <c r="C45" i="3"/>
  <c r="M37" i="3"/>
  <c r="L37" i="3"/>
  <c r="K37" i="3"/>
  <c r="J37" i="3"/>
  <c r="I36" i="3"/>
  <c r="H36" i="3"/>
  <c r="G36" i="3"/>
  <c r="F36" i="3"/>
  <c r="E35" i="3"/>
  <c r="D35" i="3"/>
  <c r="C34" i="3"/>
  <c r="M32" i="3"/>
  <c r="L32" i="3"/>
  <c r="K32" i="3"/>
  <c r="J32" i="3"/>
  <c r="I31" i="3"/>
  <c r="H31" i="3"/>
  <c r="G31" i="3"/>
  <c r="F31" i="3"/>
  <c r="E30" i="3"/>
  <c r="D30" i="3"/>
  <c r="C29" i="3"/>
  <c r="M27" i="3"/>
  <c r="M66" i="3" s="1"/>
  <c r="L27" i="3"/>
  <c r="L66" i="3" s="1"/>
  <c r="K27" i="3"/>
  <c r="K66" i="3" s="1"/>
  <c r="J27" i="3"/>
  <c r="J66" i="3" s="1"/>
  <c r="B9" i="3" s="1"/>
  <c r="M30" i="1" s="1"/>
  <c r="I26" i="3"/>
  <c r="I66" i="3" s="1"/>
  <c r="H26" i="3"/>
  <c r="H66" i="3" s="1"/>
  <c r="G26" i="3"/>
  <c r="G66" i="3" s="1"/>
  <c r="F26" i="3"/>
  <c r="F66" i="3" s="1"/>
  <c r="E25" i="3"/>
  <c r="E66" i="3" s="1"/>
  <c r="D25" i="3"/>
  <c r="D66" i="3" s="1"/>
  <c r="C24" i="3"/>
  <c r="C66" i="3" s="1"/>
  <c r="M13" i="3"/>
  <c r="L13" i="3"/>
  <c r="K13" i="3"/>
  <c r="J13" i="3"/>
  <c r="I13" i="3"/>
  <c r="H13" i="3"/>
  <c r="G13" i="3"/>
  <c r="F13" i="3"/>
  <c r="E13" i="3"/>
  <c r="D13" i="3"/>
  <c r="C13" i="3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5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5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Z2" i="2"/>
  <c r="X2" i="2"/>
  <c r="E67" i="3" l="1"/>
  <c r="G67" i="3"/>
  <c r="I67" i="3"/>
  <c r="K67" i="3"/>
  <c r="M67" i="3"/>
  <c r="H67" i="3"/>
  <c r="L67" i="3"/>
  <c r="I183" i="2"/>
  <c r="C67" i="3"/>
  <c r="B6" i="3"/>
  <c r="D67" i="3"/>
  <c r="B7" i="3"/>
  <c r="M28" i="1" s="1"/>
  <c r="AC154" i="2" s="1"/>
  <c r="B8" i="3"/>
  <c r="M29" i="1" s="1"/>
  <c r="AC150" i="2" s="1"/>
  <c r="F67" i="3"/>
  <c r="J67" i="3"/>
  <c r="D6" i="3" l="1"/>
  <c r="M27" i="1"/>
  <c r="AC2" i="2"/>
  <c r="AC86" i="2"/>
  <c r="AC84" i="2"/>
  <c r="AC82" i="2"/>
  <c r="AC80" i="2"/>
  <c r="AC78" i="2"/>
  <c r="AC76" i="2"/>
  <c r="AC74" i="2"/>
  <c r="AC72" i="2"/>
  <c r="AC70" i="2"/>
  <c r="AC68" i="2"/>
  <c r="AC66" i="2"/>
  <c r="AC64" i="2"/>
  <c r="AC62" i="2"/>
  <c r="AC60" i="2"/>
  <c r="AC58" i="2"/>
  <c r="AC56" i="2"/>
  <c r="AC54" i="2"/>
  <c r="AC52" i="2"/>
  <c r="AC50" i="2"/>
  <c r="AC48" i="2"/>
  <c r="AC46" i="2"/>
  <c r="AC44" i="2"/>
  <c r="AC42" i="2"/>
  <c r="AC40" i="2"/>
  <c r="AC38" i="2"/>
  <c r="AC36" i="2"/>
  <c r="AC34" i="2"/>
  <c r="AC32" i="2"/>
  <c r="AC30" i="2"/>
  <c r="AC28" i="2"/>
  <c r="AC26" i="2"/>
  <c r="AC24" i="2"/>
  <c r="AC22" i="2"/>
  <c r="AC20" i="2"/>
  <c r="AC18" i="2"/>
  <c r="AC16" i="2"/>
  <c r="AC14" i="2"/>
  <c r="AC12" i="2"/>
  <c r="AC10" i="2"/>
  <c r="AC7" i="2"/>
  <c r="AC5" i="2"/>
  <c r="AC3" i="2"/>
  <c r="AC90" i="2"/>
  <c r="AC92" i="2"/>
  <c r="AC94" i="2"/>
  <c r="AC96" i="2"/>
  <c r="AC98" i="2"/>
  <c r="AC100" i="2"/>
  <c r="AC102" i="2"/>
  <c r="AC104" i="2"/>
  <c r="AC106" i="2"/>
  <c r="AC108" i="2"/>
  <c r="AC110" i="2"/>
  <c r="AC112" i="2"/>
  <c r="AC114" i="2"/>
  <c r="AC116" i="2"/>
  <c r="AC118" i="2"/>
  <c r="AC120" i="2"/>
  <c r="AC122" i="2"/>
  <c r="AC124" i="2"/>
  <c r="AC126" i="2"/>
  <c r="AC128" i="2"/>
  <c r="AC130" i="2"/>
  <c r="AC132" i="2"/>
  <c r="AC134" i="2"/>
  <c r="AC136" i="2"/>
  <c r="AC138" i="2"/>
  <c r="AC140" i="2"/>
  <c r="AC142" i="2"/>
  <c r="AC144" i="2"/>
  <c r="AC146" i="2"/>
  <c r="AC148" i="2"/>
  <c r="AC88" i="2"/>
  <c r="AC9" i="2"/>
  <c r="AC87" i="2"/>
  <c r="AC85" i="2"/>
  <c r="AC83" i="2"/>
  <c r="AC81" i="2"/>
  <c r="AC79" i="2"/>
  <c r="AC77" i="2"/>
  <c r="AC75" i="2"/>
  <c r="AC73" i="2"/>
  <c r="AC71" i="2"/>
  <c r="AC69" i="2"/>
  <c r="AC67" i="2"/>
  <c r="AC65" i="2"/>
  <c r="AC63" i="2"/>
  <c r="AC61" i="2"/>
  <c r="AC59" i="2"/>
  <c r="AC57" i="2"/>
  <c r="AC55" i="2"/>
  <c r="AC53" i="2"/>
  <c r="AC51" i="2"/>
  <c r="AC49" i="2"/>
  <c r="AC47" i="2"/>
  <c r="AC45" i="2"/>
  <c r="AC43" i="2"/>
  <c r="AC41" i="2"/>
  <c r="AC39" i="2"/>
  <c r="AC37" i="2"/>
  <c r="AC35" i="2"/>
  <c r="AC33" i="2"/>
  <c r="AC31" i="2"/>
  <c r="AC29" i="2"/>
  <c r="AC27" i="2"/>
  <c r="AC25" i="2"/>
  <c r="AC23" i="2"/>
  <c r="AC21" i="2"/>
  <c r="AC19" i="2"/>
  <c r="AC17" i="2"/>
  <c r="AC15" i="2"/>
  <c r="AC13" i="2"/>
  <c r="AC11" i="2"/>
  <c r="AC8" i="2"/>
  <c r="AC6" i="2"/>
  <c r="AC4" i="2"/>
  <c r="AC89" i="2"/>
  <c r="AC91" i="2"/>
  <c r="AC93" i="2"/>
  <c r="AC95" i="2"/>
  <c r="AC97" i="2"/>
  <c r="AC99" i="2"/>
  <c r="AC101" i="2"/>
  <c r="AC103" i="2"/>
  <c r="AC105" i="2"/>
  <c r="AC107" i="2"/>
  <c r="AC109" i="2"/>
  <c r="AC111" i="2"/>
  <c r="AC113" i="2"/>
  <c r="AC115" i="2"/>
  <c r="AC117" i="2"/>
  <c r="AC119" i="2"/>
  <c r="AC121" i="2"/>
  <c r="AC123" i="2"/>
  <c r="AC125" i="2"/>
  <c r="AC127" i="2"/>
  <c r="AC129" i="2"/>
  <c r="AC131" i="2"/>
  <c r="AC133" i="2"/>
  <c r="AC135" i="2"/>
  <c r="AC137" i="2"/>
  <c r="AC139" i="2"/>
  <c r="AC141" i="2"/>
  <c r="AC143" i="2"/>
  <c r="AC145" i="2"/>
  <c r="AC147" i="2"/>
  <c r="AC149" i="2"/>
  <c r="AC151" i="2"/>
  <c r="AC301" i="2"/>
  <c r="AC297" i="2"/>
  <c r="AC293" i="2"/>
  <c r="AC289" i="2"/>
  <c r="AC285" i="2"/>
  <c r="AC281" i="2"/>
  <c r="AC277" i="2"/>
  <c r="AC273" i="2"/>
  <c r="AC269" i="2"/>
  <c r="AC265" i="2"/>
  <c r="AC261" i="2"/>
  <c r="AC257" i="2"/>
  <c r="AC253" i="2"/>
  <c r="AC249" i="2"/>
  <c r="AC245" i="2"/>
  <c r="AC241" i="2"/>
  <c r="AC237" i="2"/>
  <c r="AC233" i="2"/>
  <c r="AC229" i="2"/>
  <c r="AC225" i="2"/>
  <c r="AC221" i="2"/>
  <c r="AC217" i="2"/>
  <c r="AC213" i="2"/>
  <c r="AC209" i="2"/>
  <c r="AC205" i="2"/>
  <c r="AC201" i="2"/>
  <c r="AC197" i="2"/>
  <c r="AC193" i="2"/>
  <c r="AC189" i="2"/>
  <c r="AC185" i="2"/>
  <c r="AC181" i="2"/>
  <c r="AC177" i="2"/>
  <c r="AC173" i="2"/>
  <c r="AC169" i="2"/>
  <c r="AC165" i="2"/>
  <c r="AC161" i="2"/>
  <c r="AC157" i="2"/>
  <c r="AC153" i="2"/>
  <c r="AC300" i="2"/>
  <c r="AC296" i="2"/>
  <c r="AC292" i="2"/>
  <c r="AC288" i="2"/>
  <c r="AC284" i="2"/>
  <c r="AC280" i="2"/>
  <c r="AC276" i="2"/>
  <c r="AC272" i="2"/>
  <c r="AC268" i="2"/>
  <c r="AC264" i="2"/>
  <c r="AC260" i="2"/>
  <c r="AC256" i="2"/>
  <c r="AC252" i="2"/>
  <c r="AC248" i="2"/>
  <c r="AC244" i="2"/>
  <c r="AC240" i="2"/>
  <c r="AC236" i="2"/>
  <c r="AC232" i="2"/>
  <c r="AC228" i="2"/>
  <c r="AC224" i="2"/>
  <c r="AC220" i="2"/>
  <c r="AC216" i="2"/>
  <c r="AC212" i="2"/>
  <c r="AC208" i="2"/>
  <c r="AC204" i="2"/>
  <c r="AC200" i="2"/>
  <c r="AC196" i="2"/>
  <c r="AC192" i="2"/>
  <c r="AC188" i="2"/>
  <c r="AC184" i="2"/>
  <c r="AC180" i="2"/>
  <c r="AC176" i="2"/>
  <c r="AC172" i="2"/>
  <c r="AC168" i="2"/>
  <c r="AC164" i="2"/>
  <c r="AC160" i="2"/>
  <c r="AC156" i="2"/>
  <c r="AC299" i="2"/>
  <c r="AC295" i="2"/>
  <c r="AC291" i="2"/>
  <c r="AC287" i="2"/>
  <c r="AC283" i="2"/>
  <c r="AC279" i="2"/>
  <c r="AC275" i="2"/>
  <c r="AC271" i="2"/>
  <c r="AC267" i="2"/>
  <c r="AC263" i="2"/>
  <c r="AC259" i="2"/>
  <c r="AC255" i="2"/>
  <c r="AC251" i="2"/>
  <c r="AC247" i="2"/>
  <c r="AC243" i="2"/>
  <c r="AC239" i="2"/>
  <c r="AC235" i="2"/>
  <c r="AC231" i="2"/>
  <c r="AC227" i="2"/>
  <c r="AC223" i="2"/>
  <c r="AC219" i="2"/>
  <c r="AC215" i="2"/>
  <c r="AC211" i="2"/>
  <c r="AC207" i="2"/>
  <c r="AC203" i="2"/>
  <c r="AC199" i="2"/>
  <c r="AC195" i="2"/>
  <c r="AC191" i="2"/>
  <c r="AC187" i="2"/>
  <c r="AC183" i="2"/>
  <c r="AC179" i="2"/>
  <c r="AC175" i="2"/>
  <c r="AC171" i="2"/>
  <c r="AC167" i="2"/>
  <c r="AC163" i="2"/>
  <c r="AC159" i="2"/>
  <c r="AC155" i="2"/>
  <c r="AC152" i="2"/>
  <c r="AC298" i="2"/>
  <c r="AC294" i="2"/>
  <c r="AC290" i="2"/>
  <c r="AC286" i="2"/>
  <c r="AC282" i="2"/>
  <c r="AC278" i="2"/>
  <c r="AC274" i="2"/>
  <c r="AC270" i="2"/>
  <c r="AC266" i="2"/>
  <c r="AC262" i="2"/>
  <c r="AC258" i="2"/>
  <c r="AC254" i="2"/>
  <c r="AC250" i="2"/>
  <c r="AC246" i="2"/>
  <c r="AC242" i="2"/>
  <c r="AC238" i="2"/>
  <c r="AC234" i="2"/>
  <c r="AC230" i="2"/>
  <c r="AC226" i="2"/>
  <c r="AC222" i="2"/>
  <c r="AC218" i="2"/>
  <c r="AC214" i="2"/>
  <c r="AC210" i="2"/>
  <c r="AC206" i="2"/>
  <c r="AC202" i="2"/>
  <c r="AC198" i="2"/>
  <c r="AC194" i="2"/>
  <c r="AC190" i="2"/>
  <c r="AC186" i="2"/>
  <c r="AC182" i="2"/>
  <c r="AC178" i="2"/>
  <c r="AC174" i="2"/>
  <c r="AC170" i="2"/>
  <c r="AC166" i="2"/>
  <c r="AC162" i="2"/>
  <c r="AC158" i="2"/>
  <c r="C6" i="3"/>
  <c r="C9" i="3"/>
  <c r="D9" i="3"/>
  <c r="C7" i="3"/>
  <c r="D7" i="3"/>
  <c r="J4" i="3" s="1"/>
  <c r="D8" i="3"/>
  <c r="C8" i="3"/>
  <c r="I4" i="3" l="1"/>
  <c r="AC302" i="2"/>
  <c r="AC304" i="2"/>
  <c r="AC306" i="2"/>
  <c r="AC308" i="2"/>
  <c r="AC310" i="2"/>
  <c r="AC303" i="2"/>
  <c r="AC305" i="2"/>
  <c r="AC307" i="2"/>
  <c r="AC309" i="2"/>
  <c r="AC311" i="2"/>
  <c r="I7" i="3"/>
  <c r="I5" i="3"/>
  <c r="J8" i="3"/>
  <c r="J6" i="3"/>
  <c r="J9" i="3"/>
  <c r="J7" i="3"/>
  <c r="J5" i="3"/>
  <c r="I9" i="3"/>
  <c r="I8" i="3"/>
  <c r="I6" i="3"/>
  <c r="R53" i="2" l="1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96" i="2"/>
  <c r="S96" i="2" s="1"/>
  <c r="R97" i="2"/>
  <c r="S97" i="2" s="1"/>
  <c r="R98" i="2"/>
  <c r="S98" i="2" s="1"/>
  <c r="R99" i="2"/>
  <c r="S99" i="2" s="1"/>
  <c r="R100" i="2"/>
  <c r="S100" i="2" s="1"/>
  <c r="R101" i="2"/>
  <c r="S101" i="2" s="1"/>
  <c r="R102" i="2"/>
  <c r="S102" i="2" s="1"/>
  <c r="R103" i="2"/>
  <c r="S103" i="2" s="1"/>
  <c r="R104" i="2"/>
  <c r="S104" i="2" s="1"/>
  <c r="R105" i="2"/>
  <c r="S105" i="2" s="1"/>
  <c r="R106" i="2"/>
  <c r="S106" i="2" s="1"/>
  <c r="R107" i="2"/>
  <c r="S107" i="2" s="1"/>
  <c r="R108" i="2"/>
  <c r="S108" i="2" s="1"/>
  <c r="R109" i="2"/>
  <c r="S109" i="2" s="1"/>
  <c r="R110" i="2"/>
  <c r="S110" i="2" s="1"/>
  <c r="R111" i="2"/>
  <c r="S111" i="2" s="1"/>
  <c r="R112" i="2"/>
  <c r="S112" i="2" s="1"/>
  <c r="R113" i="2"/>
  <c r="S113" i="2" s="1"/>
  <c r="R114" i="2"/>
  <c r="S114" i="2" s="1"/>
  <c r="R115" i="2"/>
  <c r="S115" i="2" s="1"/>
  <c r="R116" i="2"/>
  <c r="S116" i="2" s="1"/>
  <c r="R117" i="2"/>
  <c r="S117" i="2" s="1"/>
  <c r="R118" i="2"/>
  <c r="S118" i="2" s="1"/>
  <c r="R119" i="2"/>
  <c r="S119" i="2" s="1"/>
  <c r="R120" i="2"/>
  <c r="S120" i="2" s="1"/>
  <c r="R121" i="2"/>
  <c r="S121" i="2" s="1"/>
  <c r="R122" i="2"/>
  <c r="S122" i="2" s="1"/>
  <c r="R123" i="2"/>
  <c r="S123" i="2" s="1"/>
  <c r="R124" i="2"/>
  <c r="S124" i="2" s="1"/>
  <c r="R125" i="2"/>
  <c r="S125" i="2" s="1"/>
  <c r="R126" i="2"/>
  <c r="S126" i="2" s="1"/>
  <c r="R127" i="2"/>
  <c r="S127" i="2" s="1"/>
  <c r="R128" i="2"/>
  <c r="S128" i="2" s="1"/>
  <c r="R129" i="2"/>
  <c r="S129" i="2" s="1"/>
  <c r="R130" i="2"/>
  <c r="S130" i="2" s="1"/>
  <c r="R131" i="2"/>
  <c r="S131" i="2" s="1"/>
  <c r="R132" i="2"/>
  <c r="S132" i="2" s="1"/>
  <c r="R133" i="2"/>
  <c r="S133" i="2" s="1"/>
  <c r="R134" i="2"/>
  <c r="S134" i="2" s="1"/>
  <c r="R135" i="2"/>
  <c r="S135" i="2" s="1"/>
  <c r="R136" i="2"/>
  <c r="S136" i="2" s="1"/>
  <c r="R137" i="2"/>
  <c r="S137" i="2" s="1"/>
  <c r="R138" i="2"/>
  <c r="S138" i="2" s="1"/>
  <c r="R139" i="2"/>
  <c r="S139" i="2" s="1"/>
  <c r="R140" i="2"/>
  <c r="S140" i="2" s="1"/>
  <c r="R141" i="2"/>
  <c r="S141" i="2" s="1"/>
  <c r="R142" i="2"/>
  <c r="S142" i="2" s="1"/>
  <c r="R143" i="2"/>
  <c r="S143" i="2" s="1"/>
  <c r="R144" i="2"/>
  <c r="S144" i="2" s="1"/>
  <c r="R145" i="2"/>
  <c r="S145" i="2" s="1"/>
  <c r="R146" i="2"/>
  <c r="S146" i="2" s="1"/>
  <c r="R147" i="2"/>
  <c r="S147" i="2" s="1"/>
  <c r="R148" i="2"/>
  <c r="S148" i="2" s="1"/>
  <c r="R149" i="2"/>
  <c r="S149" i="2" s="1"/>
  <c r="R150" i="2"/>
  <c r="S150" i="2" s="1"/>
  <c r="R151" i="2"/>
  <c r="S151" i="2" s="1"/>
  <c r="R52" i="2"/>
  <c r="S52" i="2" s="1"/>
  <c r="R3" i="2"/>
  <c r="S3" i="2" s="1"/>
  <c r="R4" i="2"/>
  <c r="S4" i="2" s="1"/>
  <c r="R5" i="2"/>
  <c r="S5" i="2" s="1"/>
  <c r="R6" i="2"/>
  <c r="S6" i="2" s="1"/>
  <c r="R7" i="2"/>
  <c r="S7" i="2" s="1"/>
  <c r="R8" i="2"/>
  <c r="S8" i="2" s="1"/>
  <c r="R9" i="2"/>
  <c r="S9" i="2" s="1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2" i="2"/>
  <c r="S2" i="2" s="1"/>
  <c r="G4" i="1"/>
  <c r="E128" i="2"/>
  <c r="F128" i="2" s="1"/>
  <c r="G128" i="2"/>
  <c r="H128" i="2" s="1"/>
  <c r="L128" i="2"/>
  <c r="M128" i="2" s="1"/>
  <c r="E129" i="2"/>
  <c r="F129" i="2" s="1"/>
  <c r="G129" i="2"/>
  <c r="H129" i="2" s="1"/>
  <c r="L129" i="2"/>
  <c r="M129" i="2" s="1"/>
  <c r="E130" i="2"/>
  <c r="F130" i="2" s="1"/>
  <c r="G130" i="2"/>
  <c r="H130" i="2" s="1"/>
  <c r="L130" i="2"/>
  <c r="M130" i="2" s="1"/>
  <c r="E131" i="2"/>
  <c r="F131" i="2" s="1"/>
  <c r="G131" i="2"/>
  <c r="H131" i="2" s="1"/>
  <c r="L131" i="2"/>
  <c r="M131" i="2" s="1"/>
  <c r="E132" i="2"/>
  <c r="F132" i="2" s="1"/>
  <c r="G132" i="2"/>
  <c r="H132" i="2" s="1"/>
  <c r="L132" i="2"/>
  <c r="M132" i="2" s="1"/>
  <c r="E133" i="2"/>
  <c r="F133" i="2" s="1"/>
  <c r="G133" i="2"/>
  <c r="H133" i="2" s="1"/>
  <c r="L133" i="2"/>
  <c r="M133" i="2" s="1"/>
  <c r="E134" i="2"/>
  <c r="F134" i="2" s="1"/>
  <c r="G134" i="2"/>
  <c r="H134" i="2" s="1"/>
  <c r="L134" i="2"/>
  <c r="M134" i="2" s="1"/>
  <c r="E135" i="2"/>
  <c r="F135" i="2" s="1"/>
  <c r="G135" i="2"/>
  <c r="H135" i="2" s="1"/>
  <c r="L135" i="2"/>
  <c r="M135" i="2" s="1"/>
  <c r="E136" i="2"/>
  <c r="F136" i="2" s="1"/>
  <c r="G136" i="2"/>
  <c r="H136" i="2" s="1"/>
  <c r="L136" i="2"/>
  <c r="M136" i="2" s="1"/>
  <c r="E137" i="2"/>
  <c r="F137" i="2" s="1"/>
  <c r="G137" i="2"/>
  <c r="H137" i="2" s="1"/>
  <c r="L137" i="2"/>
  <c r="M137" i="2" s="1"/>
  <c r="E138" i="2"/>
  <c r="F138" i="2" s="1"/>
  <c r="G138" i="2"/>
  <c r="H138" i="2" s="1"/>
  <c r="L138" i="2"/>
  <c r="M138" i="2" s="1"/>
  <c r="E139" i="2"/>
  <c r="F139" i="2" s="1"/>
  <c r="G139" i="2"/>
  <c r="H139" i="2" s="1"/>
  <c r="L139" i="2"/>
  <c r="M139" i="2" s="1"/>
  <c r="E140" i="2"/>
  <c r="F140" i="2" s="1"/>
  <c r="G140" i="2"/>
  <c r="H140" i="2" s="1"/>
  <c r="L140" i="2"/>
  <c r="M140" i="2" s="1"/>
  <c r="E141" i="2"/>
  <c r="F141" i="2" s="1"/>
  <c r="G141" i="2"/>
  <c r="H141" i="2" s="1"/>
  <c r="L141" i="2"/>
  <c r="M141" i="2" s="1"/>
  <c r="E142" i="2"/>
  <c r="F142" i="2" s="1"/>
  <c r="G142" i="2"/>
  <c r="H142" i="2" s="1"/>
  <c r="L142" i="2"/>
  <c r="M142" i="2" s="1"/>
  <c r="E143" i="2"/>
  <c r="F143" i="2" s="1"/>
  <c r="G143" i="2"/>
  <c r="H143" i="2" s="1"/>
  <c r="L143" i="2"/>
  <c r="M143" i="2" s="1"/>
  <c r="E144" i="2"/>
  <c r="F144" i="2" s="1"/>
  <c r="G144" i="2"/>
  <c r="H144" i="2" s="1"/>
  <c r="L144" i="2"/>
  <c r="M144" i="2" s="1"/>
  <c r="E145" i="2"/>
  <c r="F145" i="2" s="1"/>
  <c r="G145" i="2"/>
  <c r="H145" i="2" s="1"/>
  <c r="L145" i="2"/>
  <c r="M145" i="2" s="1"/>
  <c r="E146" i="2"/>
  <c r="F146" i="2" s="1"/>
  <c r="G146" i="2"/>
  <c r="H146" i="2" s="1"/>
  <c r="L146" i="2"/>
  <c r="M146" i="2" s="1"/>
  <c r="E147" i="2"/>
  <c r="F147" i="2" s="1"/>
  <c r="G147" i="2"/>
  <c r="H147" i="2" s="1"/>
  <c r="L147" i="2"/>
  <c r="M147" i="2" s="1"/>
  <c r="E148" i="2"/>
  <c r="F148" i="2" s="1"/>
  <c r="G148" i="2"/>
  <c r="H148" i="2" s="1"/>
  <c r="L148" i="2"/>
  <c r="M148" i="2" s="1"/>
  <c r="E149" i="2"/>
  <c r="F149" i="2" s="1"/>
  <c r="G149" i="2"/>
  <c r="H149" i="2" s="1"/>
  <c r="L149" i="2"/>
  <c r="M149" i="2" s="1"/>
  <c r="E150" i="2"/>
  <c r="F150" i="2" s="1"/>
  <c r="G150" i="2"/>
  <c r="H150" i="2" s="1"/>
  <c r="L150" i="2"/>
  <c r="M150" i="2" s="1"/>
  <c r="G151" i="2"/>
  <c r="H151" i="2" s="1"/>
  <c r="L151" i="2"/>
  <c r="M151" i="2" s="1"/>
  <c r="L127" i="2"/>
  <c r="M127" i="2" s="1"/>
  <c r="G127" i="2"/>
  <c r="H127" i="2" s="1"/>
  <c r="E127" i="2"/>
  <c r="F127" i="2" s="1"/>
  <c r="E103" i="2"/>
  <c r="F103" i="2" s="1"/>
  <c r="G103" i="2"/>
  <c r="H103" i="2" s="1"/>
  <c r="L103" i="2"/>
  <c r="M103" i="2" s="1"/>
  <c r="E104" i="2"/>
  <c r="F104" i="2" s="1"/>
  <c r="G104" i="2"/>
  <c r="H104" i="2" s="1"/>
  <c r="L104" i="2"/>
  <c r="M104" i="2" s="1"/>
  <c r="E105" i="2"/>
  <c r="F105" i="2" s="1"/>
  <c r="G105" i="2"/>
  <c r="H105" i="2" s="1"/>
  <c r="L105" i="2"/>
  <c r="M105" i="2" s="1"/>
  <c r="E106" i="2"/>
  <c r="F106" i="2" s="1"/>
  <c r="G106" i="2"/>
  <c r="H106" i="2" s="1"/>
  <c r="L106" i="2"/>
  <c r="M106" i="2" s="1"/>
  <c r="E107" i="2"/>
  <c r="F107" i="2" s="1"/>
  <c r="G107" i="2"/>
  <c r="H107" i="2" s="1"/>
  <c r="L107" i="2"/>
  <c r="M107" i="2" s="1"/>
  <c r="E108" i="2"/>
  <c r="F108" i="2" s="1"/>
  <c r="G108" i="2"/>
  <c r="H108" i="2" s="1"/>
  <c r="L108" i="2"/>
  <c r="M108" i="2" s="1"/>
  <c r="E109" i="2"/>
  <c r="F109" i="2" s="1"/>
  <c r="G109" i="2"/>
  <c r="H109" i="2" s="1"/>
  <c r="L109" i="2"/>
  <c r="M109" i="2" s="1"/>
  <c r="E110" i="2"/>
  <c r="F110" i="2" s="1"/>
  <c r="G110" i="2"/>
  <c r="H110" i="2" s="1"/>
  <c r="L110" i="2"/>
  <c r="M110" i="2" s="1"/>
  <c r="E111" i="2"/>
  <c r="F111" i="2" s="1"/>
  <c r="G111" i="2"/>
  <c r="H111" i="2" s="1"/>
  <c r="L111" i="2"/>
  <c r="M111" i="2" s="1"/>
  <c r="E112" i="2"/>
  <c r="F112" i="2" s="1"/>
  <c r="G112" i="2"/>
  <c r="H112" i="2" s="1"/>
  <c r="L112" i="2"/>
  <c r="M112" i="2" s="1"/>
  <c r="E113" i="2"/>
  <c r="F113" i="2" s="1"/>
  <c r="G113" i="2"/>
  <c r="H113" i="2" s="1"/>
  <c r="L113" i="2"/>
  <c r="M113" i="2" s="1"/>
  <c r="E114" i="2"/>
  <c r="F114" i="2" s="1"/>
  <c r="G114" i="2"/>
  <c r="H114" i="2" s="1"/>
  <c r="L114" i="2"/>
  <c r="M114" i="2" s="1"/>
  <c r="E115" i="2"/>
  <c r="F115" i="2" s="1"/>
  <c r="G115" i="2"/>
  <c r="H115" i="2" s="1"/>
  <c r="L115" i="2"/>
  <c r="M115" i="2" s="1"/>
  <c r="E116" i="2"/>
  <c r="F116" i="2" s="1"/>
  <c r="G116" i="2"/>
  <c r="H116" i="2" s="1"/>
  <c r="L116" i="2"/>
  <c r="M116" i="2" s="1"/>
  <c r="E117" i="2"/>
  <c r="F117" i="2" s="1"/>
  <c r="G117" i="2"/>
  <c r="H117" i="2" s="1"/>
  <c r="L117" i="2"/>
  <c r="M117" i="2" s="1"/>
  <c r="E118" i="2"/>
  <c r="F118" i="2" s="1"/>
  <c r="G118" i="2"/>
  <c r="H118" i="2" s="1"/>
  <c r="L118" i="2"/>
  <c r="M118" i="2" s="1"/>
  <c r="E119" i="2"/>
  <c r="F119" i="2" s="1"/>
  <c r="G119" i="2"/>
  <c r="H119" i="2" s="1"/>
  <c r="L119" i="2"/>
  <c r="M119" i="2" s="1"/>
  <c r="E120" i="2"/>
  <c r="F120" i="2" s="1"/>
  <c r="G120" i="2"/>
  <c r="H120" i="2" s="1"/>
  <c r="L120" i="2"/>
  <c r="M120" i="2" s="1"/>
  <c r="E121" i="2"/>
  <c r="F121" i="2" s="1"/>
  <c r="G121" i="2"/>
  <c r="H121" i="2" s="1"/>
  <c r="L121" i="2"/>
  <c r="M121" i="2" s="1"/>
  <c r="E122" i="2"/>
  <c r="F122" i="2" s="1"/>
  <c r="G122" i="2"/>
  <c r="H122" i="2" s="1"/>
  <c r="L122" i="2"/>
  <c r="M122" i="2" s="1"/>
  <c r="E123" i="2"/>
  <c r="F123" i="2" s="1"/>
  <c r="G123" i="2"/>
  <c r="H123" i="2" s="1"/>
  <c r="L123" i="2"/>
  <c r="M123" i="2" s="1"/>
  <c r="E124" i="2"/>
  <c r="F124" i="2" s="1"/>
  <c r="G124" i="2"/>
  <c r="H124" i="2" s="1"/>
  <c r="L124" i="2"/>
  <c r="M124" i="2" s="1"/>
  <c r="E125" i="2"/>
  <c r="F125" i="2" s="1"/>
  <c r="G125" i="2"/>
  <c r="H125" i="2" s="1"/>
  <c r="L125" i="2"/>
  <c r="M125" i="2" s="1"/>
  <c r="E126" i="2"/>
  <c r="F126" i="2" s="1"/>
  <c r="G126" i="2"/>
  <c r="H126" i="2" s="1"/>
  <c r="L126" i="2"/>
  <c r="M126" i="2" s="1"/>
  <c r="L102" i="2"/>
  <c r="M102" i="2" s="1"/>
  <c r="G102" i="2"/>
  <c r="H102" i="2" s="1"/>
  <c r="E102" i="2"/>
  <c r="F102" i="2" s="1"/>
  <c r="E78" i="2"/>
  <c r="F78" i="2" s="1"/>
  <c r="G78" i="2"/>
  <c r="H78" i="2" s="1"/>
  <c r="L78" i="2"/>
  <c r="M78" i="2" s="1"/>
  <c r="E79" i="2"/>
  <c r="F79" i="2" s="1"/>
  <c r="G79" i="2"/>
  <c r="H79" i="2" s="1"/>
  <c r="L79" i="2"/>
  <c r="M79" i="2" s="1"/>
  <c r="E80" i="2"/>
  <c r="F80" i="2" s="1"/>
  <c r="G80" i="2"/>
  <c r="H80" i="2" s="1"/>
  <c r="L80" i="2"/>
  <c r="M80" i="2" s="1"/>
  <c r="E81" i="2"/>
  <c r="F81" i="2" s="1"/>
  <c r="G81" i="2"/>
  <c r="H81" i="2" s="1"/>
  <c r="L81" i="2"/>
  <c r="M81" i="2" s="1"/>
  <c r="E82" i="2"/>
  <c r="F82" i="2" s="1"/>
  <c r="G82" i="2"/>
  <c r="H82" i="2" s="1"/>
  <c r="L82" i="2"/>
  <c r="M82" i="2" s="1"/>
  <c r="E83" i="2"/>
  <c r="F83" i="2" s="1"/>
  <c r="G83" i="2"/>
  <c r="H83" i="2" s="1"/>
  <c r="L83" i="2"/>
  <c r="M83" i="2" s="1"/>
  <c r="E84" i="2"/>
  <c r="F84" i="2" s="1"/>
  <c r="G84" i="2"/>
  <c r="H84" i="2" s="1"/>
  <c r="L84" i="2"/>
  <c r="M84" i="2" s="1"/>
  <c r="E85" i="2"/>
  <c r="F85" i="2" s="1"/>
  <c r="G85" i="2"/>
  <c r="H85" i="2" s="1"/>
  <c r="L85" i="2"/>
  <c r="M85" i="2" s="1"/>
  <c r="E86" i="2"/>
  <c r="F86" i="2" s="1"/>
  <c r="G86" i="2"/>
  <c r="H86" i="2" s="1"/>
  <c r="L86" i="2"/>
  <c r="M86" i="2" s="1"/>
  <c r="E87" i="2"/>
  <c r="F87" i="2" s="1"/>
  <c r="G87" i="2"/>
  <c r="H87" i="2" s="1"/>
  <c r="L87" i="2"/>
  <c r="M87" i="2" s="1"/>
  <c r="E88" i="2"/>
  <c r="F88" i="2" s="1"/>
  <c r="G88" i="2"/>
  <c r="H88" i="2" s="1"/>
  <c r="L88" i="2"/>
  <c r="M88" i="2" s="1"/>
  <c r="E89" i="2"/>
  <c r="F89" i="2" s="1"/>
  <c r="G89" i="2"/>
  <c r="H89" i="2" s="1"/>
  <c r="L89" i="2"/>
  <c r="M89" i="2" s="1"/>
  <c r="E90" i="2"/>
  <c r="F90" i="2" s="1"/>
  <c r="G90" i="2"/>
  <c r="H90" i="2" s="1"/>
  <c r="L90" i="2"/>
  <c r="M90" i="2" s="1"/>
  <c r="E91" i="2"/>
  <c r="F91" i="2" s="1"/>
  <c r="G91" i="2"/>
  <c r="H91" i="2" s="1"/>
  <c r="L91" i="2"/>
  <c r="M91" i="2" s="1"/>
  <c r="E92" i="2"/>
  <c r="F92" i="2" s="1"/>
  <c r="G92" i="2"/>
  <c r="H92" i="2" s="1"/>
  <c r="L92" i="2"/>
  <c r="M92" i="2" s="1"/>
  <c r="E93" i="2"/>
  <c r="F93" i="2" s="1"/>
  <c r="G93" i="2"/>
  <c r="H93" i="2" s="1"/>
  <c r="L93" i="2"/>
  <c r="M93" i="2" s="1"/>
  <c r="E94" i="2"/>
  <c r="F94" i="2" s="1"/>
  <c r="G94" i="2"/>
  <c r="H94" i="2" s="1"/>
  <c r="L94" i="2"/>
  <c r="M94" i="2" s="1"/>
  <c r="E95" i="2"/>
  <c r="F95" i="2" s="1"/>
  <c r="G95" i="2"/>
  <c r="H95" i="2" s="1"/>
  <c r="L95" i="2"/>
  <c r="M95" i="2" s="1"/>
  <c r="E96" i="2"/>
  <c r="F96" i="2" s="1"/>
  <c r="G96" i="2"/>
  <c r="H96" i="2" s="1"/>
  <c r="L96" i="2"/>
  <c r="M96" i="2" s="1"/>
  <c r="E97" i="2"/>
  <c r="F97" i="2" s="1"/>
  <c r="G97" i="2"/>
  <c r="H97" i="2" s="1"/>
  <c r="L97" i="2"/>
  <c r="M97" i="2" s="1"/>
  <c r="E98" i="2"/>
  <c r="F98" i="2" s="1"/>
  <c r="G98" i="2"/>
  <c r="H98" i="2" s="1"/>
  <c r="L98" i="2"/>
  <c r="M98" i="2" s="1"/>
  <c r="E99" i="2"/>
  <c r="F99" i="2" s="1"/>
  <c r="G99" i="2"/>
  <c r="H99" i="2" s="1"/>
  <c r="L99" i="2"/>
  <c r="M99" i="2" s="1"/>
  <c r="E100" i="2"/>
  <c r="F100" i="2" s="1"/>
  <c r="G100" i="2"/>
  <c r="H100" i="2" s="1"/>
  <c r="L100" i="2"/>
  <c r="M100" i="2" s="1"/>
  <c r="E101" i="2"/>
  <c r="F101" i="2" s="1"/>
  <c r="G101" i="2"/>
  <c r="H101" i="2" s="1"/>
  <c r="L101" i="2"/>
  <c r="M101" i="2" s="1"/>
  <c r="L77" i="2"/>
  <c r="M77" i="2" s="1"/>
  <c r="G77" i="2"/>
  <c r="H77" i="2" s="1"/>
  <c r="E77" i="2"/>
  <c r="F77" i="2" s="1"/>
  <c r="E53" i="2"/>
  <c r="F53" i="2" s="1"/>
  <c r="G53" i="2"/>
  <c r="H53" i="2" s="1"/>
  <c r="L53" i="2"/>
  <c r="M53" i="2" s="1"/>
  <c r="E54" i="2"/>
  <c r="F54" i="2" s="1"/>
  <c r="G54" i="2"/>
  <c r="H54" i="2" s="1"/>
  <c r="L54" i="2"/>
  <c r="M54" i="2" s="1"/>
  <c r="E55" i="2"/>
  <c r="F55" i="2" s="1"/>
  <c r="G55" i="2"/>
  <c r="H55" i="2" s="1"/>
  <c r="L55" i="2"/>
  <c r="M55" i="2" s="1"/>
  <c r="E56" i="2"/>
  <c r="F56" i="2" s="1"/>
  <c r="G56" i="2"/>
  <c r="H56" i="2" s="1"/>
  <c r="L56" i="2"/>
  <c r="M56" i="2" s="1"/>
  <c r="E57" i="2"/>
  <c r="F57" i="2" s="1"/>
  <c r="G57" i="2"/>
  <c r="H57" i="2" s="1"/>
  <c r="L57" i="2"/>
  <c r="M57" i="2" s="1"/>
  <c r="E58" i="2"/>
  <c r="F58" i="2" s="1"/>
  <c r="G58" i="2"/>
  <c r="H58" i="2" s="1"/>
  <c r="L58" i="2"/>
  <c r="M58" i="2" s="1"/>
  <c r="E59" i="2"/>
  <c r="F59" i="2" s="1"/>
  <c r="G59" i="2"/>
  <c r="H59" i="2" s="1"/>
  <c r="L59" i="2"/>
  <c r="M59" i="2" s="1"/>
  <c r="E60" i="2"/>
  <c r="F60" i="2" s="1"/>
  <c r="G60" i="2"/>
  <c r="H60" i="2" s="1"/>
  <c r="L60" i="2"/>
  <c r="M60" i="2" s="1"/>
  <c r="E61" i="2"/>
  <c r="F61" i="2" s="1"/>
  <c r="G61" i="2"/>
  <c r="H61" i="2" s="1"/>
  <c r="L61" i="2"/>
  <c r="M61" i="2" s="1"/>
  <c r="E62" i="2"/>
  <c r="F62" i="2" s="1"/>
  <c r="G62" i="2"/>
  <c r="H62" i="2" s="1"/>
  <c r="L62" i="2"/>
  <c r="M62" i="2" s="1"/>
  <c r="E63" i="2"/>
  <c r="F63" i="2" s="1"/>
  <c r="G63" i="2"/>
  <c r="H63" i="2" s="1"/>
  <c r="L63" i="2"/>
  <c r="M63" i="2" s="1"/>
  <c r="E64" i="2"/>
  <c r="F64" i="2" s="1"/>
  <c r="G64" i="2"/>
  <c r="H64" i="2" s="1"/>
  <c r="L64" i="2"/>
  <c r="M64" i="2" s="1"/>
  <c r="E65" i="2"/>
  <c r="F65" i="2" s="1"/>
  <c r="G65" i="2"/>
  <c r="H65" i="2" s="1"/>
  <c r="L65" i="2"/>
  <c r="M65" i="2" s="1"/>
  <c r="E66" i="2"/>
  <c r="F66" i="2" s="1"/>
  <c r="G66" i="2"/>
  <c r="H66" i="2" s="1"/>
  <c r="L66" i="2"/>
  <c r="M66" i="2" s="1"/>
  <c r="E67" i="2"/>
  <c r="F67" i="2" s="1"/>
  <c r="G67" i="2"/>
  <c r="H67" i="2" s="1"/>
  <c r="L67" i="2"/>
  <c r="M67" i="2" s="1"/>
  <c r="E68" i="2"/>
  <c r="F68" i="2" s="1"/>
  <c r="G68" i="2"/>
  <c r="H68" i="2" s="1"/>
  <c r="L68" i="2"/>
  <c r="M68" i="2" s="1"/>
  <c r="E69" i="2"/>
  <c r="F69" i="2" s="1"/>
  <c r="G69" i="2"/>
  <c r="H69" i="2" s="1"/>
  <c r="L69" i="2"/>
  <c r="M69" i="2" s="1"/>
  <c r="E70" i="2"/>
  <c r="F70" i="2" s="1"/>
  <c r="G70" i="2"/>
  <c r="H70" i="2" s="1"/>
  <c r="L70" i="2"/>
  <c r="M70" i="2" s="1"/>
  <c r="E71" i="2"/>
  <c r="F71" i="2" s="1"/>
  <c r="G71" i="2"/>
  <c r="H71" i="2" s="1"/>
  <c r="L71" i="2"/>
  <c r="M71" i="2" s="1"/>
  <c r="E72" i="2"/>
  <c r="F72" i="2" s="1"/>
  <c r="G72" i="2"/>
  <c r="H72" i="2" s="1"/>
  <c r="L72" i="2"/>
  <c r="M72" i="2" s="1"/>
  <c r="E73" i="2"/>
  <c r="F73" i="2" s="1"/>
  <c r="G73" i="2"/>
  <c r="H73" i="2" s="1"/>
  <c r="L73" i="2"/>
  <c r="M73" i="2" s="1"/>
  <c r="E74" i="2"/>
  <c r="F74" i="2" s="1"/>
  <c r="G74" i="2"/>
  <c r="H74" i="2" s="1"/>
  <c r="L74" i="2"/>
  <c r="M74" i="2" s="1"/>
  <c r="E75" i="2"/>
  <c r="F75" i="2" s="1"/>
  <c r="G75" i="2"/>
  <c r="H75" i="2" s="1"/>
  <c r="L75" i="2"/>
  <c r="M75" i="2" s="1"/>
  <c r="E76" i="2"/>
  <c r="F76" i="2" s="1"/>
  <c r="G76" i="2"/>
  <c r="H76" i="2" s="1"/>
  <c r="L76" i="2"/>
  <c r="M76" i="2" s="1"/>
  <c r="L52" i="2"/>
  <c r="M52" i="2" s="1"/>
  <c r="G52" i="2"/>
  <c r="H52" i="2" s="1"/>
  <c r="E52" i="2"/>
  <c r="F52" i="2" s="1"/>
  <c r="E3" i="2"/>
  <c r="F3" i="2" s="1"/>
  <c r="G3" i="2"/>
  <c r="H3" i="2" s="1"/>
  <c r="L3" i="2"/>
  <c r="M3" i="2" s="1"/>
  <c r="E4" i="2"/>
  <c r="F4" i="2" s="1"/>
  <c r="G4" i="2"/>
  <c r="H4" i="2" s="1"/>
  <c r="L4" i="2"/>
  <c r="M4" i="2" s="1"/>
  <c r="E5" i="2"/>
  <c r="F5" i="2" s="1"/>
  <c r="G5" i="2"/>
  <c r="H5" i="2" s="1"/>
  <c r="L5" i="2"/>
  <c r="M5" i="2" s="1"/>
  <c r="E6" i="2"/>
  <c r="F6" i="2" s="1"/>
  <c r="G6" i="2"/>
  <c r="H6" i="2" s="1"/>
  <c r="L6" i="2"/>
  <c r="M6" i="2" s="1"/>
  <c r="E7" i="2"/>
  <c r="F7" i="2" s="1"/>
  <c r="G7" i="2"/>
  <c r="H7" i="2" s="1"/>
  <c r="L7" i="2"/>
  <c r="M7" i="2" s="1"/>
  <c r="E8" i="2"/>
  <c r="F8" i="2" s="1"/>
  <c r="G8" i="2"/>
  <c r="H8" i="2" s="1"/>
  <c r="L8" i="2"/>
  <c r="M8" i="2" s="1"/>
  <c r="E9" i="2"/>
  <c r="F9" i="2" s="1"/>
  <c r="G9" i="2"/>
  <c r="H9" i="2" s="1"/>
  <c r="L9" i="2"/>
  <c r="M9" i="2" s="1"/>
  <c r="E10" i="2"/>
  <c r="F10" i="2" s="1"/>
  <c r="G10" i="2"/>
  <c r="H10" i="2" s="1"/>
  <c r="L10" i="2"/>
  <c r="M10" i="2" s="1"/>
  <c r="E11" i="2"/>
  <c r="F11" i="2" s="1"/>
  <c r="G11" i="2"/>
  <c r="H11" i="2" s="1"/>
  <c r="L11" i="2"/>
  <c r="M11" i="2" s="1"/>
  <c r="E12" i="2"/>
  <c r="F12" i="2" s="1"/>
  <c r="G12" i="2"/>
  <c r="H12" i="2" s="1"/>
  <c r="L12" i="2"/>
  <c r="M12" i="2" s="1"/>
  <c r="E13" i="2"/>
  <c r="F13" i="2" s="1"/>
  <c r="G13" i="2"/>
  <c r="H13" i="2" s="1"/>
  <c r="L13" i="2"/>
  <c r="M13" i="2" s="1"/>
  <c r="E14" i="2"/>
  <c r="F14" i="2" s="1"/>
  <c r="G14" i="2"/>
  <c r="H14" i="2" s="1"/>
  <c r="L14" i="2"/>
  <c r="M14" i="2" s="1"/>
  <c r="E15" i="2"/>
  <c r="F15" i="2" s="1"/>
  <c r="G15" i="2"/>
  <c r="H15" i="2" s="1"/>
  <c r="L15" i="2"/>
  <c r="M15" i="2" s="1"/>
  <c r="E16" i="2"/>
  <c r="F16" i="2" s="1"/>
  <c r="G16" i="2"/>
  <c r="H16" i="2" s="1"/>
  <c r="L16" i="2"/>
  <c r="M16" i="2" s="1"/>
  <c r="E17" i="2"/>
  <c r="F17" i="2" s="1"/>
  <c r="G17" i="2"/>
  <c r="H17" i="2" s="1"/>
  <c r="L17" i="2"/>
  <c r="M17" i="2" s="1"/>
  <c r="E18" i="2"/>
  <c r="F18" i="2" s="1"/>
  <c r="G18" i="2"/>
  <c r="H18" i="2" s="1"/>
  <c r="L18" i="2"/>
  <c r="M18" i="2" s="1"/>
  <c r="E19" i="2"/>
  <c r="F19" i="2" s="1"/>
  <c r="G19" i="2"/>
  <c r="H19" i="2" s="1"/>
  <c r="L19" i="2"/>
  <c r="M19" i="2" s="1"/>
  <c r="E20" i="2"/>
  <c r="F20" i="2" s="1"/>
  <c r="G20" i="2"/>
  <c r="H20" i="2" s="1"/>
  <c r="L20" i="2"/>
  <c r="M20" i="2" s="1"/>
  <c r="E21" i="2"/>
  <c r="F21" i="2" s="1"/>
  <c r="G21" i="2"/>
  <c r="H21" i="2" s="1"/>
  <c r="L21" i="2"/>
  <c r="M21" i="2" s="1"/>
  <c r="E22" i="2"/>
  <c r="F22" i="2" s="1"/>
  <c r="G22" i="2"/>
  <c r="H22" i="2" s="1"/>
  <c r="L22" i="2"/>
  <c r="M22" i="2" s="1"/>
  <c r="E23" i="2"/>
  <c r="F23" i="2" s="1"/>
  <c r="G23" i="2"/>
  <c r="H23" i="2" s="1"/>
  <c r="L23" i="2"/>
  <c r="M23" i="2" s="1"/>
  <c r="E24" i="2"/>
  <c r="F24" i="2" s="1"/>
  <c r="G24" i="2"/>
  <c r="H24" i="2" s="1"/>
  <c r="L24" i="2"/>
  <c r="M24" i="2" s="1"/>
  <c r="E25" i="2"/>
  <c r="F25" i="2" s="1"/>
  <c r="G25" i="2"/>
  <c r="H25" i="2" s="1"/>
  <c r="L25" i="2"/>
  <c r="M25" i="2" s="1"/>
  <c r="E26" i="2"/>
  <c r="F26" i="2" s="1"/>
  <c r="G26" i="2"/>
  <c r="H26" i="2" s="1"/>
  <c r="L26" i="2"/>
  <c r="M26" i="2" s="1"/>
  <c r="E27" i="2"/>
  <c r="F27" i="2" s="1"/>
  <c r="G27" i="2"/>
  <c r="H27" i="2" s="1"/>
  <c r="L27" i="2"/>
  <c r="M27" i="2" s="1"/>
  <c r="E28" i="2"/>
  <c r="F28" i="2" s="1"/>
  <c r="G28" i="2"/>
  <c r="H28" i="2" s="1"/>
  <c r="L28" i="2"/>
  <c r="M28" i="2" s="1"/>
  <c r="E29" i="2"/>
  <c r="F29" i="2" s="1"/>
  <c r="G29" i="2"/>
  <c r="H29" i="2" s="1"/>
  <c r="L29" i="2"/>
  <c r="M29" i="2" s="1"/>
  <c r="E30" i="2"/>
  <c r="F30" i="2" s="1"/>
  <c r="G30" i="2"/>
  <c r="H30" i="2" s="1"/>
  <c r="L30" i="2"/>
  <c r="M30" i="2" s="1"/>
  <c r="E31" i="2"/>
  <c r="F31" i="2" s="1"/>
  <c r="G31" i="2"/>
  <c r="H31" i="2" s="1"/>
  <c r="L31" i="2"/>
  <c r="M31" i="2" s="1"/>
  <c r="E32" i="2"/>
  <c r="F32" i="2" s="1"/>
  <c r="G32" i="2"/>
  <c r="H32" i="2" s="1"/>
  <c r="L32" i="2"/>
  <c r="M32" i="2" s="1"/>
  <c r="E33" i="2"/>
  <c r="F33" i="2" s="1"/>
  <c r="G33" i="2"/>
  <c r="H33" i="2" s="1"/>
  <c r="L33" i="2"/>
  <c r="M33" i="2" s="1"/>
  <c r="E34" i="2"/>
  <c r="F34" i="2" s="1"/>
  <c r="G34" i="2"/>
  <c r="H34" i="2" s="1"/>
  <c r="L34" i="2"/>
  <c r="M34" i="2" s="1"/>
  <c r="E35" i="2"/>
  <c r="F35" i="2" s="1"/>
  <c r="G35" i="2"/>
  <c r="H35" i="2" s="1"/>
  <c r="L35" i="2"/>
  <c r="M35" i="2" s="1"/>
  <c r="E36" i="2"/>
  <c r="F36" i="2" s="1"/>
  <c r="G36" i="2"/>
  <c r="H36" i="2" s="1"/>
  <c r="L36" i="2"/>
  <c r="M36" i="2" s="1"/>
  <c r="E37" i="2"/>
  <c r="F37" i="2" s="1"/>
  <c r="G37" i="2"/>
  <c r="H37" i="2" s="1"/>
  <c r="L37" i="2"/>
  <c r="M37" i="2" s="1"/>
  <c r="E38" i="2"/>
  <c r="F38" i="2" s="1"/>
  <c r="G38" i="2"/>
  <c r="H38" i="2" s="1"/>
  <c r="L38" i="2"/>
  <c r="M38" i="2" s="1"/>
  <c r="E39" i="2"/>
  <c r="F39" i="2" s="1"/>
  <c r="G39" i="2"/>
  <c r="H39" i="2" s="1"/>
  <c r="L39" i="2"/>
  <c r="M39" i="2" s="1"/>
  <c r="E40" i="2"/>
  <c r="F40" i="2" s="1"/>
  <c r="G40" i="2"/>
  <c r="H40" i="2" s="1"/>
  <c r="L40" i="2"/>
  <c r="M40" i="2" s="1"/>
  <c r="E41" i="2"/>
  <c r="F41" i="2" s="1"/>
  <c r="G41" i="2"/>
  <c r="H41" i="2" s="1"/>
  <c r="L41" i="2"/>
  <c r="M41" i="2" s="1"/>
  <c r="E42" i="2"/>
  <c r="F42" i="2" s="1"/>
  <c r="G42" i="2"/>
  <c r="H42" i="2" s="1"/>
  <c r="L42" i="2"/>
  <c r="M42" i="2" s="1"/>
  <c r="E43" i="2"/>
  <c r="F43" i="2" s="1"/>
  <c r="G43" i="2"/>
  <c r="H43" i="2" s="1"/>
  <c r="L43" i="2"/>
  <c r="M43" i="2" s="1"/>
  <c r="E44" i="2"/>
  <c r="F44" i="2" s="1"/>
  <c r="G44" i="2"/>
  <c r="H44" i="2" s="1"/>
  <c r="L44" i="2"/>
  <c r="M44" i="2" s="1"/>
  <c r="E45" i="2"/>
  <c r="F45" i="2" s="1"/>
  <c r="G45" i="2"/>
  <c r="H45" i="2" s="1"/>
  <c r="L45" i="2"/>
  <c r="M45" i="2" s="1"/>
  <c r="E46" i="2"/>
  <c r="F46" i="2" s="1"/>
  <c r="G46" i="2"/>
  <c r="H46" i="2" s="1"/>
  <c r="L46" i="2"/>
  <c r="M46" i="2" s="1"/>
  <c r="E47" i="2"/>
  <c r="F47" i="2" s="1"/>
  <c r="G47" i="2"/>
  <c r="H47" i="2" s="1"/>
  <c r="L47" i="2"/>
  <c r="M47" i="2" s="1"/>
  <c r="E48" i="2"/>
  <c r="F48" i="2" s="1"/>
  <c r="G48" i="2"/>
  <c r="H48" i="2" s="1"/>
  <c r="L48" i="2"/>
  <c r="M48" i="2" s="1"/>
  <c r="E49" i="2"/>
  <c r="F49" i="2" s="1"/>
  <c r="G49" i="2"/>
  <c r="H49" i="2" s="1"/>
  <c r="L49" i="2"/>
  <c r="M49" i="2" s="1"/>
  <c r="E50" i="2"/>
  <c r="F50" i="2" s="1"/>
  <c r="G50" i="2"/>
  <c r="H50" i="2" s="1"/>
  <c r="L50" i="2"/>
  <c r="M50" i="2" s="1"/>
  <c r="E51" i="2"/>
  <c r="F51" i="2" s="1"/>
  <c r="G51" i="2"/>
  <c r="H51" i="2" s="1"/>
  <c r="L51" i="2"/>
  <c r="M51" i="2" s="1"/>
  <c r="L2" i="2"/>
  <c r="M2" i="2" s="1"/>
  <c r="G2" i="2"/>
  <c r="H2" i="2" s="1"/>
  <c r="E2" i="2"/>
  <c r="F2" i="2" s="1"/>
  <c r="G63" i="1"/>
  <c r="N3" i="2" s="1"/>
  <c r="H63" i="1"/>
  <c r="P3" i="2" s="1"/>
  <c r="G64" i="1"/>
  <c r="N4" i="2" s="1"/>
  <c r="H64" i="1"/>
  <c r="P4" i="2" s="1"/>
  <c r="G65" i="1"/>
  <c r="N5" i="2" s="1"/>
  <c r="H65" i="1"/>
  <c r="P5" i="2" s="1"/>
  <c r="G66" i="1"/>
  <c r="N6" i="2" s="1"/>
  <c r="H66" i="1"/>
  <c r="P6" i="2" s="1"/>
  <c r="G67" i="1"/>
  <c r="N7" i="2" s="1"/>
  <c r="H67" i="1"/>
  <c r="P7" i="2" s="1"/>
  <c r="G68" i="1"/>
  <c r="N8" i="2" s="1"/>
  <c r="H68" i="1"/>
  <c r="P8" i="2" s="1"/>
  <c r="G69" i="1"/>
  <c r="N9" i="2" s="1"/>
  <c r="H69" i="1"/>
  <c r="P9" i="2" s="1"/>
  <c r="G70" i="1"/>
  <c r="N10" i="2" s="1"/>
  <c r="H70" i="1"/>
  <c r="P10" i="2" s="1"/>
  <c r="G71" i="1"/>
  <c r="N11" i="2" s="1"/>
  <c r="H71" i="1"/>
  <c r="P11" i="2" s="1"/>
  <c r="G72" i="1"/>
  <c r="N12" i="2" s="1"/>
  <c r="H72" i="1"/>
  <c r="P12" i="2" s="1"/>
  <c r="G73" i="1"/>
  <c r="N13" i="2" s="1"/>
  <c r="H73" i="1"/>
  <c r="P13" i="2" s="1"/>
  <c r="G74" i="1"/>
  <c r="N14" i="2" s="1"/>
  <c r="H74" i="1"/>
  <c r="P14" i="2" s="1"/>
  <c r="G75" i="1"/>
  <c r="N15" i="2" s="1"/>
  <c r="H75" i="1"/>
  <c r="P15" i="2" s="1"/>
  <c r="G76" i="1"/>
  <c r="N16" i="2" s="1"/>
  <c r="H76" i="1"/>
  <c r="P16" i="2" s="1"/>
  <c r="G77" i="1"/>
  <c r="N17" i="2" s="1"/>
  <c r="H77" i="1"/>
  <c r="P17" i="2" s="1"/>
  <c r="G78" i="1"/>
  <c r="N18" i="2" s="1"/>
  <c r="H78" i="1"/>
  <c r="P18" i="2" s="1"/>
  <c r="G79" i="1"/>
  <c r="N19" i="2" s="1"/>
  <c r="H79" i="1"/>
  <c r="P19" i="2" s="1"/>
  <c r="G80" i="1"/>
  <c r="N20" i="2" s="1"/>
  <c r="H80" i="1"/>
  <c r="P20" i="2" s="1"/>
  <c r="G81" i="1"/>
  <c r="N21" i="2" s="1"/>
  <c r="H81" i="1"/>
  <c r="P21" i="2" s="1"/>
  <c r="G82" i="1"/>
  <c r="N22" i="2" s="1"/>
  <c r="H82" i="1"/>
  <c r="P22" i="2" s="1"/>
  <c r="G83" i="1"/>
  <c r="N23" i="2" s="1"/>
  <c r="H83" i="1"/>
  <c r="P23" i="2" s="1"/>
  <c r="G84" i="1"/>
  <c r="N24" i="2" s="1"/>
  <c r="H84" i="1"/>
  <c r="P24" i="2" s="1"/>
  <c r="G85" i="1"/>
  <c r="N25" i="2" s="1"/>
  <c r="H85" i="1"/>
  <c r="P25" i="2" s="1"/>
  <c r="G86" i="1"/>
  <c r="N26" i="2" s="1"/>
  <c r="H86" i="1"/>
  <c r="P26" i="2" s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H62" i="1"/>
  <c r="P2" i="2" s="1"/>
  <c r="G62" i="1"/>
  <c r="N2" i="2" s="1"/>
  <c r="E63" i="1"/>
  <c r="J3" i="2" s="1"/>
  <c r="E64" i="1"/>
  <c r="J4" i="2" s="1"/>
  <c r="E65" i="1"/>
  <c r="J5" i="2" s="1"/>
  <c r="E66" i="1"/>
  <c r="J6" i="2" s="1"/>
  <c r="E67" i="1"/>
  <c r="J7" i="2" s="1"/>
  <c r="E68" i="1"/>
  <c r="J8" i="2" s="1"/>
  <c r="E69" i="1"/>
  <c r="J9" i="2" s="1"/>
  <c r="E70" i="1"/>
  <c r="J10" i="2" s="1"/>
  <c r="E71" i="1"/>
  <c r="J11" i="2" s="1"/>
  <c r="E72" i="1"/>
  <c r="J12" i="2" s="1"/>
  <c r="E73" i="1"/>
  <c r="J13" i="2" s="1"/>
  <c r="E74" i="1"/>
  <c r="J14" i="2" s="1"/>
  <c r="E75" i="1"/>
  <c r="J15" i="2" s="1"/>
  <c r="E76" i="1"/>
  <c r="J16" i="2" s="1"/>
  <c r="E77" i="1"/>
  <c r="J17" i="2" s="1"/>
  <c r="E78" i="1"/>
  <c r="J18" i="2" s="1"/>
  <c r="E79" i="1"/>
  <c r="J19" i="2" s="1"/>
  <c r="E80" i="1"/>
  <c r="J20" i="2" s="1"/>
  <c r="E81" i="1"/>
  <c r="J21" i="2" s="1"/>
  <c r="E82" i="1"/>
  <c r="J22" i="2" s="1"/>
  <c r="E83" i="1"/>
  <c r="J23" i="2" s="1"/>
  <c r="E84" i="1"/>
  <c r="J24" i="2" s="1"/>
  <c r="E85" i="1"/>
  <c r="J25" i="2" s="1"/>
  <c r="E86" i="1"/>
  <c r="J26" i="2" s="1"/>
  <c r="E87" i="1"/>
  <c r="J127" i="2" s="1"/>
  <c r="E88" i="1"/>
  <c r="J128" i="2" s="1"/>
  <c r="E89" i="1"/>
  <c r="J129" i="2" s="1"/>
  <c r="E90" i="1"/>
  <c r="J130" i="2" s="1"/>
  <c r="E91" i="1"/>
  <c r="J131" i="2" s="1"/>
  <c r="E92" i="1"/>
  <c r="J132" i="2" s="1"/>
  <c r="E93" i="1"/>
  <c r="J133" i="2" s="1"/>
  <c r="E94" i="1"/>
  <c r="J134" i="2" s="1"/>
  <c r="E95" i="1"/>
  <c r="J135" i="2" s="1"/>
  <c r="E96" i="1"/>
  <c r="J136" i="2" s="1"/>
  <c r="E97" i="1"/>
  <c r="J137" i="2" s="1"/>
  <c r="E98" i="1"/>
  <c r="J138" i="2" s="1"/>
  <c r="E99" i="1"/>
  <c r="J139" i="2" s="1"/>
  <c r="E100" i="1"/>
  <c r="J140" i="2" s="1"/>
  <c r="E101" i="1"/>
  <c r="J141" i="2" s="1"/>
  <c r="E102" i="1"/>
  <c r="J142" i="2" s="1"/>
  <c r="E103" i="1"/>
  <c r="J143" i="2" s="1"/>
  <c r="E104" i="1"/>
  <c r="J144" i="2" s="1"/>
  <c r="E105" i="1"/>
  <c r="J145" i="2" s="1"/>
  <c r="E106" i="1"/>
  <c r="J146" i="2" s="1"/>
  <c r="E107" i="1"/>
  <c r="J147" i="2" s="1"/>
  <c r="E108" i="1"/>
  <c r="J148" i="2" s="1"/>
  <c r="E109" i="1"/>
  <c r="J149" i="2" s="1"/>
  <c r="E110" i="1"/>
  <c r="J150" i="2" s="1"/>
  <c r="E111" i="1"/>
  <c r="J151" i="2" s="1"/>
  <c r="E62" i="1"/>
  <c r="J2" i="2" s="1"/>
  <c r="N30" i="1"/>
  <c r="N29" i="1"/>
  <c r="N28" i="1"/>
  <c r="N27" i="1"/>
  <c r="I22" i="1"/>
  <c r="L22" i="1" s="1"/>
  <c r="F22" i="1"/>
  <c r="I21" i="1"/>
  <c r="L21" i="1" s="1"/>
  <c r="F21" i="1"/>
  <c r="I20" i="1"/>
  <c r="L20" i="1" s="1"/>
  <c r="F20" i="1"/>
  <c r="H4" i="1"/>
  <c r="H3" i="1"/>
  <c r="G3" i="1"/>
  <c r="O302" i="2" s="1"/>
  <c r="Q303" i="2" l="1"/>
  <c r="Q307" i="2"/>
  <c r="Q311" i="2"/>
  <c r="Q306" i="2"/>
  <c r="Q310" i="2"/>
  <c r="Q305" i="2"/>
  <c r="Q309" i="2"/>
  <c r="Q304" i="2"/>
  <c r="Q308" i="2"/>
  <c r="Q302" i="2"/>
  <c r="T302" i="2" s="1"/>
  <c r="O305" i="2"/>
  <c r="O307" i="2"/>
  <c r="T307" i="2" s="1"/>
  <c r="O309" i="2"/>
  <c r="T309" i="2" s="1"/>
  <c r="O311" i="2"/>
  <c r="O304" i="2"/>
  <c r="O306" i="2"/>
  <c r="T306" i="2" s="1"/>
  <c r="O308" i="2"/>
  <c r="T308" i="2" s="1"/>
  <c r="O310" i="2"/>
  <c r="O303" i="2"/>
  <c r="T303" i="2" s="1"/>
  <c r="Q257" i="2"/>
  <c r="Q267" i="2"/>
  <c r="Q250" i="2"/>
  <c r="Q265" i="2"/>
  <c r="Q273" i="2"/>
  <c r="Q263" i="2"/>
  <c r="Q271" i="2"/>
  <c r="Q269" i="2"/>
  <c r="Q200" i="2"/>
  <c r="Q246" i="2"/>
  <c r="Q244" i="2"/>
  <c r="Q217" i="2"/>
  <c r="Q188" i="2"/>
  <c r="Q232" i="2"/>
  <c r="Q252" i="2"/>
  <c r="Q256" i="2"/>
  <c r="Q261" i="2"/>
  <c r="Q268" i="2"/>
  <c r="Q275" i="2"/>
  <c r="Q279" i="2"/>
  <c r="Q283" i="2"/>
  <c r="Q287" i="2"/>
  <c r="Q291" i="2"/>
  <c r="Q295" i="2"/>
  <c r="Q299" i="2"/>
  <c r="Q201" i="2"/>
  <c r="Q222" i="2"/>
  <c r="Q195" i="2"/>
  <c r="Q191" i="2"/>
  <c r="Q239" i="2"/>
  <c r="Q212" i="2"/>
  <c r="Q183" i="2"/>
  <c r="Q231" i="2"/>
  <c r="Q204" i="2"/>
  <c r="Q186" i="2"/>
  <c r="Q234" i="2"/>
  <c r="Q205" i="2"/>
  <c r="Q248" i="2"/>
  <c r="Q221" i="2"/>
  <c r="Q219" i="2"/>
  <c r="Q190" i="2"/>
  <c r="Q238" i="2"/>
  <c r="Q207" i="2"/>
  <c r="Q253" i="2"/>
  <c r="Q258" i="2"/>
  <c r="Q262" i="2"/>
  <c r="Q270" i="2"/>
  <c r="Q276" i="2"/>
  <c r="Q280" i="2"/>
  <c r="Q284" i="2"/>
  <c r="Q288" i="2"/>
  <c r="Q292" i="2"/>
  <c r="Q296" i="2"/>
  <c r="Q300" i="2"/>
  <c r="Q224" i="2"/>
  <c r="Q197" i="2"/>
  <c r="Q193" i="2"/>
  <c r="Q241" i="2"/>
  <c r="Q214" i="2"/>
  <c r="Q185" i="2"/>
  <c r="Q233" i="2"/>
  <c r="Q206" i="2"/>
  <c r="Q177" i="2"/>
  <c r="Q236" i="2"/>
  <c r="Q209" i="2"/>
  <c r="Q178" i="2"/>
  <c r="Q223" i="2"/>
  <c r="Q196" i="2"/>
  <c r="Q192" i="2"/>
  <c r="Q240" i="2"/>
  <c r="Q213" i="2"/>
  <c r="Q249" i="2"/>
  <c r="Q254" i="2"/>
  <c r="Q259" i="2"/>
  <c r="Q264" i="2"/>
  <c r="Q272" i="2"/>
  <c r="Q277" i="2"/>
  <c r="Q281" i="2"/>
  <c r="Q285" i="2"/>
  <c r="Q289" i="2"/>
  <c r="Q293" i="2"/>
  <c r="Q297" i="2"/>
  <c r="Q301" i="2"/>
  <c r="Q199" i="2"/>
  <c r="Q245" i="2"/>
  <c r="Q243" i="2"/>
  <c r="Q216" i="2"/>
  <c r="Q187" i="2"/>
  <c r="Q235" i="2"/>
  <c r="Q208" i="2"/>
  <c r="Q179" i="2"/>
  <c r="Q227" i="2"/>
  <c r="Q211" i="2"/>
  <c r="Q180" i="2"/>
  <c r="Q228" i="2"/>
  <c r="Q225" i="2"/>
  <c r="Q198" i="2"/>
  <c r="Q194" i="2"/>
  <c r="Q242" i="2"/>
  <c r="Q215" i="2"/>
  <c r="Q182" i="2"/>
  <c r="Q251" i="2"/>
  <c r="Q255" i="2"/>
  <c r="Q260" i="2"/>
  <c r="Q266" i="2"/>
  <c r="Q274" i="2"/>
  <c r="Q278" i="2"/>
  <c r="Q282" i="2"/>
  <c r="Q286" i="2"/>
  <c r="Q290" i="2"/>
  <c r="Q294" i="2"/>
  <c r="Q298" i="2"/>
  <c r="Q226" i="2"/>
  <c r="Q247" i="2"/>
  <c r="Q220" i="2"/>
  <c r="Q218" i="2"/>
  <c r="Q189" i="2"/>
  <c r="Q237" i="2"/>
  <c r="Q210" i="2"/>
  <c r="Q181" i="2"/>
  <c r="Q229" i="2"/>
  <c r="Q202" i="2"/>
  <c r="Q184" i="2"/>
  <c r="Q230" i="2"/>
  <c r="Q203" i="2"/>
  <c r="Q156" i="2"/>
  <c r="Q160" i="2"/>
  <c r="Q164" i="2"/>
  <c r="Q168" i="2"/>
  <c r="Q172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58" i="2"/>
  <c r="Q162" i="2"/>
  <c r="Q166" i="2"/>
  <c r="Q170" i="2"/>
  <c r="Q174" i="2"/>
  <c r="Q152" i="2"/>
  <c r="Q154" i="2"/>
  <c r="Q176" i="2"/>
  <c r="O153" i="2"/>
  <c r="T153" i="2" s="1"/>
  <c r="O155" i="2"/>
  <c r="T155" i="2" s="1"/>
  <c r="O152" i="2"/>
  <c r="O159" i="2"/>
  <c r="T159" i="2" s="1"/>
  <c r="O163" i="2"/>
  <c r="O167" i="2"/>
  <c r="T167" i="2" s="1"/>
  <c r="O171" i="2"/>
  <c r="O175" i="2"/>
  <c r="T175" i="2" s="1"/>
  <c r="O154" i="2"/>
  <c r="T154" i="2" s="1"/>
  <c r="O156" i="2"/>
  <c r="T156" i="2" s="1"/>
  <c r="O158" i="2"/>
  <c r="T158" i="2" s="1"/>
  <c r="O160" i="2"/>
  <c r="O162" i="2"/>
  <c r="O164" i="2"/>
  <c r="T164" i="2" s="1"/>
  <c r="O166" i="2"/>
  <c r="T166" i="2" s="1"/>
  <c r="O168" i="2"/>
  <c r="O170" i="2"/>
  <c r="O172" i="2"/>
  <c r="T172" i="2" s="1"/>
  <c r="O174" i="2"/>
  <c r="T174" i="2" s="1"/>
  <c r="O176" i="2"/>
  <c r="T176" i="2" s="1"/>
  <c r="O157" i="2"/>
  <c r="T157" i="2" s="1"/>
  <c r="O161" i="2"/>
  <c r="O165" i="2"/>
  <c r="T165" i="2" s="1"/>
  <c r="O169" i="2"/>
  <c r="O173" i="2"/>
  <c r="T173" i="2" s="1"/>
  <c r="O200" i="2"/>
  <c r="O196" i="2"/>
  <c r="O192" i="2"/>
  <c r="O188" i="2"/>
  <c r="T188" i="2" s="1"/>
  <c r="O184" i="2"/>
  <c r="O180" i="2"/>
  <c r="O198" i="2"/>
  <c r="O194" i="2"/>
  <c r="O190" i="2"/>
  <c r="O186" i="2"/>
  <c r="T186" i="2" s="1"/>
  <c r="O182" i="2"/>
  <c r="O178" i="2"/>
  <c r="O199" i="2"/>
  <c r="T199" i="2" s="1"/>
  <c r="O201" i="2"/>
  <c r="O195" i="2"/>
  <c r="T195" i="2" s="1"/>
  <c r="O191" i="2"/>
  <c r="T191" i="2" s="1"/>
  <c r="O187" i="2"/>
  <c r="T187" i="2" s="1"/>
  <c r="O183" i="2"/>
  <c r="O179" i="2"/>
  <c r="O197" i="2"/>
  <c r="O193" i="2"/>
  <c r="O189" i="2"/>
  <c r="T189" i="2" s="1"/>
  <c r="O185" i="2"/>
  <c r="T185" i="2" s="1"/>
  <c r="O181" i="2"/>
  <c r="O177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79" i="2"/>
  <c r="AA181" i="2"/>
  <c r="AA183" i="2"/>
  <c r="AA216" i="2"/>
  <c r="AA218" i="2"/>
  <c r="AA230" i="2"/>
  <c r="AA232" i="2"/>
  <c r="AA234" i="2"/>
  <c r="AA236" i="2"/>
  <c r="AA262" i="2"/>
  <c r="AA264" i="2"/>
  <c r="AA266" i="2"/>
  <c r="AA268" i="2"/>
  <c r="AA178" i="2"/>
  <c r="AA180" i="2"/>
  <c r="AA182" i="2"/>
  <c r="AA184" i="2"/>
  <c r="AA217" i="2"/>
  <c r="AA219" i="2"/>
  <c r="AA231" i="2"/>
  <c r="AA233" i="2"/>
  <c r="AA235" i="2"/>
  <c r="AA263" i="2"/>
  <c r="AA265" i="2"/>
  <c r="AA267" i="2"/>
  <c r="AA152" i="2"/>
  <c r="AA296" i="2"/>
  <c r="AA290" i="2"/>
  <c r="AA301" i="2"/>
  <c r="AA299" i="2"/>
  <c r="AA297" i="2"/>
  <c r="AA295" i="2"/>
  <c r="AA293" i="2"/>
  <c r="AA291" i="2"/>
  <c r="AA289" i="2"/>
  <c r="AA287" i="2"/>
  <c r="AA285" i="2"/>
  <c r="AA283" i="2"/>
  <c r="AA281" i="2"/>
  <c r="AA279" i="2"/>
  <c r="AA277" i="2"/>
  <c r="AA275" i="2"/>
  <c r="AA273" i="2"/>
  <c r="AA271" i="2"/>
  <c r="AA269" i="2"/>
  <c r="AA220" i="2"/>
  <c r="AA214" i="2"/>
  <c r="AA212" i="2"/>
  <c r="AA210" i="2"/>
  <c r="AA208" i="2"/>
  <c r="AA206" i="2"/>
  <c r="AA204" i="2"/>
  <c r="AA202" i="2"/>
  <c r="AA298" i="2"/>
  <c r="AA292" i="2"/>
  <c r="AA288" i="2"/>
  <c r="AA260" i="2"/>
  <c r="AA258" i="2"/>
  <c r="AA256" i="2"/>
  <c r="AA254" i="2"/>
  <c r="AA252" i="2"/>
  <c r="AA250" i="2"/>
  <c r="AA248" i="2"/>
  <c r="AA246" i="2"/>
  <c r="AA244" i="2"/>
  <c r="AA242" i="2"/>
  <c r="AA240" i="2"/>
  <c r="AA238" i="2"/>
  <c r="AA229" i="2"/>
  <c r="AA227" i="2"/>
  <c r="AA225" i="2"/>
  <c r="AA200" i="2"/>
  <c r="AA198" i="2"/>
  <c r="AA196" i="2"/>
  <c r="AA194" i="2"/>
  <c r="AA192" i="2"/>
  <c r="AA190" i="2"/>
  <c r="AA188" i="2"/>
  <c r="AA186" i="2"/>
  <c r="AA177" i="2"/>
  <c r="AA175" i="2"/>
  <c r="AA173" i="2"/>
  <c r="AA171" i="2"/>
  <c r="AA169" i="2"/>
  <c r="AA167" i="2"/>
  <c r="AA165" i="2"/>
  <c r="AA166" i="2"/>
  <c r="AA300" i="2"/>
  <c r="AA261" i="2"/>
  <c r="AA259" i="2"/>
  <c r="AA257" i="2"/>
  <c r="AA255" i="2"/>
  <c r="AA253" i="2"/>
  <c r="AA251" i="2"/>
  <c r="AA249" i="2"/>
  <c r="AA247" i="2"/>
  <c r="AA245" i="2"/>
  <c r="AA243" i="2"/>
  <c r="AA241" i="2"/>
  <c r="AA239" i="2"/>
  <c r="AA223" i="2"/>
  <c r="AA221" i="2"/>
  <c r="AA215" i="2"/>
  <c r="AA213" i="2"/>
  <c r="AA211" i="2"/>
  <c r="AA209" i="2"/>
  <c r="AA207" i="2"/>
  <c r="AA205" i="2"/>
  <c r="AA203" i="2"/>
  <c r="AA195" i="2"/>
  <c r="AA193" i="2"/>
  <c r="AA191" i="2"/>
  <c r="AA189" i="2"/>
  <c r="AA185" i="2"/>
  <c r="AA176" i="2"/>
  <c r="AA174" i="2"/>
  <c r="AA172" i="2"/>
  <c r="AA170" i="2"/>
  <c r="AA168" i="2"/>
  <c r="AA294" i="2"/>
  <c r="AA286" i="2"/>
  <c r="AA284" i="2"/>
  <c r="AA282" i="2"/>
  <c r="AA280" i="2"/>
  <c r="AA278" i="2"/>
  <c r="AA276" i="2"/>
  <c r="AA274" i="2"/>
  <c r="AA272" i="2"/>
  <c r="AA270" i="2"/>
  <c r="AA237" i="2"/>
  <c r="AA228" i="2"/>
  <c r="AA226" i="2"/>
  <c r="AA224" i="2"/>
  <c r="AA222" i="2"/>
  <c r="AA201" i="2"/>
  <c r="AA199" i="2"/>
  <c r="AA197" i="2"/>
  <c r="AA187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79" i="2"/>
  <c r="Y181" i="2"/>
  <c r="Y183" i="2"/>
  <c r="Y216" i="2"/>
  <c r="Y218" i="2"/>
  <c r="Y220" i="2"/>
  <c r="Y230" i="2"/>
  <c r="Y232" i="2"/>
  <c r="Y234" i="2"/>
  <c r="Y236" i="2"/>
  <c r="Y262" i="2"/>
  <c r="Y264" i="2"/>
  <c r="Y266" i="2"/>
  <c r="Y268" i="2"/>
  <c r="Y178" i="2"/>
  <c r="Y180" i="2"/>
  <c r="Y182" i="2"/>
  <c r="Y184" i="2"/>
  <c r="Y217" i="2"/>
  <c r="Y219" i="2"/>
  <c r="Y231" i="2"/>
  <c r="Y233" i="2"/>
  <c r="Y235" i="2"/>
  <c r="Y237" i="2"/>
  <c r="Y263" i="2"/>
  <c r="Y265" i="2"/>
  <c r="Y267" i="2"/>
  <c r="Y152" i="2"/>
  <c r="Y301" i="2"/>
  <c r="Y299" i="2"/>
  <c r="Y293" i="2"/>
  <c r="Y260" i="2"/>
  <c r="Y258" i="2"/>
  <c r="Y256" i="2"/>
  <c r="Y254" i="2"/>
  <c r="Y252" i="2"/>
  <c r="Y250" i="2"/>
  <c r="Y248" i="2"/>
  <c r="Y246" i="2"/>
  <c r="Y244" i="2"/>
  <c r="Y242" i="2"/>
  <c r="Y240" i="2"/>
  <c r="Y238" i="2"/>
  <c r="Y228" i="2"/>
  <c r="Y226" i="2"/>
  <c r="Y224" i="2"/>
  <c r="Y222" i="2"/>
  <c r="Y200" i="2"/>
  <c r="Y198" i="2"/>
  <c r="Y196" i="2"/>
  <c r="Y194" i="2"/>
  <c r="Y192" i="2"/>
  <c r="Y190" i="2"/>
  <c r="Y188" i="2"/>
  <c r="Y186" i="2"/>
  <c r="Y177" i="2"/>
  <c r="Y175" i="2"/>
  <c r="Y173" i="2"/>
  <c r="Y171" i="2"/>
  <c r="Y169" i="2"/>
  <c r="Y285" i="2"/>
  <c r="Y283" i="2"/>
  <c r="Y281" i="2"/>
  <c r="Y279" i="2"/>
  <c r="Y277" i="2"/>
  <c r="Y275" i="2"/>
  <c r="Y273" i="2"/>
  <c r="Y271" i="2"/>
  <c r="Y269" i="2"/>
  <c r="Y223" i="2"/>
  <c r="Y221" i="2"/>
  <c r="Y214" i="2"/>
  <c r="Y212" i="2"/>
  <c r="Y210" i="2"/>
  <c r="Y208" i="2"/>
  <c r="Y206" i="2"/>
  <c r="Y204" i="2"/>
  <c r="Y202" i="2"/>
  <c r="Y297" i="2"/>
  <c r="Y295" i="2"/>
  <c r="Y291" i="2"/>
  <c r="Y287" i="2"/>
  <c r="Y300" i="2"/>
  <c r="Y298" i="2"/>
  <c r="Y296" i="2"/>
  <c r="Y294" i="2"/>
  <c r="Y292" i="2"/>
  <c r="Y290" i="2"/>
  <c r="Y288" i="2"/>
  <c r="Y286" i="2"/>
  <c r="Y284" i="2"/>
  <c r="Y282" i="2"/>
  <c r="Y280" i="2"/>
  <c r="Y278" i="2"/>
  <c r="Y276" i="2"/>
  <c r="Y274" i="2"/>
  <c r="Y272" i="2"/>
  <c r="Y270" i="2"/>
  <c r="Y229" i="2"/>
  <c r="Y227" i="2"/>
  <c r="Y225" i="2"/>
  <c r="Y201" i="2"/>
  <c r="Y199" i="2"/>
  <c r="Y197" i="2"/>
  <c r="Y187" i="2"/>
  <c r="Y289" i="2"/>
  <c r="Y261" i="2"/>
  <c r="Y259" i="2"/>
  <c r="Y257" i="2"/>
  <c r="Y255" i="2"/>
  <c r="Y253" i="2"/>
  <c r="Y251" i="2"/>
  <c r="Y249" i="2"/>
  <c r="Y247" i="2"/>
  <c r="Y245" i="2"/>
  <c r="Y243" i="2"/>
  <c r="Y241" i="2"/>
  <c r="Y239" i="2"/>
  <c r="Y215" i="2"/>
  <c r="Y213" i="2"/>
  <c r="Y211" i="2"/>
  <c r="Y209" i="2"/>
  <c r="Y207" i="2"/>
  <c r="Y205" i="2"/>
  <c r="Y203" i="2"/>
  <c r="Y195" i="2"/>
  <c r="Y193" i="2"/>
  <c r="Y191" i="2"/>
  <c r="Y189" i="2"/>
  <c r="Y185" i="2"/>
  <c r="Y176" i="2"/>
  <c r="Y174" i="2"/>
  <c r="Y172" i="2"/>
  <c r="Y170" i="2"/>
  <c r="Y168" i="2"/>
  <c r="Y166" i="2"/>
  <c r="Y167" i="2"/>
  <c r="Y165" i="2"/>
  <c r="Y46" i="2"/>
  <c r="Y50" i="2"/>
  <c r="Y40" i="2"/>
  <c r="Y51" i="2"/>
  <c r="Y47" i="2"/>
  <c r="Y43" i="2"/>
  <c r="Y39" i="2"/>
  <c r="Y35" i="2"/>
  <c r="Y31" i="2"/>
  <c r="Y27" i="2"/>
  <c r="Y23" i="2"/>
  <c r="Y19" i="2"/>
  <c r="Y15" i="2"/>
  <c r="Y11" i="2"/>
  <c r="Y7" i="2"/>
  <c r="Y3" i="2"/>
  <c r="Y149" i="2"/>
  <c r="Y145" i="2"/>
  <c r="Y141" i="2"/>
  <c r="Y137" i="2"/>
  <c r="Y133" i="2"/>
  <c r="Y129" i="2"/>
  <c r="Y125" i="2"/>
  <c r="Y121" i="2"/>
  <c r="Y117" i="2"/>
  <c r="Y113" i="2"/>
  <c r="Y109" i="2"/>
  <c r="Y105" i="2"/>
  <c r="Y101" i="2"/>
  <c r="Y97" i="2"/>
  <c r="Y93" i="2"/>
  <c r="Y89" i="2"/>
  <c r="Y85" i="2"/>
  <c r="Y81" i="2"/>
  <c r="Y77" i="2"/>
  <c r="Y73" i="2"/>
  <c r="Y69" i="2"/>
  <c r="Y65" i="2"/>
  <c r="Y61" i="2"/>
  <c r="Y57" i="2"/>
  <c r="Y53" i="2"/>
  <c r="Y36" i="2"/>
  <c r="Y32" i="2"/>
  <c r="Y28" i="2"/>
  <c r="Y24" i="2"/>
  <c r="Y20" i="2"/>
  <c r="Y16" i="2"/>
  <c r="Y12" i="2"/>
  <c r="Y8" i="2"/>
  <c r="Y4" i="2"/>
  <c r="Y150" i="2"/>
  <c r="Y146" i="2"/>
  <c r="Y142" i="2"/>
  <c r="Y138" i="2"/>
  <c r="Y134" i="2"/>
  <c r="Y130" i="2"/>
  <c r="Y126" i="2"/>
  <c r="Y122" i="2"/>
  <c r="Y118" i="2"/>
  <c r="Y114" i="2"/>
  <c r="Y110" i="2"/>
  <c r="Y106" i="2"/>
  <c r="Y102" i="2"/>
  <c r="Y98" i="2"/>
  <c r="Y94" i="2"/>
  <c r="Y90" i="2"/>
  <c r="Y86" i="2"/>
  <c r="Y82" i="2"/>
  <c r="Y78" i="2"/>
  <c r="Y74" i="2"/>
  <c r="Y70" i="2"/>
  <c r="Y66" i="2"/>
  <c r="Y62" i="2"/>
  <c r="Y58" i="2"/>
  <c r="Y54" i="2"/>
  <c r="Y48" i="2"/>
  <c r="Y42" i="2"/>
  <c r="Y44" i="2"/>
  <c r="Y2" i="2"/>
  <c r="Y49" i="2"/>
  <c r="Y45" i="2"/>
  <c r="Y41" i="2"/>
  <c r="Y37" i="2"/>
  <c r="Y33" i="2"/>
  <c r="Y29" i="2"/>
  <c r="Y25" i="2"/>
  <c r="Y21" i="2"/>
  <c r="Y17" i="2"/>
  <c r="Y13" i="2"/>
  <c r="Y9" i="2"/>
  <c r="Y5" i="2"/>
  <c r="Y151" i="2"/>
  <c r="Y147" i="2"/>
  <c r="Y143" i="2"/>
  <c r="Y139" i="2"/>
  <c r="Y135" i="2"/>
  <c r="Y131" i="2"/>
  <c r="Y127" i="2"/>
  <c r="Y123" i="2"/>
  <c r="Y119" i="2"/>
  <c r="Y115" i="2"/>
  <c r="Y111" i="2"/>
  <c r="Y107" i="2"/>
  <c r="Y103" i="2"/>
  <c r="Y99" i="2"/>
  <c r="Y95" i="2"/>
  <c r="Y91" i="2"/>
  <c r="Y87" i="2"/>
  <c r="Y83" i="2"/>
  <c r="Y79" i="2"/>
  <c r="Y75" i="2"/>
  <c r="Y71" i="2"/>
  <c r="Y67" i="2"/>
  <c r="Y63" i="2"/>
  <c r="Y59" i="2"/>
  <c r="Y55" i="2"/>
  <c r="Y38" i="2"/>
  <c r="Y34" i="2"/>
  <c r="Y30" i="2"/>
  <c r="Y26" i="2"/>
  <c r="Y22" i="2"/>
  <c r="Y18" i="2"/>
  <c r="Y14" i="2"/>
  <c r="Y10" i="2"/>
  <c r="Y6" i="2"/>
  <c r="Y52" i="2"/>
  <c r="Y148" i="2"/>
  <c r="Y144" i="2"/>
  <c r="Y140" i="2"/>
  <c r="Y136" i="2"/>
  <c r="Y132" i="2"/>
  <c r="Y128" i="2"/>
  <c r="Y124" i="2"/>
  <c r="Y120" i="2"/>
  <c r="Y116" i="2"/>
  <c r="Y112" i="2"/>
  <c r="Y108" i="2"/>
  <c r="Y104" i="2"/>
  <c r="Y100" i="2"/>
  <c r="Y96" i="2"/>
  <c r="Y92" i="2"/>
  <c r="Y88" i="2"/>
  <c r="Y84" i="2"/>
  <c r="Y80" i="2"/>
  <c r="Y76" i="2"/>
  <c r="Y72" i="2"/>
  <c r="Y68" i="2"/>
  <c r="Y64" i="2"/>
  <c r="Y60" i="2"/>
  <c r="Y56" i="2"/>
  <c r="Q2" i="2"/>
  <c r="N101" i="2"/>
  <c r="N151" i="2"/>
  <c r="N51" i="2"/>
  <c r="O51" i="2" s="1"/>
  <c r="N76" i="2"/>
  <c r="N126" i="2"/>
  <c r="N75" i="2"/>
  <c r="N125" i="2"/>
  <c r="N100" i="2"/>
  <c r="N150" i="2"/>
  <c r="N50" i="2"/>
  <c r="O50" i="2" s="1"/>
  <c r="N99" i="2"/>
  <c r="N149" i="2"/>
  <c r="N49" i="2"/>
  <c r="O49" i="2" s="1"/>
  <c r="N74" i="2"/>
  <c r="N124" i="2"/>
  <c r="N73" i="2"/>
  <c r="N123" i="2"/>
  <c r="N98" i="2"/>
  <c r="N148" i="2"/>
  <c r="N48" i="2"/>
  <c r="O48" i="2" s="1"/>
  <c r="N97" i="2"/>
  <c r="N147" i="2"/>
  <c r="N47" i="2"/>
  <c r="O47" i="2" s="1"/>
  <c r="N72" i="2"/>
  <c r="N122" i="2"/>
  <c r="N71" i="2"/>
  <c r="N121" i="2"/>
  <c r="N96" i="2"/>
  <c r="N146" i="2"/>
  <c r="N46" i="2"/>
  <c r="O46" i="2" s="1"/>
  <c r="N95" i="2"/>
  <c r="N145" i="2"/>
  <c r="N45" i="2"/>
  <c r="O45" i="2" s="1"/>
  <c r="N70" i="2"/>
  <c r="N120" i="2"/>
  <c r="N69" i="2"/>
  <c r="N119" i="2"/>
  <c r="N94" i="2"/>
  <c r="N144" i="2"/>
  <c r="N44" i="2"/>
  <c r="O44" i="2" s="1"/>
  <c r="N93" i="2"/>
  <c r="N143" i="2"/>
  <c r="N43" i="2"/>
  <c r="O43" i="2" s="1"/>
  <c r="N68" i="2"/>
  <c r="N118" i="2"/>
  <c r="N67" i="2"/>
  <c r="N117" i="2"/>
  <c r="N92" i="2"/>
  <c r="N142" i="2"/>
  <c r="N42" i="2"/>
  <c r="O42" i="2" s="1"/>
  <c r="N91" i="2"/>
  <c r="N141" i="2"/>
  <c r="N41" i="2"/>
  <c r="O41" i="2" s="1"/>
  <c r="N66" i="2"/>
  <c r="N116" i="2"/>
  <c r="N65" i="2"/>
  <c r="N115" i="2"/>
  <c r="N90" i="2"/>
  <c r="N140" i="2"/>
  <c r="N40" i="2"/>
  <c r="O40" i="2" s="1"/>
  <c r="N89" i="2"/>
  <c r="N139" i="2"/>
  <c r="N39" i="2"/>
  <c r="O39" i="2" s="1"/>
  <c r="N64" i="2"/>
  <c r="N114" i="2"/>
  <c r="N63" i="2"/>
  <c r="N113" i="2"/>
  <c r="N88" i="2"/>
  <c r="N138" i="2"/>
  <c r="N38" i="2"/>
  <c r="O38" i="2" s="1"/>
  <c r="N87" i="2"/>
  <c r="N137" i="2"/>
  <c r="N37" i="2"/>
  <c r="O37" i="2" s="1"/>
  <c r="N62" i="2"/>
  <c r="N112" i="2"/>
  <c r="N61" i="2"/>
  <c r="N111" i="2"/>
  <c r="N86" i="2"/>
  <c r="N136" i="2"/>
  <c r="N36" i="2"/>
  <c r="O36" i="2" s="1"/>
  <c r="N85" i="2"/>
  <c r="N135" i="2"/>
  <c r="N35" i="2"/>
  <c r="O35" i="2" s="1"/>
  <c r="N60" i="2"/>
  <c r="N110" i="2"/>
  <c r="N59" i="2"/>
  <c r="N109" i="2"/>
  <c r="N84" i="2"/>
  <c r="N134" i="2"/>
  <c r="N34" i="2"/>
  <c r="O34" i="2" s="1"/>
  <c r="N83" i="2"/>
  <c r="N133" i="2"/>
  <c r="N33" i="2"/>
  <c r="O33" i="2" s="1"/>
  <c r="N58" i="2"/>
  <c r="N108" i="2"/>
  <c r="N57" i="2"/>
  <c r="N107" i="2"/>
  <c r="N82" i="2"/>
  <c r="N132" i="2"/>
  <c r="N32" i="2"/>
  <c r="O32" i="2" s="1"/>
  <c r="N81" i="2"/>
  <c r="N131" i="2"/>
  <c r="N31" i="2"/>
  <c r="O31" i="2" s="1"/>
  <c r="N56" i="2"/>
  <c r="N106" i="2"/>
  <c r="N55" i="2"/>
  <c r="N105" i="2"/>
  <c r="N80" i="2"/>
  <c r="N130" i="2"/>
  <c r="N30" i="2"/>
  <c r="O30" i="2" s="1"/>
  <c r="N79" i="2"/>
  <c r="N129" i="2"/>
  <c r="N29" i="2"/>
  <c r="O29" i="2" s="1"/>
  <c r="N54" i="2"/>
  <c r="N104" i="2"/>
  <c r="N53" i="2"/>
  <c r="N103" i="2"/>
  <c r="N78" i="2"/>
  <c r="N128" i="2"/>
  <c r="N28" i="2"/>
  <c r="O28" i="2" s="1"/>
  <c r="N77" i="2"/>
  <c r="N127" i="2"/>
  <c r="N27" i="2"/>
  <c r="O27" i="2" s="1"/>
  <c r="N102" i="2"/>
  <c r="N52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AA2" i="2"/>
  <c r="AA48" i="2"/>
  <c r="AA44" i="2"/>
  <c r="AB44" i="2" s="1"/>
  <c r="AA40" i="2"/>
  <c r="AB40" i="2" s="1"/>
  <c r="AA36" i="2"/>
  <c r="AB36" i="2" s="1"/>
  <c r="AA32" i="2"/>
  <c r="AB32" i="2" s="1"/>
  <c r="AA28" i="2"/>
  <c r="AB28" i="2" s="1"/>
  <c r="AA24" i="2"/>
  <c r="AB24" i="2" s="1"/>
  <c r="AA20" i="2"/>
  <c r="AB20" i="2" s="1"/>
  <c r="AA16" i="2"/>
  <c r="AB16" i="2" s="1"/>
  <c r="AA12" i="2"/>
  <c r="AB12" i="2" s="1"/>
  <c r="AA8" i="2"/>
  <c r="AB8" i="2" s="1"/>
  <c r="AA4" i="2"/>
  <c r="AB4" i="2" s="1"/>
  <c r="AA150" i="2"/>
  <c r="AB150" i="2" s="1"/>
  <c r="AA146" i="2"/>
  <c r="AB146" i="2" s="1"/>
  <c r="AA142" i="2"/>
  <c r="AB142" i="2" s="1"/>
  <c r="AA138" i="2"/>
  <c r="AB138" i="2" s="1"/>
  <c r="AA134" i="2"/>
  <c r="AB134" i="2" s="1"/>
  <c r="AA130" i="2"/>
  <c r="AB130" i="2" s="1"/>
  <c r="AA126" i="2"/>
  <c r="AB126" i="2" s="1"/>
  <c r="AA122" i="2"/>
  <c r="AB122" i="2" s="1"/>
  <c r="AA118" i="2"/>
  <c r="AB118" i="2" s="1"/>
  <c r="AA114" i="2"/>
  <c r="AB114" i="2" s="1"/>
  <c r="AA110" i="2"/>
  <c r="AB110" i="2" s="1"/>
  <c r="AA106" i="2"/>
  <c r="AB106" i="2" s="1"/>
  <c r="AA49" i="2"/>
  <c r="AA45" i="2"/>
  <c r="AA41" i="2"/>
  <c r="AA37" i="2"/>
  <c r="AA33" i="2"/>
  <c r="AA29" i="2"/>
  <c r="AA25" i="2"/>
  <c r="AA21" i="2"/>
  <c r="AA17" i="2"/>
  <c r="AA13" i="2"/>
  <c r="AA9" i="2"/>
  <c r="AA5" i="2"/>
  <c r="AA151" i="2"/>
  <c r="AA147" i="2"/>
  <c r="AA143" i="2"/>
  <c r="AA139" i="2"/>
  <c r="AA135" i="2"/>
  <c r="AA131" i="2"/>
  <c r="AA127" i="2"/>
  <c r="AA123" i="2"/>
  <c r="AA119" i="2"/>
  <c r="AA115" i="2"/>
  <c r="AA111" i="2"/>
  <c r="AA103" i="2"/>
  <c r="AB103" i="2" s="1"/>
  <c r="AA95" i="2"/>
  <c r="AA100" i="2"/>
  <c r="AA92" i="2"/>
  <c r="AB92" i="2" s="1"/>
  <c r="AA84" i="2"/>
  <c r="AA76" i="2"/>
  <c r="AB76" i="2" s="1"/>
  <c r="AA64" i="2"/>
  <c r="AB64" i="2" s="1"/>
  <c r="AA56" i="2"/>
  <c r="AA87" i="2"/>
  <c r="AB87" i="2" s="1"/>
  <c r="AA75" i="2"/>
  <c r="AB75" i="2" s="1"/>
  <c r="AA67" i="2"/>
  <c r="AA59" i="2"/>
  <c r="AB59" i="2" s="1"/>
  <c r="AA50" i="2"/>
  <c r="AB50" i="2" s="1"/>
  <c r="AA46" i="2"/>
  <c r="AB46" i="2" s="1"/>
  <c r="AA42" i="2"/>
  <c r="AA38" i="2"/>
  <c r="AB38" i="2" s="1"/>
  <c r="AA34" i="2"/>
  <c r="AB34" i="2" s="1"/>
  <c r="AA30" i="2"/>
  <c r="AB30" i="2" s="1"/>
  <c r="AA26" i="2"/>
  <c r="AB26" i="2" s="1"/>
  <c r="AA22" i="2"/>
  <c r="AB22" i="2" s="1"/>
  <c r="AA18" i="2"/>
  <c r="AB18" i="2" s="1"/>
  <c r="AA14" i="2"/>
  <c r="AB14" i="2" s="1"/>
  <c r="AA10" i="2"/>
  <c r="AB10" i="2" s="1"/>
  <c r="AA6" i="2"/>
  <c r="AB6" i="2" s="1"/>
  <c r="AA52" i="2"/>
  <c r="AB52" i="2" s="1"/>
  <c r="AA148" i="2"/>
  <c r="AB148" i="2" s="1"/>
  <c r="AA144" i="2"/>
  <c r="AB144" i="2" s="1"/>
  <c r="AA140" i="2"/>
  <c r="AB140" i="2" s="1"/>
  <c r="AA136" i="2"/>
  <c r="AB136" i="2" s="1"/>
  <c r="AA132" i="2"/>
  <c r="AB132" i="2" s="1"/>
  <c r="AA128" i="2"/>
  <c r="AB128" i="2" s="1"/>
  <c r="AA124" i="2"/>
  <c r="AB124" i="2" s="1"/>
  <c r="AA120" i="2"/>
  <c r="AB120" i="2" s="1"/>
  <c r="AA116" i="2"/>
  <c r="AB116" i="2" s="1"/>
  <c r="AA112" i="2"/>
  <c r="AB112" i="2" s="1"/>
  <c r="AA108" i="2"/>
  <c r="AB108" i="2" s="1"/>
  <c r="AA51" i="2"/>
  <c r="AB51" i="2" s="1"/>
  <c r="AA47" i="2"/>
  <c r="AB47" i="2" s="1"/>
  <c r="AA43" i="2"/>
  <c r="AB43" i="2" s="1"/>
  <c r="AA39" i="2"/>
  <c r="AB39" i="2" s="1"/>
  <c r="AA35" i="2"/>
  <c r="AB35" i="2" s="1"/>
  <c r="AA31" i="2"/>
  <c r="AB31" i="2" s="1"/>
  <c r="AA27" i="2"/>
  <c r="AB27" i="2" s="1"/>
  <c r="AA23" i="2"/>
  <c r="AB23" i="2" s="1"/>
  <c r="AA19" i="2"/>
  <c r="AB19" i="2" s="1"/>
  <c r="AA15" i="2"/>
  <c r="AB15" i="2" s="1"/>
  <c r="AA11" i="2"/>
  <c r="AB11" i="2" s="1"/>
  <c r="AA7" i="2"/>
  <c r="AB7" i="2" s="1"/>
  <c r="AA3" i="2"/>
  <c r="AB3" i="2" s="1"/>
  <c r="AA149" i="2"/>
  <c r="AB149" i="2" s="1"/>
  <c r="AA145" i="2"/>
  <c r="AB145" i="2" s="1"/>
  <c r="AA141" i="2"/>
  <c r="AB141" i="2" s="1"/>
  <c r="AA137" i="2"/>
  <c r="AB137" i="2" s="1"/>
  <c r="AA133" i="2"/>
  <c r="AB133" i="2" s="1"/>
  <c r="AA129" i="2"/>
  <c r="AB129" i="2" s="1"/>
  <c r="AA125" i="2"/>
  <c r="AB125" i="2" s="1"/>
  <c r="AA121" i="2"/>
  <c r="AB121" i="2" s="1"/>
  <c r="AA117" i="2"/>
  <c r="AB117" i="2" s="1"/>
  <c r="AA113" i="2"/>
  <c r="AB113" i="2" s="1"/>
  <c r="AA109" i="2"/>
  <c r="AB109" i="2" s="1"/>
  <c r="AA105" i="2"/>
  <c r="AB105" i="2" s="1"/>
  <c r="AA101" i="2"/>
  <c r="AB101" i="2" s="1"/>
  <c r="AA97" i="2"/>
  <c r="AB97" i="2" s="1"/>
  <c r="AA93" i="2"/>
  <c r="AB93" i="2" s="1"/>
  <c r="AA102" i="2"/>
  <c r="AA98" i="2"/>
  <c r="AA94" i="2"/>
  <c r="AA90" i="2"/>
  <c r="AA86" i="2"/>
  <c r="AA82" i="2"/>
  <c r="AA78" i="2"/>
  <c r="AA74" i="2"/>
  <c r="AA70" i="2"/>
  <c r="AA66" i="2"/>
  <c r="AA62" i="2"/>
  <c r="AA58" i="2"/>
  <c r="AA54" i="2"/>
  <c r="AA89" i="2"/>
  <c r="AA85" i="2"/>
  <c r="AA81" i="2"/>
  <c r="AA77" i="2"/>
  <c r="AA73" i="2"/>
  <c r="AA69" i="2"/>
  <c r="AA65" i="2"/>
  <c r="AA61" i="2"/>
  <c r="AA57" i="2"/>
  <c r="AA53" i="2"/>
  <c r="AA107" i="2"/>
  <c r="AB107" i="2" s="1"/>
  <c r="AA99" i="2"/>
  <c r="AA104" i="2"/>
  <c r="AA96" i="2"/>
  <c r="AB96" i="2" s="1"/>
  <c r="AA88" i="2"/>
  <c r="AA80" i="2"/>
  <c r="AB80" i="2" s="1"/>
  <c r="AA72" i="2"/>
  <c r="AA68" i="2"/>
  <c r="AA60" i="2"/>
  <c r="AB60" i="2" s="1"/>
  <c r="AA91" i="2"/>
  <c r="AA83" i="2"/>
  <c r="AB83" i="2" s="1"/>
  <c r="AA79" i="2"/>
  <c r="AB79" i="2" s="1"/>
  <c r="AA71" i="2"/>
  <c r="AA63" i="2"/>
  <c r="AB63" i="2" s="1"/>
  <c r="AA55" i="2"/>
  <c r="O2" i="2"/>
  <c r="P76" i="2"/>
  <c r="Q76" i="2" s="1"/>
  <c r="P126" i="2"/>
  <c r="Q126" i="2" s="1"/>
  <c r="P101" i="2"/>
  <c r="Q101" i="2" s="1"/>
  <c r="P151" i="2"/>
  <c r="Q151" i="2" s="1"/>
  <c r="P51" i="2"/>
  <c r="Q51" i="2" s="1"/>
  <c r="P100" i="2"/>
  <c r="Q100" i="2" s="1"/>
  <c r="P150" i="2"/>
  <c r="Q150" i="2" s="1"/>
  <c r="P50" i="2"/>
  <c r="Q50" i="2" s="1"/>
  <c r="P75" i="2"/>
  <c r="Q75" i="2" s="1"/>
  <c r="P125" i="2"/>
  <c r="Q125" i="2" s="1"/>
  <c r="P74" i="2"/>
  <c r="Q74" i="2" s="1"/>
  <c r="P124" i="2"/>
  <c r="Q124" i="2" s="1"/>
  <c r="P99" i="2"/>
  <c r="Q99" i="2" s="1"/>
  <c r="P149" i="2"/>
  <c r="Q149" i="2" s="1"/>
  <c r="P49" i="2"/>
  <c r="Q49" i="2" s="1"/>
  <c r="P98" i="2"/>
  <c r="Q98" i="2" s="1"/>
  <c r="P148" i="2"/>
  <c r="Q148" i="2" s="1"/>
  <c r="P48" i="2"/>
  <c r="Q48" i="2" s="1"/>
  <c r="P73" i="2"/>
  <c r="Q73" i="2" s="1"/>
  <c r="P123" i="2"/>
  <c r="Q123" i="2" s="1"/>
  <c r="P72" i="2"/>
  <c r="Q72" i="2" s="1"/>
  <c r="P122" i="2"/>
  <c r="Q122" i="2" s="1"/>
  <c r="P97" i="2"/>
  <c r="Q97" i="2" s="1"/>
  <c r="P147" i="2"/>
  <c r="Q147" i="2" s="1"/>
  <c r="P47" i="2"/>
  <c r="Q47" i="2" s="1"/>
  <c r="P96" i="2"/>
  <c r="Q96" i="2" s="1"/>
  <c r="P146" i="2"/>
  <c r="Q146" i="2" s="1"/>
  <c r="P46" i="2"/>
  <c r="Q46" i="2" s="1"/>
  <c r="P71" i="2"/>
  <c r="Q71" i="2" s="1"/>
  <c r="P121" i="2"/>
  <c r="Q121" i="2" s="1"/>
  <c r="P70" i="2"/>
  <c r="Q70" i="2" s="1"/>
  <c r="P120" i="2"/>
  <c r="Q120" i="2" s="1"/>
  <c r="P95" i="2"/>
  <c r="Q95" i="2" s="1"/>
  <c r="P145" i="2"/>
  <c r="Q145" i="2" s="1"/>
  <c r="P45" i="2"/>
  <c r="Q45" i="2" s="1"/>
  <c r="P94" i="2"/>
  <c r="Q94" i="2" s="1"/>
  <c r="P144" i="2"/>
  <c r="Q144" i="2" s="1"/>
  <c r="P44" i="2"/>
  <c r="Q44" i="2" s="1"/>
  <c r="P69" i="2"/>
  <c r="Q69" i="2" s="1"/>
  <c r="P119" i="2"/>
  <c r="Q119" i="2" s="1"/>
  <c r="P68" i="2"/>
  <c r="Q68" i="2" s="1"/>
  <c r="P118" i="2"/>
  <c r="Q118" i="2" s="1"/>
  <c r="P93" i="2"/>
  <c r="Q93" i="2" s="1"/>
  <c r="P143" i="2"/>
  <c r="Q143" i="2" s="1"/>
  <c r="P43" i="2"/>
  <c r="Q43" i="2" s="1"/>
  <c r="P92" i="2"/>
  <c r="Q92" i="2" s="1"/>
  <c r="P142" i="2"/>
  <c r="Q142" i="2" s="1"/>
  <c r="P42" i="2"/>
  <c r="Q42" i="2" s="1"/>
  <c r="P67" i="2"/>
  <c r="Q67" i="2" s="1"/>
  <c r="P117" i="2"/>
  <c r="Q117" i="2" s="1"/>
  <c r="P66" i="2"/>
  <c r="Q66" i="2" s="1"/>
  <c r="P116" i="2"/>
  <c r="Q116" i="2" s="1"/>
  <c r="P91" i="2"/>
  <c r="Q91" i="2" s="1"/>
  <c r="P141" i="2"/>
  <c r="Q141" i="2" s="1"/>
  <c r="P41" i="2"/>
  <c r="Q41" i="2" s="1"/>
  <c r="P90" i="2"/>
  <c r="Q90" i="2" s="1"/>
  <c r="P140" i="2"/>
  <c r="Q140" i="2" s="1"/>
  <c r="P40" i="2"/>
  <c r="Q40" i="2" s="1"/>
  <c r="P65" i="2"/>
  <c r="Q65" i="2" s="1"/>
  <c r="P115" i="2"/>
  <c r="Q115" i="2" s="1"/>
  <c r="P64" i="2"/>
  <c r="Q64" i="2" s="1"/>
  <c r="P114" i="2"/>
  <c r="Q114" i="2" s="1"/>
  <c r="P89" i="2"/>
  <c r="Q89" i="2" s="1"/>
  <c r="P139" i="2"/>
  <c r="Q139" i="2" s="1"/>
  <c r="P39" i="2"/>
  <c r="Q39" i="2" s="1"/>
  <c r="P88" i="2"/>
  <c r="Q88" i="2" s="1"/>
  <c r="P138" i="2"/>
  <c r="Q138" i="2" s="1"/>
  <c r="P38" i="2"/>
  <c r="Q38" i="2" s="1"/>
  <c r="P63" i="2"/>
  <c r="Q63" i="2" s="1"/>
  <c r="P113" i="2"/>
  <c r="Q113" i="2" s="1"/>
  <c r="P62" i="2"/>
  <c r="Q62" i="2" s="1"/>
  <c r="P112" i="2"/>
  <c r="Q112" i="2" s="1"/>
  <c r="P87" i="2"/>
  <c r="Q87" i="2" s="1"/>
  <c r="P137" i="2"/>
  <c r="Q137" i="2" s="1"/>
  <c r="P37" i="2"/>
  <c r="Q37" i="2" s="1"/>
  <c r="P86" i="2"/>
  <c r="Q86" i="2" s="1"/>
  <c r="P136" i="2"/>
  <c r="Q136" i="2" s="1"/>
  <c r="P36" i="2"/>
  <c r="Q36" i="2" s="1"/>
  <c r="P61" i="2"/>
  <c r="Q61" i="2" s="1"/>
  <c r="P111" i="2"/>
  <c r="Q111" i="2" s="1"/>
  <c r="P60" i="2"/>
  <c r="Q60" i="2" s="1"/>
  <c r="P110" i="2"/>
  <c r="Q110" i="2" s="1"/>
  <c r="P85" i="2"/>
  <c r="Q85" i="2" s="1"/>
  <c r="P135" i="2"/>
  <c r="Q135" i="2" s="1"/>
  <c r="P35" i="2"/>
  <c r="Q35" i="2" s="1"/>
  <c r="P84" i="2"/>
  <c r="Q84" i="2" s="1"/>
  <c r="P134" i="2"/>
  <c r="Q134" i="2" s="1"/>
  <c r="P34" i="2"/>
  <c r="Q34" i="2" s="1"/>
  <c r="P59" i="2"/>
  <c r="Q59" i="2" s="1"/>
  <c r="P109" i="2"/>
  <c r="Q109" i="2" s="1"/>
  <c r="P58" i="2"/>
  <c r="Q58" i="2" s="1"/>
  <c r="P108" i="2"/>
  <c r="Q108" i="2" s="1"/>
  <c r="P83" i="2"/>
  <c r="Q83" i="2" s="1"/>
  <c r="P133" i="2"/>
  <c r="Q133" i="2" s="1"/>
  <c r="P33" i="2"/>
  <c r="Q33" i="2" s="1"/>
  <c r="P82" i="2"/>
  <c r="Q82" i="2" s="1"/>
  <c r="P132" i="2"/>
  <c r="Q132" i="2" s="1"/>
  <c r="P32" i="2"/>
  <c r="Q32" i="2" s="1"/>
  <c r="P57" i="2"/>
  <c r="Q57" i="2" s="1"/>
  <c r="P107" i="2"/>
  <c r="Q107" i="2" s="1"/>
  <c r="P56" i="2"/>
  <c r="Q56" i="2" s="1"/>
  <c r="P106" i="2"/>
  <c r="Q106" i="2" s="1"/>
  <c r="P81" i="2"/>
  <c r="Q81" i="2" s="1"/>
  <c r="P131" i="2"/>
  <c r="Q131" i="2" s="1"/>
  <c r="P31" i="2"/>
  <c r="Q31" i="2" s="1"/>
  <c r="P80" i="2"/>
  <c r="Q80" i="2" s="1"/>
  <c r="P130" i="2"/>
  <c r="Q130" i="2" s="1"/>
  <c r="P30" i="2"/>
  <c r="Q30" i="2" s="1"/>
  <c r="P55" i="2"/>
  <c r="Q55" i="2" s="1"/>
  <c r="P105" i="2"/>
  <c r="Q105" i="2" s="1"/>
  <c r="P54" i="2"/>
  <c r="Q54" i="2" s="1"/>
  <c r="P104" i="2"/>
  <c r="Q104" i="2" s="1"/>
  <c r="P79" i="2"/>
  <c r="Q79" i="2" s="1"/>
  <c r="P129" i="2"/>
  <c r="Q129" i="2" s="1"/>
  <c r="P29" i="2"/>
  <c r="Q29" i="2" s="1"/>
  <c r="P78" i="2"/>
  <c r="Q78" i="2" s="1"/>
  <c r="P128" i="2"/>
  <c r="Q128" i="2" s="1"/>
  <c r="P28" i="2"/>
  <c r="Q28" i="2" s="1"/>
  <c r="P53" i="2"/>
  <c r="Q53" i="2" s="1"/>
  <c r="P103" i="2"/>
  <c r="Q103" i="2" s="1"/>
  <c r="P102" i="2"/>
  <c r="Q102" i="2" s="1"/>
  <c r="P52" i="2"/>
  <c r="Q52" i="2" s="1"/>
  <c r="P77" i="2"/>
  <c r="Q77" i="2" s="1"/>
  <c r="P127" i="2"/>
  <c r="Q127" i="2" s="1"/>
  <c r="P27" i="2"/>
  <c r="Q27" i="2" s="1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I149" i="2"/>
  <c r="I145" i="2"/>
  <c r="I141" i="2"/>
  <c r="I2" i="2"/>
  <c r="K2" i="2"/>
  <c r="I150" i="2"/>
  <c r="I148" i="2"/>
  <c r="I146" i="2"/>
  <c r="I144" i="2"/>
  <c r="I142" i="2"/>
  <c r="I140" i="2"/>
  <c r="I138" i="2"/>
  <c r="I136" i="2"/>
  <c r="I134" i="2"/>
  <c r="I132" i="2"/>
  <c r="I130" i="2"/>
  <c r="I128" i="2"/>
  <c r="I26" i="2"/>
  <c r="K26" i="2"/>
  <c r="I24" i="2"/>
  <c r="K24" i="2"/>
  <c r="I22" i="2"/>
  <c r="K22" i="2"/>
  <c r="I20" i="2"/>
  <c r="K20" i="2"/>
  <c r="I18" i="2"/>
  <c r="K18" i="2"/>
  <c r="I16" i="2"/>
  <c r="K16" i="2"/>
  <c r="I14" i="2"/>
  <c r="K14" i="2"/>
  <c r="I12" i="2"/>
  <c r="K12" i="2"/>
  <c r="I10" i="2"/>
  <c r="K10" i="2"/>
  <c r="I8" i="2"/>
  <c r="K8" i="2"/>
  <c r="I6" i="2"/>
  <c r="K6" i="2"/>
  <c r="I4" i="2"/>
  <c r="K4" i="2"/>
  <c r="I151" i="2"/>
  <c r="I147" i="2"/>
  <c r="I143" i="2"/>
  <c r="I139" i="2"/>
  <c r="I137" i="2"/>
  <c r="I135" i="2"/>
  <c r="I133" i="2"/>
  <c r="I131" i="2"/>
  <c r="I129" i="2"/>
  <c r="I127" i="2"/>
  <c r="I25" i="2"/>
  <c r="K25" i="2"/>
  <c r="I23" i="2"/>
  <c r="K23" i="2"/>
  <c r="I21" i="2"/>
  <c r="K21" i="2"/>
  <c r="I19" i="2"/>
  <c r="K19" i="2"/>
  <c r="I17" i="2"/>
  <c r="K17" i="2"/>
  <c r="I15" i="2"/>
  <c r="K15" i="2"/>
  <c r="I13" i="2"/>
  <c r="K13" i="2"/>
  <c r="I11" i="2"/>
  <c r="K11" i="2"/>
  <c r="I9" i="2"/>
  <c r="K9" i="2"/>
  <c r="I7" i="2"/>
  <c r="K7" i="2"/>
  <c r="I5" i="2"/>
  <c r="K5" i="2"/>
  <c r="I3" i="2"/>
  <c r="K3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52" i="2"/>
  <c r="J77" i="2"/>
  <c r="J102" i="2"/>
  <c r="J22" i="1"/>
  <c r="N32" i="1"/>
  <c r="J20" i="1"/>
  <c r="N37" i="1"/>
  <c r="K22" i="1"/>
  <c r="K21" i="1"/>
  <c r="J21" i="1"/>
  <c r="N36" i="1"/>
  <c r="N34" i="1"/>
  <c r="N35" i="1"/>
  <c r="N33" i="1"/>
  <c r="K20" i="1"/>
  <c r="AB91" i="2" l="1"/>
  <c r="AB68" i="2"/>
  <c r="AB99" i="2"/>
  <c r="AB53" i="2"/>
  <c r="AB61" i="2"/>
  <c r="AB69" i="2"/>
  <c r="AB77" i="2"/>
  <c r="AB85" i="2"/>
  <c r="AB54" i="2"/>
  <c r="AB62" i="2"/>
  <c r="AB70" i="2"/>
  <c r="AB78" i="2"/>
  <c r="AB86" i="2"/>
  <c r="AB94" i="2"/>
  <c r="AB102" i="2"/>
  <c r="AB42" i="2"/>
  <c r="AB67" i="2"/>
  <c r="AB84" i="2"/>
  <c r="AB100" i="2"/>
  <c r="AB115" i="2"/>
  <c r="AB123" i="2"/>
  <c r="AB131" i="2"/>
  <c r="AB139" i="2"/>
  <c r="AB147" i="2"/>
  <c r="AB5" i="2"/>
  <c r="AB13" i="2"/>
  <c r="AB21" i="2"/>
  <c r="AB29" i="2"/>
  <c r="AB37" i="2"/>
  <c r="AB45" i="2"/>
  <c r="AB2" i="2"/>
  <c r="T181" i="2"/>
  <c r="T197" i="2"/>
  <c r="T183" i="2"/>
  <c r="T201" i="2"/>
  <c r="T178" i="2"/>
  <c r="T194" i="2"/>
  <c r="T180" i="2"/>
  <c r="T196" i="2"/>
  <c r="T310" i="2"/>
  <c r="U310" i="2" s="1"/>
  <c r="T311" i="2"/>
  <c r="U311" i="2" s="1"/>
  <c r="U302" i="2"/>
  <c r="V302" i="2"/>
  <c r="T304" i="2"/>
  <c r="T305" i="2"/>
  <c r="V305" i="2" s="1"/>
  <c r="T170" i="2"/>
  <c r="T162" i="2"/>
  <c r="T171" i="2"/>
  <c r="T163" i="2"/>
  <c r="T177" i="2"/>
  <c r="T193" i="2"/>
  <c r="T179" i="2"/>
  <c r="T182" i="2"/>
  <c r="T190" i="2"/>
  <c r="T198" i="2"/>
  <c r="T184" i="2"/>
  <c r="T192" i="2"/>
  <c r="T200" i="2"/>
  <c r="T169" i="2"/>
  <c r="U169" i="2" s="1"/>
  <c r="T161" i="2"/>
  <c r="T168" i="2"/>
  <c r="V168" i="2" s="1"/>
  <c r="T160" i="2"/>
  <c r="AB55" i="2"/>
  <c r="AB71" i="2"/>
  <c r="AB72" i="2"/>
  <c r="AB88" i="2"/>
  <c r="AB104" i="2"/>
  <c r="AB57" i="2"/>
  <c r="AB65" i="2"/>
  <c r="AB73" i="2"/>
  <c r="AB81" i="2"/>
  <c r="AB89" i="2"/>
  <c r="AB58" i="2"/>
  <c r="AB66" i="2"/>
  <c r="AB74" i="2"/>
  <c r="AB82" i="2"/>
  <c r="AB90" i="2"/>
  <c r="AB98" i="2"/>
  <c r="AB56" i="2"/>
  <c r="AB95" i="2"/>
  <c r="AB111" i="2"/>
  <c r="AB119" i="2"/>
  <c r="AB127" i="2"/>
  <c r="AB135" i="2"/>
  <c r="AB143" i="2"/>
  <c r="AB151" i="2"/>
  <c r="AB9" i="2"/>
  <c r="AB17" i="2"/>
  <c r="AB25" i="2"/>
  <c r="AB33" i="2"/>
  <c r="AB41" i="2"/>
  <c r="AB49" i="2"/>
  <c r="AB48" i="2"/>
  <c r="T152" i="2"/>
  <c r="U306" i="2"/>
  <c r="W306" i="2" s="1"/>
  <c r="V306" i="2"/>
  <c r="V311" i="2"/>
  <c r="U307" i="2"/>
  <c r="W307" i="2" s="1"/>
  <c r="V307" i="2"/>
  <c r="V303" i="2"/>
  <c r="U303" i="2"/>
  <c r="W303" i="2" s="1"/>
  <c r="U308" i="2"/>
  <c r="W308" i="2" s="1"/>
  <c r="V308" i="2"/>
  <c r="V309" i="2"/>
  <c r="U309" i="2"/>
  <c r="W309" i="2" s="1"/>
  <c r="V169" i="2"/>
  <c r="V176" i="2"/>
  <c r="U176" i="2"/>
  <c r="W176" i="2" s="1"/>
  <c r="V172" i="2"/>
  <c r="U172" i="2"/>
  <c r="W172" i="2" s="1"/>
  <c r="U168" i="2"/>
  <c r="U164" i="2"/>
  <c r="W164" i="2" s="1"/>
  <c r="V164" i="2"/>
  <c r="V156" i="2"/>
  <c r="U156" i="2"/>
  <c r="W156" i="2" s="1"/>
  <c r="V175" i="2"/>
  <c r="U175" i="2"/>
  <c r="W175" i="2" s="1"/>
  <c r="U167" i="2"/>
  <c r="W167" i="2" s="1"/>
  <c r="V167" i="2"/>
  <c r="V159" i="2"/>
  <c r="U159" i="2"/>
  <c r="W159" i="2" s="1"/>
  <c r="V155" i="2"/>
  <c r="U155" i="2"/>
  <c r="W155" i="2" s="1"/>
  <c r="V173" i="2"/>
  <c r="U173" i="2"/>
  <c r="W173" i="2" s="1"/>
  <c r="U165" i="2"/>
  <c r="W165" i="2" s="1"/>
  <c r="V165" i="2"/>
  <c r="V157" i="2"/>
  <c r="U157" i="2"/>
  <c r="W157" i="2" s="1"/>
  <c r="V174" i="2"/>
  <c r="U174" i="2"/>
  <c r="W174" i="2" s="1"/>
  <c r="U166" i="2"/>
  <c r="W166" i="2" s="1"/>
  <c r="V166" i="2"/>
  <c r="V162" i="2"/>
  <c r="U162" i="2"/>
  <c r="V158" i="2"/>
  <c r="U158" i="2"/>
  <c r="W158" i="2" s="1"/>
  <c r="V154" i="2"/>
  <c r="U154" i="2"/>
  <c r="W154" i="2" s="1"/>
  <c r="U163" i="2"/>
  <c r="V163" i="2"/>
  <c r="V153" i="2"/>
  <c r="U153" i="2"/>
  <c r="W153" i="2" s="1"/>
  <c r="O300" i="2"/>
  <c r="O296" i="2"/>
  <c r="O292" i="2"/>
  <c r="O299" i="2"/>
  <c r="O295" i="2"/>
  <c r="O291" i="2"/>
  <c r="O288" i="2"/>
  <c r="O284" i="2"/>
  <c r="O280" i="2"/>
  <c r="O289" i="2"/>
  <c r="O285" i="2"/>
  <c r="O281" i="2"/>
  <c r="O277" i="2"/>
  <c r="O298" i="2"/>
  <c r="O294" i="2"/>
  <c r="O301" i="2"/>
  <c r="O297" i="2"/>
  <c r="O293" i="2"/>
  <c r="O290" i="2"/>
  <c r="O286" i="2"/>
  <c r="O282" i="2"/>
  <c r="O278" i="2"/>
  <c r="O287" i="2"/>
  <c r="O283" i="2"/>
  <c r="O279" i="2"/>
  <c r="O127" i="2"/>
  <c r="O129" i="2"/>
  <c r="O131" i="2"/>
  <c r="O133" i="2"/>
  <c r="O135" i="2"/>
  <c r="O137" i="2"/>
  <c r="O139" i="2"/>
  <c r="O141" i="2"/>
  <c r="O143" i="2"/>
  <c r="O145" i="2"/>
  <c r="O147" i="2"/>
  <c r="O149" i="2"/>
  <c r="O151" i="2"/>
  <c r="U185" i="2"/>
  <c r="W185" i="2" s="1"/>
  <c r="V185" i="2"/>
  <c r="V193" i="2"/>
  <c r="U193" i="2"/>
  <c r="U179" i="2"/>
  <c r="U187" i="2"/>
  <c r="W187" i="2" s="1"/>
  <c r="V187" i="2"/>
  <c r="V195" i="2"/>
  <c r="U195" i="2"/>
  <c r="W195" i="2" s="1"/>
  <c r="U199" i="2"/>
  <c r="W199" i="2" s="1"/>
  <c r="V199" i="2"/>
  <c r="V182" i="2"/>
  <c r="U182" i="2"/>
  <c r="U198" i="2"/>
  <c r="V198" i="2"/>
  <c r="U184" i="2"/>
  <c r="V192" i="2"/>
  <c r="U192" i="2"/>
  <c r="O128" i="2"/>
  <c r="O130" i="2"/>
  <c r="O132" i="2"/>
  <c r="O134" i="2"/>
  <c r="O136" i="2"/>
  <c r="O138" i="2"/>
  <c r="O140" i="2"/>
  <c r="O142" i="2"/>
  <c r="O144" i="2"/>
  <c r="O146" i="2"/>
  <c r="O148" i="2"/>
  <c r="O150" i="2"/>
  <c r="U181" i="2"/>
  <c r="W181" i="2" s="1"/>
  <c r="V181" i="2"/>
  <c r="V189" i="2"/>
  <c r="U189" i="2"/>
  <c r="W189" i="2" s="1"/>
  <c r="U197" i="2"/>
  <c r="W197" i="2" s="1"/>
  <c r="V197" i="2"/>
  <c r="U183" i="2"/>
  <c r="W183" i="2" s="1"/>
  <c r="V183" i="2"/>
  <c r="V191" i="2"/>
  <c r="U191" i="2"/>
  <c r="W191" i="2" s="1"/>
  <c r="U201" i="2"/>
  <c r="W201" i="2" s="1"/>
  <c r="V201" i="2"/>
  <c r="U178" i="2"/>
  <c r="W178" i="2" s="1"/>
  <c r="V178" i="2"/>
  <c r="U186" i="2"/>
  <c r="W186" i="2" s="1"/>
  <c r="V186" i="2"/>
  <c r="V194" i="2"/>
  <c r="U194" i="2"/>
  <c r="W194" i="2" s="1"/>
  <c r="V180" i="2"/>
  <c r="U180" i="2"/>
  <c r="W180" i="2" s="1"/>
  <c r="V188" i="2"/>
  <c r="U188" i="2"/>
  <c r="W188" i="2" s="1"/>
  <c r="U196" i="2"/>
  <c r="W196" i="2" s="1"/>
  <c r="V196" i="2"/>
  <c r="AB187" i="2"/>
  <c r="AB199" i="2"/>
  <c r="AB222" i="2"/>
  <c r="AB226" i="2"/>
  <c r="AB237" i="2"/>
  <c r="AB272" i="2"/>
  <c r="AB276" i="2"/>
  <c r="AB280" i="2"/>
  <c r="AB284" i="2"/>
  <c r="AB294" i="2"/>
  <c r="AB170" i="2"/>
  <c r="AB174" i="2"/>
  <c r="AB185" i="2"/>
  <c r="AB191" i="2"/>
  <c r="AB195" i="2"/>
  <c r="AB205" i="2"/>
  <c r="AB209" i="2"/>
  <c r="AB213" i="2"/>
  <c r="AB221" i="2"/>
  <c r="AB239" i="2"/>
  <c r="AB243" i="2"/>
  <c r="AB247" i="2"/>
  <c r="AB251" i="2"/>
  <c r="AB255" i="2"/>
  <c r="AB259" i="2"/>
  <c r="AB300" i="2"/>
  <c r="AB165" i="2"/>
  <c r="AB169" i="2"/>
  <c r="AB173" i="2"/>
  <c r="AB177" i="2"/>
  <c r="AB188" i="2"/>
  <c r="AB192" i="2"/>
  <c r="AB196" i="2"/>
  <c r="AB200" i="2"/>
  <c r="AB227" i="2"/>
  <c r="AB238" i="2"/>
  <c r="AB242" i="2"/>
  <c r="AB246" i="2"/>
  <c r="AB250" i="2"/>
  <c r="AB254" i="2"/>
  <c r="AB258" i="2"/>
  <c r="AB288" i="2"/>
  <c r="AB298" i="2"/>
  <c r="AB204" i="2"/>
  <c r="AB208" i="2"/>
  <c r="AB212" i="2"/>
  <c r="AB220" i="2"/>
  <c r="AB271" i="2"/>
  <c r="AB275" i="2"/>
  <c r="AB279" i="2"/>
  <c r="AB283" i="2"/>
  <c r="AB287" i="2"/>
  <c r="AB291" i="2"/>
  <c r="AB295" i="2"/>
  <c r="AB299" i="2"/>
  <c r="AB290" i="2"/>
  <c r="AB152" i="2"/>
  <c r="AB265" i="2"/>
  <c r="AB235" i="2"/>
  <c r="AB231" i="2"/>
  <c r="AB217" i="2"/>
  <c r="AB182" i="2"/>
  <c r="AB178" i="2"/>
  <c r="AB266" i="2"/>
  <c r="AB262" i="2"/>
  <c r="AB234" i="2"/>
  <c r="AB230" i="2"/>
  <c r="AB216" i="2"/>
  <c r="AB181" i="2"/>
  <c r="AB164" i="2"/>
  <c r="AB162" i="2"/>
  <c r="AB160" i="2"/>
  <c r="AB158" i="2"/>
  <c r="AB156" i="2"/>
  <c r="AB154" i="2"/>
  <c r="AB197" i="2"/>
  <c r="AB201" i="2"/>
  <c r="AB224" i="2"/>
  <c r="AB228" i="2"/>
  <c r="AB270" i="2"/>
  <c r="AB274" i="2"/>
  <c r="AB278" i="2"/>
  <c r="AB282" i="2"/>
  <c r="AB286" i="2"/>
  <c r="AB168" i="2"/>
  <c r="AB172" i="2"/>
  <c r="AB176" i="2"/>
  <c r="AB189" i="2"/>
  <c r="AB193" i="2"/>
  <c r="AB203" i="2"/>
  <c r="AB207" i="2"/>
  <c r="AB211" i="2"/>
  <c r="AB215" i="2"/>
  <c r="AB223" i="2"/>
  <c r="AB241" i="2"/>
  <c r="AB245" i="2"/>
  <c r="AB249" i="2"/>
  <c r="AB253" i="2"/>
  <c r="AB257" i="2"/>
  <c r="AB261" i="2"/>
  <c r="AB166" i="2"/>
  <c r="AB167" i="2"/>
  <c r="AB171" i="2"/>
  <c r="AB175" i="2"/>
  <c r="AB186" i="2"/>
  <c r="AB190" i="2"/>
  <c r="AB194" i="2"/>
  <c r="AB198" i="2"/>
  <c r="AB225" i="2"/>
  <c r="AB229" i="2"/>
  <c r="AB240" i="2"/>
  <c r="AB244" i="2"/>
  <c r="AB248" i="2"/>
  <c r="AB252" i="2"/>
  <c r="AB256" i="2"/>
  <c r="AB260" i="2"/>
  <c r="AB292" i="2"/>
  <c r="AB202" i="2"/>
  <c r="AB206" i="2"/>
  <c r="AB210" i="2"/>
  <c r="AB214" i="2"/>
  <c r="AB269" i="2"/>
  <c r="AB273" i="2"/>
  <c r="AB277" i="2"/>
  <c r="AB281" i="2"/>
  <c r="AB285" i="2"/>
  <c r="AB289" i="2"/>
  <c r="AB293" i="2"/>
  <c r="AB297" i="2"/>
  <c r="AB301" i="2"/>
  <c r="AB296" i="2"/>
  <c r="AB267" i="2"/>
  <c r="AB263" i="2"/>
  <c r="AB233" i="2"/>
  <c r="AB219" i="2"/>
  <c r="AB184" i="2"/>
  <c r="AB180" i="2"/>
  <c r="AB268" i="2"/>
  <c r="AB264" i="2"/>
  <c r="AB236" i="2"/>
  <c r="AB232" i="2"/>
  <c r="AB218" i="2"/>
  <c r="AB183" i="2"/>
  <c r="AB179" i="2"/>
  <c r="AB163" i="2"/>
  <c r="AB161" i="2"/>
  <c r="AB159" i="2"/>
  <c r="AB157" i="2"/>
  <c r="AB155" i="2"/>
  <c r="AB153" i="2"/>
  <c r="T3" i="2"/>
  <c r="T5" i="2"/>
  <c r="T7" i="2"/>
  <c r="T9" i="2"/>
  <c r="T11" i="2"/>
  <c r="T13" i="2"/>
  <c r="T15" i="2"/>
  <c r="T17" i="2"/>
  <c r="T19" i="2"/>
  <c r="T21" i="2"/>
  <c r="T23" i="2"/>
  <c r="T25" i="2"/>
  <c r="T4" i="2"/>
  <c r="T6" i="2"/>
  <c r="T8" i="2"/>
  <c r="T10" i="2"/>
  <c r="T12" i="2"/>
  <c r="T14" i="2"/>
  <c r="T16" i="2"/>
  <c r="T18" i="2"/>
  <c r="T20" i="2"/>
  <c r="T22" i="2"/>
  <c r="T24" i="2"/>
  <c r="T26" i="2"/>
  <c r="T2" i="2"/>
  <c r="U17" i="2"/>
  <c r="I103" i="2"/>
  <c r="I107" i="2"/>
  <c r="I111" i="2"/>
  <c r="I102" i="2"/>
  <c r="I52" i="2"/>
  <c r="I104" i="2"/>
  <c r="I106" i="2"/>
  <c r="I108" i="2"/>
  <c r="I110" i="2"/>
  <c r="I112" i="2"/>
  <c r="I114" i="2"/>
  <c r="I116" i="2"/>
  <c r="I118" i="2"/>
  <c r="I120" i="2"/>
  <c r="I122" i="2"/>
  <c r="I124" i="2"/>
  <c r="I126" i="2"/>
  <c r="I79" i="2"/>
  <c r="I81" i="2"/>
  <c r="I83" i="2"/>
  <c r="I85" i="2"/>
  <c r="I87" i="2"/>
  <c r="I89" i="2"/>
  <c r="I91" i="2"/>
  <c r="I93" i="2"/>
  <c r="I95" i="2"/>
  <c r="I97" i="2"/>
  <c r="I99" i="2"/>
  <c r="I101" i="2"/>
  <c r="I54" i="2"/>
  <c r="I56" i="2"/>
  <c r="I58" i="2"/>
  <c r="I60" i="2"/>
  <c r="I62" i="2"/>
  <c r="I64" i="2"/>
  <c r="I66" i="2"/>
  <c r="I68" i="2"/>
  <c r="I70" i="2"/>
  <c r="I72" i="2"/>
  <c r="I74" i="2"/>
  <c r="I76" i="2"/>
  <c r="K28" i="2"/>
  <c r="T28" i="2" s="1"/>
  <c r="I28" i="2"/>
  <c r="K30" i="2"/>
  <c r="T30" i="2" s="1"/>
  <c r="I30" i="2"/>
  <c r="K32" i="2"/>
  <c r="T32" i="2" s="1"/>
  <c r="I32" i="2"/>
  <c r="K34" i="2"/>
  <c r="T34" i="2" s="1"/>
  <c r="I34" i="2"/>
  <c r="K36" i="2"/>
  <c r="T36" i="2" s="1"/>
  <c r="I36" i="2"/>
  <c r="K38" i="2"/>
  <c r="T38" i="2" s="1"/>
  <c r="I38" i="2"/>
  <c r="K40" i="2"/>
  <c r="T40" i="2" s="1"/>
  <c r="I40" i="2"/>
  <c r="K42" i="2"/>
  <c r="T42" i="2" s="1"/>
  <c r="I42" i="2"/>
  <c r="K44" i="2"/>
  <c r="T44" i="2" s="1"/>
  <c r="I44" i="2"/>
  <c r="K46" i="2"/>
  <c r="T46" i="2" s="1"/>
  <c r="I46" i="2"/>
  <c r="I48" i="2"/>
  <c r="K48" i="2"/>
  <c r="T48" i="2" s="1"/>
  <c r="I50" i="2"/>
  <c r="K50" i="2"/>
  <c r="T50" i="2" s="1"/>
  <c r="I77" i="2"/>
  <c r="I105" i="2"/>
  <c r="I109" i="2"/>
  <c r="I113" i="2"/>
  <c r="I115" i="2"/>
  <c r="I117" i="2"/>
  <c r="I119" i="2"/>
  <c r="I121" i="2"/>
  <c r="I123" i="2"/>
  <c r="I125" i="2"/>
  <c r="I78" i="2"/>
  <c r="I80" i="2"/>
  <c r="I82" i="2"/>
  <c r="I84" i="2"/>
  <c r="I86" i="2"/>
  <c r="I88" i="2"/>
  <c r="I90" i="2"/>
  <c r="I92" i="2"/>
  <c r="I94" i="2"/>
  <c r="I96" i="2"/>
  <c r="I98" i="2"/>
  <c r="I100" i="2"/>
  <c r="I53" i="2"/>
  <c r="I55" i="2"/>
  <c r="I57" i="2"/>
  <c r="I59" i="2"/>
  <c r="I61" i="2"/>
  <c r="I63" i="2"/>
  <c r="I65" i="2"/>
  <c r="I67" i="2"/>
  <c r="I69" i="2"/>
  <c r="I71" i="2"/>
  <c r="I73" i="2"/>
  <c r="I75" i="2"/>
  <c r="I27" i="2"/>
  <c r="K27" i="2"/>
  <c r="T27" i="2" s="1"/>
  <c r="I29" i="2"/>
  <c r="K29" i="2"/>
  <c r="T29" i="2" s="1"/>
  <c r="I31" i="2"/>
  <c r="K31" i="2"/>
  <c r="T31" i="2" s="1"/>
  <c r="I33" i="2"/>
  <c r="K33" i="2"/>
  <c r="T33" i="2" s="1"/>
  <c r="I35" i="2"/>
  <c r="K35" i="2"/>
  <c r="T35" i="2" s="1"/>
  <c r="I37" i="2"/>
  <c r="K37" i="2"/>
  <c r="T37" i="2" s="1"/>
  <c r="I39" i="2"/>
  <c r="K39" i="2"/>
  <c r="T39" i="2" s="1"/>
  <c r="I41" i="2"/>
  <c r="K41" i="2"/>
  <c r="T41" i="2" s="1"/>
  <c r="I43" i="2"/>
  <c r="K43" i="2"/>
  <c r="T43" i="2" s="1"/>
  <c r="I45" i="2"/>
  <c r="K45" i="2"/>
  <c r="T45" i="2" s="1"/>
  <c r="I47" i="2"/>
  <c r="K47" i="2"/>
  <c r="T47" i="2" s="1"/>
  <c r="I49" i="2"/>
  <c r="K49" i="2"/>
  <c r="T49" i="2" s="1"/>
  <c r="I51" i="2"/>
  <c r="K51" i="2"/>
  <c r="T51" i="2" s="1"/>
  <c r="M21" i="1"/>
  <c r="D26" i="1" s="1"/>
  <c r="M22" i="1"/>
  <c r="N22" i="1" s="1"/>
  <c r="G26" i="1" s="1"/>
  <c r="M20" i="1"/>
  <c r="N20" i="1" s="1"/>
  <c r="C26" i="1" s="1"/>
  <c r="U305" i="2" l="1"/>
  <c r="V310" i="2"/>
  <c r="V2" i="2"/>
  <c r="U24" i="2"/>
  <c r="W24" i="2" s="1"/>
  <c r="AG24" i="2" s="1"/>
  <c r="U20" i="2"/>
  <c r="W20" i="2" s="1"/>
  <c r="AG20" i="2" s="1"/>
  <c r="U16" i="2"/>
  <c r="W16" i="2" s="1"/>
  <c r="U12" i="2"/>
  <c r="W12" i="2" s="1"/>
  <c r="U8" i="2"/>
  <c r="W8" i="2" s="1"/>
  <c r="U4" i="2"/>
  <c r="W4" i="2" s="1"/>
  <c r="U23" i="2"/>
  <c r="W23" i="2" s="1"/>
  <c r="AG23" i="2" s="1"/>
  <c r="U19" i="2"/>
  <c r="W19" i="2" s="1"/>
  <c r="AG19" i="2" s="1"/>
  <c r="U15" i="2"/>
  <c r="W15" i="2" s="1"/>
  <c r="AG15" i="2" s="1"/>
  <c r="U11" i="2"/>
  <c r="W11" i="2" s="1"/>
  <c r="U7" i="2"/>
  <c r="W7" i="2" s="1"/>
  <c r="U3" i="2"/>
  <c r="W3" i="2" s="1"/>
  <c r="AG3" i="2" s="1"/>
  <c r="W168" i="2"/>
  <c r="W169" i="2"/>
  <c r="W192" i="2"/>
  <c r="W198" i="2"/>
  <c r="W182" i="2"/>
  <c r="W193" i="2"/>
  <c r="W163" i="2"/>
  <c r="W162" i="2"/>
  <c r="W305" i="2"/>
  <c r="AG305" i="2" s="1"/>
  <c r="V26" i="2"/>
  <c r="U22" i="2"/>
  <c r="W22" i="2" s="1"/>
  <c r="AG22" i="2" s="1"/>
  <c r="U18" i="2"/>
  <c r="W18" i="2" s="1"/>
  <c r="AG18" i="2" s="1"/>
  <c r="V14" i="2"/>
  <c r="V10" i="2"/>
  <c r="V6" i="2"/>
  <c r="V25" i="2"/>
  <c r="U21" i="2"/>
  <c r="W21" i="2" s="1"/>
  <c r="AG21" i="2" s="1"/>
  <c r="V17" i="2"/>
  <c r="W17" i="2"/>
  <c r="V13" i="2"/>
  <c r="V9" i="2"/>
  <c r="V5" i="2"/>
  <c r="V152" i="2"/>
  <c r="U160" i="2"/>
  <c r="W160" i="2" s="1"/>
  <c r="AG160" i="2" s="1"/>
  <c r="V161" i="2"/>
  <c r="V200" i="2"/>
  <c r="V184" i="2"/>
  <c r="W184" i="2"/>
  <c r="U190" i="2"/>
  <c r="W190" i="2" s="1"/>
  <c r="AG190" i="2" s="1"/>
  <c r="V179" i="2"/>
  <c r="W179" i="2"/>
  <c r="V177" i="2"/>
  <c r="V171" i="2"/>
  <c r="V170" i="2"/>
  <c r="U304" i="2"/>
  <c r="W304" i="2" s="1"/>
  <c r="AG304" i="2" s="1"/>
  <c r="W302" i="2"/>
  <c r="AG302" i="2" s="1"/>
  <c r="W311" i="2"/>
  <c r="W310" i="2"/>
  <c r="AG310" i="2" s="1"/>
  <c r="U200" i="2"/>
  <c r="W200" i="2" s="1"/>
  <c r="AG200" i="2" s="1"/>
  <c r="V190" i="2"/>
  <c r="U177" i="2"/>
  <c r="W177" i="2" s="1"/>
  <c r="AG177" i="2" s="1"/>
  <c r="U9" i="2"/>
  <c r="W9" i="2" s="1"/>
  <c r="AG9" i="2" s="1"/>
  <c r="U171" i="2"/>
  <c r="W171" i="2" s="1"/>
  <c r="AG171" i="2" s="1"/>
  <c r="U161" i="2"/>
  <c r="U152" i="2"/>
  <c r="W152" i="2" s="1"/>
  <c r="AG152" i="2" s="1"/>
  <c r="U170" i="2"/>
  <c r="W170" i="2" s="1"/>
  <c r="AG170" i="2" s="1"/>
  <c r="V304" i="2"/>
  <c r="U13" i="2"/>
  <c r="W13" i="2" s="1"/>
  <c r="AG13" i="2" s="1"/>
  <c r="U5" i="2"/>
  <c r="W5" i="2" s="1"/>
  <c r="AG5" i="2" s="1"/>
  <c r="U10" i="2"/>
  <c r="W10" i="2" s="1"/>
  <c r="AG10" i="2" s="1"/>
  <c r="U25" i="2"/>
  <c r="W25" i="2" s="1"/>
  <c r="AG25" i="2" s="1"/>
  <c r="V22" i="2"/>
  <c r="U14" i="2"/>
  <c r="W14" i="2" s="1"/>
  <c r="AG14" i="2" s="1"/>
  <c r="U26" i="2"/>
  <c r="W26" i="2" s="1"/>
  <c r="AG26" i="2" s="1"/>
  <c r="V18" i="2"/>
  <c r="U6" i="2"/>
  <c r="W6" i="2" s="1"/>
  <c r="AG6" i="2" s="1"/>
  <c r="V21" i="2"/>
  <c r="V160" i="2"/>
  <c r="V23" i="2"/>
  <c r="V8" i="2"/>
  <c r="V15" i="2"/>
  <c r="AG163" i="2"/>
  <c r="AG188" i="2"/>
  <c r="AG180" i="2"/>
  <c r="AG194" i="2"/>
  <c r="AG309" i="2"/>
  <c r="AG157" i="2"/>
  <c r="AG173" i="2"/>
  <c r="AG172" i="2"/>
  <c r="AG169" i="2"/>
  <c r="AG306" i="2"/>
  <c r="AG308" i="2"/>
  <c r="AG303" i="2"/>
  <c r="AG307" i="2"/>
  <c r="AG311" i="2"/>
  <c r="AG153" i="2"/>
  <c r="F26" i="1"/>
  <c r="K266" i="2" s="1"/>
  <c r="AG178" i="2"/>
  <c r="AG179" i="2"/>
  <c r="V20" i="2"/>
  <c r="V4" i="2"/>
  <c r="V19" i="2"/>
  <c r="V7" i="2"/>
  <c r="AG154" i="2"/>
  <c r="AG158" i="2"/>
  <c r="AG167" i="2"/>
  <c r="AG175" i="2"/>
  <c r="AG156" i="2"/>
  <c r="AG168" i="2"/>
  <c r="AG162" i="2"/>
  <c r="AG195" i="2"/>
  <c r="AG166" i="2"/>
  <c r="AG164" i="2"/>
  <c r="AG159" i="2"/>
  <c r="AG176" i="2"/>
  <c r="V16" i="2"/>
  <c r="V24" i="2"/>
  <c r="U2" i="2"/>
  <c r="V12" i="2"/>
  <c r="V11" i="2"/>
  <c r="V3" i="2"/>
  <c r="AG174" i="2"/>
  <c r="AG165" i="2"/>
  <c r="AG191" i="2"/>
  <c r="AG197" i="2"/>
  <c r="AG189" i="2"/>
  <c r="AG181" i="2"/>
  <c r="AG192" i="2"/>
  <c r="AG198" i="2"/>
  <c r="AG182" i="2"/>
  <c r="AG185" i="2"/>
  <c r="AG155" i="2"/>
  <c r="AG184" i="2"/>
  <c r="AG201" i="2"/>
  <c r="AG193" i="2"/>
  <c r="AG196" i="2"/>
  <c r="AG186" i="2"/>
  <c r="AG183" i="2"/>
  <c r="AG187" i="2"/>
  <c r="AG199" i="2"/>
  <c r="K268" i="2"/>
  <c r="K264" i="2"/>
  <c r="K260" i="2"/>
  <c r="K256" i="2"/>
  <c r="K252" i="2"/>
  <c r="K267" i="2"/>
  <c r="K263" i="2"/>
  <c r="K259" i="2"/>
  <c r="K255" i="2"/>
  <c r="K276" i="2"/>
  <c r="K272" i="2"/>
  <c r="K275" i="2"/>
  <c r="K271" i="2"/>
  <c r="K107" i="2"/>
  <c r="K115" i="2"/>
  <c r="K123" i="2"/>
  <c r="K110" i="2"/>
  <c r="K118" i="2"/>
  <c r="K126" i="2"/>
  <c r="K109" i="2"/>
  <c r="K117" i="2"/>
  <c r="K125" i="2"/>
  <c r="K104" i="2"/>
  <c r="K112" i="2"/>
  <c r="K120" i="2"/>
  <c r="K301" i="2"/>
  <c r="T301" i="2" s="1"/>
  <c r="K299" i="2"/>
  <c r="T299" i="2" s="1"/>
  <c r="K297" i="2"/>
  <c r="T297" i="2" s="1"/>
  <c r="K295" i="2"/>
  <c r="T295" i="2" s="1"/>
  <c r="K293" i="2"/>
  <c r="T293" i="2" s="1"/>
  <c r="K291" i="2"/>
  <c r="T291" i="2" s="1"/>
  <c r="K289" i="2"/>
  <c r="T289" i="2" s="1"/>
  <c r="K287" i="2"/>
  <c r="T287" i="2" s="1"/>
  <c r="K285" i="2"/>
  <c r="T285" i="2" s="1"/>
  <c r="K283" i="2"/>
  <c r="T283" i="2" s="1"/>
  <c r="K281" i="2"/>
  <c r="T281" i="2" s="1"/>
  <c r="K279" i="2"/>
  <c r="T279" i="2" s="1"/>
  <c r="K277" i="2"/>
  <c r="T277" i="2" s="1"/>
  <c r="K300" i="2"/>
  <c r="T300" i="2" s="1"/>
  <c r="K298" i="2"/>
  <c r="T298" i="2" s="1"/>
  <c r="K296" i="2"/>
  <c r="T296" i="2" s="1"/>
  <c r="K294" i="2"/>
  <c r="T294" i="2" s="1"/>
  <c r="K292" i="2"/>
  <c r="T292" i="2" s="1"/>
  <c r="K290" i="2"/>
  <c r="T290" i="2" s="1"/>
  <c r="K288" i="2"/>
  <c r="T288" i="2" s="1"/>
  <c r="K286" i="2"/>
  <c r="T286" i="2" s="1"/>
  <c r="K284" i="2"/>
  <c r="T284" i="2" s="1"/>
  <c r="K282" i="2"/>
  <c r="T282" i="2" s="1"/>
  <c r="K280" i="2"/>
  <c r="T280" i="2" s="1"/>
  <c r="K278" i="2"/>
  <c r="T278" i="2" s="1"/>
  <c r="K149" i="2"/>
  <c r="T149" i="2" s="1"/>
  <c r="K143" i="2"/>
  <c r="T143" i="2" s="1"/>
  <c r="K135" i="2"/>
  <c r="T135" i="2" s="1"/>
  <c r="K148" i="2"/>
  <c r="T148" i="2" s="1"/>
  <c r="K144" i="2"/>
  <c r="T144" i="2" s="1"/>
  <c r="K140" i="2"/>
  <c r="T140" i="2" s="1"/>
  <c r="K136" i="2"/>
  <c r="T136" i="2" s="1"/>
  <c r="K132" i="2"/>
  <c r="T132" i="2" s="1"/>
  <c r="K128" i="2"/>
  <c r="T128" i="2" s="1"/>
  <c r="K145" i="2"/>
  <c r="T145" i="2" s="1"/>
  <c r="K137" i="2"/>
  <c r="T137" i="2" s="1"/>
  <c r="K131" i="2"/>
  <c r="T131" i="2" s="1"/>
  <c r="K127" i="2"/>
  <c r="T127" i="2" s="1"/>
  <c r="K147" i="2"/>
  <c r="T147" i="2" s="1"/>
  <c r="K139" i="2"/>
  <c r="T139" i="2" s="1"/>
  <c r="K150" i="2"/>
  <c r="T150" i="2" s="1"/>
  <c r="K146" i="2"/>
  <c r="T146" i="2" s="1"/>
  <c r="K142" i="2"/>
  <c r="T142" i="2" s="1"/>
  <c r="K138" i="2"/>
  <c r="T138" i="2" s="1"/>
  <c r="K134" i="2"/>
  <c r="T134" i="2" s="1"/>
  <c r="K130" i="2"/>
  <c r="T130" i="2" s="1"/>
  <c r="K151" i="2"/>
  <c r="T151" i="2" s="1"/>
  <c r="K141" i="2"/>
  <c r="T141" i="2" s="1"/>
  <c r="K133" i="2"/>
  <c r="T133" i="2" s="1"/>
  <c r="K129" i="2"/>
  <c r="T129" i="2" s="1"/>
  <c r="O276" i="2"/>
  <c r="O272" i="2"/>
  <c r="O268" i="2"/>
  <c r="O266" i="2"/>
  <c r="O264" i="2"/>
  <c r="O262" i="2"/>
  <c r="O260" i="2"/>
  <c r="O258" i="2"/>
  <c r="O256" i="2"/>
  <c r="O254" i="2"/>
  <c r="O252" i="2"/>
  <c r="O273" i="2"/>
  <c r="O269" i="2"/>
  <c r="O267" i="2"/>
  <c r="O265" i="2"/>
  <c r="O263" i="2"/>
  <c r="O261" i="2"/>
  <c r="O259" i="2"/>
  <c r="O257" i="2"/>
  <c r="O255" i="2"/>
  <c r="O253" i="2"/>
  <c r="O274" i="2"/>
  <c r="O270" i="2"/>
  <c r="O275" i="2"/>
  <c r="O271" i="2"/>
  <c r="O102" i="2"/>
  <c r="O103" i="2"/>
  <c r="O105" i="2"/>
  <c r="O107" i="2"/>
  <c r="O109" i="2"/>
  <c r="O111" i="2"/>
  <c r="O113" i="2"/>
  <c r="O115" i="2"/>
  <c r="O117" i="2"/>
  <c r="O119" i="2"/>
  <c r="O121" i="2"/>
  <c r="O123" i="2"/>
  <c r="O125" i="2"/>
  <c r="O104" i="2"/>
  <c r="O106" i="2"/>
  <c r="O108" i="2"/>
  <c r="O110" i="2"/>
  <c r="O112" i="2"/>
  <c r="O114" i="2"/>
  <c r="O116" i="2"/>
  <c r="O118" i="2"/>
  <c r="O120" i="2"/>
  <c r="O122" i="2"/>
  <c r="O124" i="2"/>
  <c r="O126" i="2"/>
  <c r="K237" i="2"/>
  <c r="K235" i="2"/>
  <c r="K233" i="2"/>
  <c r="K231" i="2"/>
  <c r="K229" i="2"/>
  <c r="K227" i="2"/>
  <c r="K250" i="2"/>
  <c r="K248" i="2"/>
  <c r="K238" i="2"/>
  <c r="K236" i="2"/>
  <c r="K234" i="2"/>
  <c r="K232" i="2"/>
  <c r="K230" i="2"/>
  <c r="K228" i="2"/>
  <c r="K251" i="2"/>
  <c r="K249" i="2"/>
  <c r="K246" i="2"/>
  <c r="K244" i="2"/>
  <c r="K242" i="2"/>
  <c r="K240" i="2"/>
  <c r="K247" i="2"/>
  <c r="K245" i="2"/>
  <c r="K243" i="2"/>
  <c r="K241" i="2"/>
  <c r="K239" i="2"/>
  <c r="K78" i="2"/>
  <c r="K82" i="2"/>
  <c r="K86" i="2"/>
  <c r="K90" i="2"/>
  <c r="K94" i="2"/>
  <c r="K98" i="2"/>
  <c r="K81" i="2"/>
  <c r="K85" i="2"/>
  <c r="K89" i="2"/>
  <c r="K93" i="2"/>
  <c r="K97" i="2"/>
  <c r="K101" i="2"/>
  <c r="K77" i="2"/>
  <c r="K80" i="2"/>
  <c r="K84" i="2"/>
  <c r="K88" i="2"/>
  <c r="K92" i="2"/>
  <c r="K96" i="2"/>
  <c r="K100" i="2"/>
  <c r="K79" i="2"/>
  <c r="K83" i="2"/>
  <c r="K87" i="2"/>
  <c r="K91" i="2"/>
  <c r="K95" i="2"/>
  <c r="K99" i="2"/>
  <c r="O226" i="2"/>
  <c r="O224" i="2"/>
  <c r="O220" i="2"/>
  <c r="O218" i="2"/>
  <c r="O216" i="2"/>
  <c r="O214" i="2"/>
  <c r="O212" i="2"/>
  <c r="O210" i="2"/>
  <c r="O208" i="2"/>
  <c r="O206" i="2"/>
  <c r="O204" i="2"/>
  <c r="O202" i="2"/>
  <c r="O221" i="2"/>
  <c r="O219" i="2"/>
  <c r="O217" i="2"/>
  <c r="O215" i="2"/>
  <c r="O222" i="2"/>
  <c r="O225" i="2"/>
  <c r="O223" i="2"/>
  <c r="O213" i="2"/>
  <c r="O209" i="2"/>
  <c r="O205" i="2"/>
  <c r="O211" i="2"/>
  <c r="O207" i="2"/>
  <c r="O203" i="2"/>
  <c r="O54" i="2"/>
  <c r="O56" i="2"/>
  <c r="O58" i="2"/>
  <c r="O60" i="2"/>
  <c r="O62" i="2"/>
  <c r="O64" i="2"/>
  <c r="O66" i="2"/>
  <c r="O68" i="2"/>
  <c r="O70" i="2"/>
  <c r="O72" i="2"/>
  <c r="O74" i="2"/>
  <c r="O76" i="2"/>
  <c r="O53" i="2"/>
  <c r="O55" i="2"/>
  <c r="O57" i="2"/>
  <c r="O59" i="2"/>
  <c r="O61" i="2"/>
  <c r="O63" i="2"/>
  <c r="O65" i="2"/>
  <c r="O67" i="2"/>
  <c r="O69" i="2"/>
  <c r="O71" i="2"/>
  <c r="O73" i="2"/>
  <c r="O75" i="2"/>
  <c r="O52" i="2"/>
  <c r="V51" i="2"/>
  <c r="U51" i="2"/>
  <c r="W51" i="2" s="1"/>
  <c r="U47" i="2"/>
  <c r="W47" i="2" s="1"/>
  <c r="V47" i="2"/>
  <c r="U43" i="2"/>
  <c r="W43" i="2" s="1"/>
  <c r="V43" i="2"/>
  <c r="V39" i="2"/>
  <c r="U39" i="2"/>
  <c r="W39" i="2" s="1"/>
  <c r="V35" i="2"/>
  <c r="U35" i="2"/>
  <c r="W35" i="2" s="1"/>
  <c r="U31" i="2"/>
  <c r="W31" i="2" s="1"/>
  <c r="V31" i="2"/>
  <c r="V27" i="2"/>
  <c r="U27" i="2"/>
  <c r="W27" i="2" s="1"/>
  <c r="U48" i="2"/>
  <c r="W48" i="2" s="1"/>
  <c r="V48" i="2"/>
  <c r="U46" i="2"/>
  <c r="W46" i="2" s="1"/>
  <c r="V46" i="2"/>
  <c r="V44" i="2"/>
  <c r="U44" i="2"/>
  <c r="W44" i="2" s="1"/>
  <c r="U42" i="2"/>
  <c r="W42" i="2" s="1"/>
  <c r="V42" i="2"/>
  <c r="V40" i="2"/>
  <c r="U40" i="2"/>
  <c r="W40" i="2" s="1"/>
  <c r="V38" i="2"/>
  <c r="U38" i="2"/>
  <c r="W38" i="2" s="1"/>
  <c r="V36" i="2"/>
  <c r="U36" i="2"/>
  <c r="W36" i="2" s="1"/>
  <c r="U34" i="2"/>
  <c r="W34" i="2" s="1"/>
  <c r="V34" i="2"/>
  <c r="U32" i="2"/>
  <c r="W32" i="2" s="1"/>
  <c r="V32" i="2"/>
  <c r="V30" i="2"/>
  <c r="U30" i="2"/>
  <c r="W30" i="2" s="1"/>
  <c r="V28" i="2"/>
  <c r="U28" i="2"/>
  <c r="W28" i="2" s="1"/>
  <c r="AG17" i="2"/>
  <c r="U49" i="2"/>
  <c r="W49" i="2" s="1"/>
  <c r="V49" i="2"/>
  <c r="U45" i="2"/>
  <c r="W45" i="2" s="1"/>
  <c r="V45" i="2"/>
  <c r="U41" i="2"/>
  <c r="W41" i="2" s="1"/>
  <c r="V41" i="2"/>
  <c r="V37" i="2"/>
  <c r="U37" i="2"/>
  <c r="W37" i="2" s="1"/>
  <c r="U33" i="2"/>
  <c r="W33" i="2" s="1"/>
  <c r="V33" i="2"/>
  <c r="V29" i="2"/>
  <c r="U29" i="2"/>
  <c r="W29" i="2" s="1"/>
  <c r="U50" i="2"/>
  <c r="W50" i="2" s="1"/>
  <c r="V50" i="2"/>
  <c r="B26" i="1"/>
  <c r="N21" i="1"/>
  <c r="E26" i="1" s="1"/>
  <c r="AG16" i="2" l="1"/>
  <c r="AG4" i="2"/>
  <c r="AG8" i="2"/>
  <c r="AG12" i="2"/>
  <c r="AG7" i="2"/>
  <c r="AG11" i="2"/>
  <c r="AH11" i="2" s="1"/>
  <c r="AI11" i="2" s="1"/>
  <c r="K124" i="2"/>
  <c r="K116" i="2"/>
  <c r="K108" i="2"/>
  <c r="K102" i="2"/>
  <c r="K121" i="2"/>
  <c r="K113" i="2"/>
  <c r="K105" i="2"/>
  <c r="K122" i="2"/>
  <c r="K114" i="2"/>
  <c r="K106" i="2"/>
  <c r="K119" i="2"/>
  <c r="K111" i="2"/>
  <c r="K103" i="2"/>
  <c r="K273" i="2"/>
  <c r="K270" i="2"/>
  <c r="K274" i="2"/>
  <c r="K253" i="2"/>
  <c r="K257" i="2"/>
  <c r="K261" i="2"/>
  <c r="K265" i="2"/>
  <c r="K269" i="2"/>
  <c r="K254" i="2"/>
  <c r="K258" i="2"/>
  <c r="K262" i="2"/>
  <c r="AH15" i="2"/>
  <c r="AI15" i="2" s="1"/>
  <c r="AH20" i="2"/>
  <c r="AI20" i="2" s="1"/>
  <c r="AH199" i="2"/>
  <c r="AI199" i="2" s="1"/>
  <c r="AH183" i="2"/>
  <c r="AI183" i="2" s="1"/>
  <c r="AH196" i="2"/>
  <c r="AI196" i="2" s="1"/>
  <c r="AH201" i="2"/>
  <c r="AI201" i="2" s="1"/>
  <c r="AH155" i="2"/>
  <c r="AI155" i="2" s="1"/>
  <c r="AH182" i="2"/>
  <c r="AI182" i="2" s="1"/>
  <c r="AH192" i="2"/>
  <c r="AI192" i="2" s="1"/>
  <c r="AH189" i="2"/>
  <c r="AI189" i="2" s="1"/>
  <c r="AH191" i="2"/>
  <c r="AI191" i="2" s="1"/>
  <c r="AH174" i="2"/>
  <c r="AI174" i="2" s="1"/>
  <c r="AH16" i="2"/>
  <c r="AI16" i="2" s="1"/>
  <c r="AH159" i="2"/>
  <c r="AI159" i="2" s="1"/>
  <c r="AH166" i="2"/>
  <c r="AI166" i="2" s="1"/>
  <c r="AH162" i="2"/>
  <c r="AI162" i="2" s="1"/>
  <c r="AH156" i="2"/>
  <c r="AI156" i="2" s="1"/>
  <c r="AH167" i="2"/>
  <c r="AI167" i="2" s="1"/>
  <c r="AH154" i="2"/>
  <c r="AI154" i="2" s="1"/>
  <c r="AH178" i="2"/>
  <c r="AI178" i="2" s="1"/>
  <c r="AH153" i="2"/>
  <c r="AI153" i="2" s="1"/>
  <c r="AH169" i="2"/>
  <c r="AI169" i="2" s="1"/>
  <c r="AH173" i="2"/>
  <c r="AI173" i="2" s="1"/>
  <c r="AH180" i="2"/>
  <c r="AI180" i="2" s="1"/>
  <c r="AH163" i="2"/>
  <c r="AI163" i="2" s="1"/>
  <c r="AH8" i="2"/>
  <c r="AI8" i="2" s="1"/>
  <c r="AH6" i="2"/>
  <c r="AI6" i="2" s="1"/>
  <c r="AH26" i="2"/>
  <c r="AI26" i="2" s="1"/>
  <c r="AH10" i="2"/>
  <c r="AI10" i="2" s="1"/>
  <c r="AH13" i="2"/>
  <c r="AI13" i="2" s="1"/>
  <c r="AH170" i="2"/>
  <c r="AI170" i="2" s="1"/>
  <c r="AH9" i="2"/>
  <c r="AI9" i="2" s="1"/>
  <c r="AH160" i="2"/>
  <c r="AI160" i="2" s="1"/>
  <c r="AH18" i="2"/>
  <c r="AI18" i="2" s="1"/>
  <c r="AH19" i="2"/>
  <c r="AI19" i="2" s="1"/>
  <c r="AH3" i="2"/>
  <c r="AI3" i="2" s="1"/>
  <c r="AH17" i="2"/>
  <c r="AI17" i="2" s="1"/>
  <c r="AH23" i="2"/>
  <c r="AI23" i="2" s="1"/>
  <c r="AH24" i="2"/>
  <c r="AI24" i="2" s="1"/>
  <c r="AH187" i="2"/>
  <c r="AI187" i="2" s="1"/>
  <c r="AH186" i="2"/>
  <c r="AI186" i="2" s="1"/>
  <c r="AH193" i="2"/>
  <c r="AI193" i="2" s="1"/>
  <c r="AH184" i="2"/>
  <c r="AI184" i="2" s="1"/>
  <c r="AH185" i="2"/>
  <c r="AI185" i="2" s="1"/>
  <c r="AH198" i="2"/>
  <c r="AI198" i="2" s="1"/>
  <c r="AH181" i="2"/>
  <c r="AI181" i="2" s="1"/>
  <c r="AH197" i="2"/>
  <c r="AI197" i="2" s="1"/>
  <c r="AH165" i="2"/>
  <c r="AI165" i="2" s="1"/>
  <c r="AH12" i="2"/>
  <c r="AI12" i="2" s="1"/>
  <c r="AH176" i="2"/>
  <c r="AI176" i="2" s="1"/>
  <c r="AH164" i="2"/>
  <c r="AI164" i="2" s="1"/>
  <c r="AH195" i="2"/>
  <c r="AI195" i="2" s="1"/>
  <c r="AH168" i="2"/>
  <c r="AI168" i="2" s="1"/>
  <c r="AH175" i="2"/>
  <c r="AH158" i="2"/>
  <c r="AI158" i="2" s="1"/>
  <c r="AH7" i="2"/>
  <c r="AI7" i="2" s="1"/>
  <c r="AH4" i="2"/>
  <c r="AI4" i="2" s="1"/>
  <c r="AH179" i="2"/>
  <c r="AI179" i="2" s="1"/>
  <c r="AH172" i="2"/>
  <c r="AH157" i="2"/>
  <c r="AI157" i="2" s="1"/>
  <c r="AH194" i="2"/>
  <c r="AH188" i="2"/>
  <c r="AI188" i="2" s="1"/>
  <c r="AH14" i="2"/>
  <c r="AH25" i="2"/>
  <c r="AI25" i="2" s="1"/>
  <c r="AH5" i="2"/>
  <c r="AH152" i="2"/>
  <c r="AI152" i="2" s="1"/>
  <c r="AH171" i="2"/>
  <c r="AH177" i="2"/>
  <c r="AI177" i="2" s="1"/>
  <c r="AH200" i="2"/>
  <c r="AH190" i="2"/>
  <c r="AI190" i="2" s="1"/>
  <c r="AH21" i="2"/>
  <c r="AH22" i="2"/>
  <c r="AI22" i="2" s="1"/>
  <c r="AH311" i="2"/>
  <c r="AI311" i="2" s="1"/>
  <c r="AH303" i="2"/>
  <c r="AI303" i="2" s="1"/>
  <c r="AH306" i="2"/>
  <c r="AI306" i="2" s="1"/>
  <c r="AH309" i="2"/>
  <c r="AI309" i="2" s="1"/>
  <c r="AH304" i="2"/>
  <c r="AI304" i="2" s="1"/>
  <c r="AH310" i="2"/>
  <c r="AI310" i="2" s="1"/>
  <c r="AH307" i="2"/>
  <c r="AI307" i="2" s="1"/>
  <c r="AH308" i="2"/>
  <c r="AI308" i="2" s="1"/>
  <c r="AH305" i="2"/>
  <c r="AI305" i="2" s="1"/>
  <c r="AH302" i="2"/>
  <c r="AI302" i="2" s="1"/>
  <c r="W161" i="2"/>
  <c r="AG161" i="2" s="1"/>
  <c r="W2" i="2"/>
  <c r="AG2" i="2" s="1"/>
  <c r="AG30" i="2"/>
  <c r="O250" i="2"/>
  <c r="T250" i="2" s="1"/>
  <c r="O248" i="2"/>
  <c r="T248" i="2" s="1"/>
  <c r="O246" i="2"/>
  <c r="T246" i="2" s="1"/>
  <c r="O242" i="2"/>
  <c r="T242" i="2" s="1"/>
  <c r="O238" i="2"/>
  <c r="T238" i="2" s="1"/>
  <c r="O236" i="2"/>
  <c r="T236" i="2" s="1"/>
  <c r="O234" i="2"/>
  <c r="O232" i="2"/>
  <c r="T232" i="2" s="1"/>
  <c r="O230" i="2"/>
  <c r="T230" i="2" s="1"/>
  <c r="O228" i="2"/>
  <c r="T228" i="2" s="1"/>
  <c r="O251" i="2"/>
  <c r="T251" i="2" s="1"/>
  <c r="O249" i="2"/>
  <c r="T249" i="2" s="1"/>
  <c r="O247" i="2"/>
  <c r="T247" i="2" s="1"/>
  <c r="O243" i="2"/>
  <c r="T243" i="2" s="1"/>
  <c r="O239" i="2"/>
  <c r="T239" i="2" s="1"/>
  <c r="O244" i="2"/>
  <c r="T244" i="2" s="1"/>
  <c r="O240" i="2"/>
  <c r="T240" i="2" s="1"/>
  <c r="O245" i="2"/>
  <c r="T245" i="2" s="1"/>
  <c r="O241" i="2"/>
  <c r="T241" i="2" s="1"/>
  <c r="O237" i="2"/>
  <c r="T237" i="2" s="1"/>
  <c r="O235" i="2"/>
  <c r="T235" i="2" s="1"/>
  <c r="O233" i="2"/>
  <c r="T233" i="2" s="1"/>
  <c r="O231" i="2"/>
  <c r="T231" i="2" s="1"/>
  <c r="O229" i="2"/>
  <c r="T229" i="2" s="1"/>
  <c r="O227" i="2"/>
  <c r="T227" i="2" s="1"/>
  <c r="O78" i="2"/>
  <c r="T78" i="2" s="1"/>
  <c r="O80" i="2"/>
  <c r="T80" i="2" s="1"/>
  <c r="O82" i="2"/>
  <c r="T82" i="2" s="1"/>
  <c r="O84" i="2"/>
  <c r="T84" i="2" s="1"/>
  <c r="O86" i="2"/>
  <c r="T86" i="2" s="1"/>
  <c r="O88" i="2"/>
  <c r="T88" i="2" s="1"/>
  <c r="O90" i="2"/>
  <c r="O92" i="2"/>
  <c r="T92" i="2" s="1"/>
  <c r="O94" i="2"/>
  <c r="T94" i="2" s="1"/>
  <c r="O96" i="2"/>
  <c r="T96" i="2" s="1"/>
  <c r="O98" i="2"/>
  <c r="T98" i="2" s="1"/>
  <c r="O100" i="2"/>
  <c r="T100" i="2" s="1"/>
  <c r="O77" i="2"/>
  <c r="T77" i="2" s="1"/>
  <c r="O79" i="2"/>
  <c r="T79" i="2" s="1"/>
  <c r="O81" i="2"/>
  <c r="T81" i="2" s="1"/>
  <c r="O83" i="2"/>
  <c r="T83" i="2" s="1"/>
  <c r="O85" i="2"/>
  <c r="T85" i="2" s="1"/>
  <c r="O87" i="2"/>
  <c r="O89" i="2"/>
  <c r="T89" i="2" s="1"/>
  <c r="O91" i="2"/>
  <c r="T91" i="2" s="1"/>
  <c r="O93" i="2"/>
  <c r="T93" i="2" s="1"/>
  <c r="O95" i="2"/>
  <c r="T95" i="2" s="1"/>
  <c r="O97" i="2"/>
  <c r="T97" i="2" s="1"/>
  <c r="O99" i="2"/>
  <c r="T99" i="2" s="1"/>
  <c r="O101" i="2"/>
  <c r="K225" i="2"/>
  <c r="T225" i="2" s="1"/>
  <c r="K226" i="2"/>
  <c r="T226" i="2" s="1"/>
  <c r="K220" i="2"/>
  <c r="T220" i="2" s="1"/>
  <c r="K218" i="2"/>
  <c r="T218" i="2" s="1"/>
  <c r="K216" i="2"/>
  <c r="T216" i="2" s="1"/>
  <c r="K214" i="2"/>
  <c r="T214" i="2" s="1"/>
  <c r="K212" i="2"/>
  <c r="T212" i="2" s="1"/>
  <c r="K210" i="2"/>
  <c r="T210" i="2" s="1"/>
  <c r="K208" i="2"/>
  <c r="T208" i="2" s="1"/>
  <c r="K206" i="2"/>
  <c r="T206" i="2" s="1"/>
  <c r="K204" i="2"/>
  <c r="T204" i="2" s="1"/>
  <c r="K202" i="2"/>
  <c r="T202" i="2" s="1"/>
  <c r="K221" i="2"/>
  <c r="T221" i="2" s="1"/>
  <c r="K219" i="2"/>
  <c r="T219" i="2" s="1"/>
  <c r="K217" i="2"/>
  <c r="T217" i="2" s="1"/>
  <c r="K215" i="2"/>
  <c r="T215" i="2" s="1"/>
  <c r="K213" i="2"/>
  <c r="T213" i="2" s="1"/>
  <c r="K211" i="2"/>
  <c r="T211" i="2" s="1"/>
  <c r="K209" i="2"/>
  <c r="T209" i="2" s="1"/>
  <c r="K207" i="2"/>
  <c r="T207" i="2" s="1"/>
  <c r="K205" i="2"/>
  <c r="T205" i="2" s="1"/>
  <c r="K203" i="2"/>
  <c r="T203" i="2" s="1"/>
  <c r="K224" i="2"/>
  <c r="T224" i="2" s="1"/>
  <c r="K222" i="2"/>
  <c r="T222" i="2" s="1"/>
  <c r="K223" i="2"/>
  <c r="T223" i="2" s="1"/>
  <c r="K53" i="2"/>
  <c r="T53" i="2" s="1"/>
  <c r="K57" i="2"/>
  <c r="T57" i="2" s="1"/>
  <c r="K61" i="2"/>
  <c r="T61" i="2" s="1"/>
  <c r="K65" i="2"/>
  <c r="T65" i="2" s="1"/>
  <c r="K69" i="2"/>
  <c r="T69" i="2" s="1"/>
  <c r="K73" i="2"/>
  <c r="T73" i="2" s="1"/>
  <c r="K52" i="2"/>
  <c r="T52" i="2" s="1"/>
  <c r="K56" i="2"/>
  <c r="T56" i="2" s="1"/>
  <c r="K60" i="2"/>
  <c r="T60" i="2" s="1"/>
  <c r="K64" i="2"/>
  <c r="T64" i="2" s="1"/>
  <c r="K68" i="2"/>
  <c r="T68" i="2" s="1"/>
  <c r="K72" i="2"/>
  <c r="T72" i="2" s="1"/>
  <c r="K76" i="2"/>
  <c r="T76" i="2" s="1"/>
  <c r="K55" i="2"/>
  <c r="T55" i="2" s="1"/>
  <c r="K59" i="2"/>
  <c r="T59" i="2" s="1"/>
  <c r="K63" i="2"/>
  <c r="T63" i="2" s="1"/>
  <c r="K67" i="2"/>
  <c r="T67" i="2" s="1"/>
  <c r="K71" i="2"/>
  <c r="T71" i="2" s="1"/>
  <c r="K75" i="2"/>
  <c r="T75" i="2" s="1"/>
  <c r="K54" i="2"/>
  <c r="T54" i="2" s="1"/>
  <c r="K58" i="2"/>
  <c r="T58" i="2" s="1"/>
  <c r="K62" i="2"/>
  <c r="T62" i="2" s="1"/>
  <c r="K66" i="2"/>
  <c r="T66" i="2" s="1"/>
  <c r="K70" i="2"/>
  <c r="T70" i="2" s="1"/>
  <c r="K74" i="2"/>
  <c r="T74" i="2" s="1"/>
  <c r="U129" i="2"/>
  <c r="W129" i="2" s="1"/>
  <c r="V129" i="2"/>
  <c r="V141" i="2"/>
  <c r="U141" i="2"/>
  <c r="W141" i="2" s="1"/>
  <c r="V130" i="2"/>
  <c r="U130" i="2"/>
  <c r="W130" i="2" s="1"/>
  <c r="V138" i="2"/>
  <c r="U138" i="2"/>
  <c r="W138" i="2" s="1"/>
  <c r="U146" i="2"/>
  <c r="W146" i="2" s="1"/>
  <c r="V146" i="2"/>
  <c r="V139" i="2"/>
  <c r="U139" i="2"/>
  <c r="W139" i="2" s="1"/>
  <c r="V127" i="2"/>
  <c r="U127" i="2"/>
  <c r="W127" i="2" s="1"/>
  <c r="V137" i="2"/>
  <c r="U137" i="2"/>
  <c r="W137" i="2" s="1"/>
  <c r="U128" i="2"/>
  <c r="W128" i="2" s="1"/>
  <c r="V128" i="2"/>
  <c r="V136" i="2"/>
  <c r="U136" i="2"/>
  <c r="W136" i="2" s="1"/>
  <c r="U144" i="2"/>
  <c r="W144" i="2" s="1"/>
  <c r="V144" i="2"/>
  <c r="U135" i="2"/>
  <c r="W135" i="2" s="1"/>
  <c r="V135" i="2"/>
  <c r="U149" i="2"/>
  <c r="W149" i="2" s="1"/>
  <c r="V149" i="2"/>
  <c r="U280" i="2"/>
  <c r="W280" i="2" s="1"/>
  <c r="V280" i="2"/>
  <c r="U284" i="2"/>
  <c r="W284" i="2" s="1"/>
  <c r="V284" i="2"/>
  <c r="U288" i="2"/>
  <c r="W288" i="2" s="1"/>
  <c r="V288" i="2"/>
  <c r="U292" i="2"/>
  <c r="W292" i="2" s="1"/>
  <c r="V292" i="2"/>
  <c r="U296" i="2"/>
  <c r="W296" i="2" s="1"/>
  <c r="V296" i="2"/>
  <c r="U300" i="2"/>
  <c r="W300" i="2" s="1"/>
  <c r="V300" i="2"/>
  <c r="U279" i="2"/>
  <c r="W279" i="2" s="1"/>
  <c r="V279" i="2"/>
  <c r="U283" i="2"/>
  <c r="W283" i="2" s="1"/>
  <c r="V283" i="2"/>
  <c r="U287" i="2"/>
  <c r="W287" i="2" s="1"/>
  <c r="V287" i="2"/>
  <c r="U291" i="2"/>
  <c r="W291" i="2" s="1"/>
  <c r="V291" i="2"/>
  <c r="U295" i="2"/>
  <c r="W295" i="2" s="1"/>
  <c r="V295" i="2"/>
  <c r="U299" i="2"/>
  <c r="W299" i="2" s="1"/>
  <c r="V299" i="2"/>
  <c r="T124" i="2"/>
  <c r="T116" i="2"/>
  <c r="T108" i="2"/>
  <c r="T102" i="2"/>
  <c r="T121" i="2"/>
  <c r="T113" i="2"/>
  <c r="T105" i="2"/>
  <c r="T122" i="2"/>
  <c r="T114" i="2"/>
  <c r="T106" i="2"/>
  <c r="T119" i="2"/>
  <c r="T111" i="2"/>
  <c r="T103" i="2"/>
  <c r="T273" i="2"/>
  <c r="T270" i="2"/>
  <c r="T274" i="2"/>
  <c r="T253" i="2"/>
  <c r="T257" i="2"/>
  <c r="T261" i="2"/>
  <c r="T265" i="2"/>
  <c r="T269" i="2"/>
  <c r="T254" i="2"/>
  <c r="T258" i="2"/>
  <c r="T262" i="2"/>
  <c r="T266" i="2"/>
  <c r="T87" i="2"/>
  <c r="T101" i="2"/>
  <c r="T90" i="2"/>
  <c r="T234" i="2"/>
  <c r="U133" i="2"/>
  <c r="W133" i="2" s="1"/>
  <c r="V133" i="2"/>
  <c r="U151" i="2"/>
  <c r="W151" i="2" s="1"/>
  <c r="V151" i="2"/>
  <c r="U134" i="2"/>
  <c r="W134" i="2" s="1"/>
  <c r="V134" i="2"/>
  <c r="V142" i="2"/>
  <c r="U142" i="2"/>
  <c r="W142" i="2" s="1"/>
  <c r="V150" i="2"/>
  <c r="U150" i="2"/>
  <c r="W150" i="2" s="1"/>
  <c r="V147" i="2"/>
  <c r="U147" i="2"/>
  <c r="W147" i="2" s="1"/>
  <c r="V131" i="2"/>
  <c r="U131" i="2"/>
  <c r="W131" i="2" s="1"/>
  <c r="V145" i="2"/>
  <c r="U145" i="2"/>
  <c r="W145" i="2" s="1"/>
  <c r="U132" i="2"/>
  <c r="W132" i="2" s="1"/>
  <c r="V132" i="2"/>
  <c r="U140" i="2"/>
  <c r="W140" i="2" s="1"/>
  <c r="V140" i="2"/>
  <c r="U148" i="2"/>
  <c r="W148" i="2" s="1"/>
  <c r="V148" i="2"/>
  <c r="V143" i="2"/>
  <c r="U143" i="2"/>
  <c r="W143" i="2" s="1"/>
  <c r="U278" i="2"/>
  <c r="W278" i="2" s="1"/>
  <c r="V278" i="2"/>
  <c r="U282" i="2"/>
  <c r="W282" i="2" s="1"/>
  <c r="V282" i="2"/>
  <c r="U286" i="2"/>
  <c r="W286" i="2" s="1"/>
  <c r="V286" i="2"/>
  <c r="U290" i="2"/>
  <c r="W290" i="2" s="1"/>
  <c r="V290" i="2"/>
  <c r="U294" i="2"/>
  <c r="W294" i="2" s="1"/>
  <c r="V294" i="2"/>
  <c r="U298" i="2"/>
  <c r="W298" i="2" s="1"/>
  <c r="V298" i="2"/>
  <c r="U277" i="2"/>
  <c r="W277" i="2" s="1"/>
  <c r="V277" i="2"/>
  <c r="U281" i="2"/>
  <c r="W281" i="2" s="1"/>
  <c r="V281" i="2"/>
  <c r="U285" i="2"/>
  <c r="W285" i="2" s="1"/>
  <c r="V285" i="2"/>
  <c r="U289" i="2"/>
  <c r="W289" i="2" s="1"/>
  <c r="V289" i="2"/>
  <c r="U293" i="2"/>
  <c r="W293" i="2" s="1"/>
  <c r="V293" i="2"/>
  <c r="U297" i="2"/>
  <c r="W297" i="2" s="1"/>
  <c r="V297" i="2"/>
  <c r="U301" i="2"/>
  <c r="W301" i="2" s="1"/>
  <c r="V301" i="2"/>
  <c r="T120" i="2"/>
  <c r="T112" i="2"/>
  <c r="T104" i="2"/>
  <c r="T125" i="2"/>
  <c r="T117" i="2"/>
  <c r="T109" i="2"/>
  <c r="T126" i="2"/>
  <c r="T118" i="2"/>
  <c r="T110" i="2"/>
  <c r="T123" i="2"/>
  <c r="T115" i="2"/>
  <c r="T107" i="2"/>
  <c r="T271" i="2"/>
  <c r="T275" i="2"/>
  <c r="T272" i="2"/>
  <c r="T276" i="2"/>
  <c r="T255" i="2"/>
  <c r="T259" i="2"/>
  <c r="T263" i="2"/>
  <c r="T267" i="2"/>
  <c r="T252" i="2"/>
  <c r="T256" i="2"/>
  <c r="T260" i="2"/>
  <c r="T264" i="2"/>
  <c r="T268" i="2"/>
  <c r="AG29" i="2"/>
  <c r="AG37" i="2"/>
  <c r="AG28" i="2"/>
  <c r="AG42" i="2"/>
  <c r="AG50" i="2"/>
  <c r="AG34" i="2"/>
  <c r="AG36" i="2"/>
  <c r="AG38" i="2"/>
  <c r="AG48" i="2"/>
  <c r="AG27" i="2"/>
  <c r="AG35" i="2"/>
  <c r="AG39" i="2"/>
  <c r="AG51" i="2"/>
  <c r="AG46" i="2"/>
  <c r="AG32" i="2"/>
  <c r="AG40" i="2"/>
  <c r="AG33" i="2"/>
  <c r="AG41" i="2"/>
  <c r="AG45" i="2"/>
  <c r="AG49" i="2"/>
  <c r="AG44" i="2"/>
  <c r="AG31" i="2"/>
  <c r="AG43" i="2"/>
  <c r="AG47" i="2"/>
  <c r="AH31" i="2" l="1"/>
  <c r="AI31" i="2" s="1"/>
  <c r="AH41" i="2"/>
  <c r="AI41" i="2" s="1"/>
  <c r="AH46" i="2"/>
  <c r="AI46" i="2" s="1"/>
  <c r="AH39" i="2"/>
  <c r="AI39" i="2" s="1"/>
  <c r="AH38" i="2"/>
  <c r="AI38" i="2" s="1"/>
  <c r="AH37" i="2"/>
  <c r="AI37" i="2" s="1"/>
  <c r="AH43" i="2"/>
  <c r="AI43" i="2" s="1"/>
  <c r="AH44" i="2"/>
  <c r="AI44" i="2" s="1"/>
  <c r="AH45" i="2"/>
  <c r="AI45" i="2" s="1"/>
  <c r="AH33" i="2"/>
  <c r="AI33" i="2" s="1"/>
  <c r="AH32" i="2"/>
  <c r="AI32" i="2" s="1"/>
  <c r="AH51" i="2"/>
  <c r="AI51" i="2" s="1"/>
  <c r="AH35" i="2"/>
  <c r="AI35" i="2" s="1"/>
  <c r="AH48" i="2"/>
  <c r="AI48" i="2" s="1"/>
  <c r="AH36" i="2"/>
  <c r="AI36" i="2" s="1"/>
  <c r="AH50" i="2"/>
  <c r="AI50" i="2" s="1"/>
  <c r="AH28" i="2"/>
  <c r="AI28" i="2" s="1"/>
  <c r="AH29" i="2"/>
  <c r="AI29" i="2" s="1"/>
  <c r="AH2" i="2"/>
  <c r="AI2" i="2" s="1"/>
  <c r="AI21" i="2"/>
  <c r="AJ21" i="2" s="1"/>
  <c r="AK21" i="2" s="1"/>
  <c r="AI200" i="2"/>
  <c r="AJ200" i="2" s="1"/>
  <c r="AK200" i="2" s="1"/>
  <c r="AI171" i="2"/>
  <c r="AJ171" i="2" s="1"/>
  <c r="AK171" i="2" s="1"/>
  <c r="AI5" i="2"/>
  <c r="AJ5" i="2" s="1"/>
  <c r="AK5" i="2" s="1"/>
  <c r="AI14" i="2"/>
  <c r="AJ14" i="2" s="1"/>
  <c r="AK14" i="2" s="1"/>
  <c r="AI194" i="2"/>
  <c r="AJ194" i="2" s="1"/>
  <c r="AK194" i="2" s="1"/>
  <c r="AI172" i="2"/>
  <c r="AJ172" i="2" s="1"/>
  <c r="AK172" i="2" s="1"/>
  <c r="AI175" i="2"/>
  <c r="AJ175" i="2" s="1"/>
  <c r="AK175" i="2" s="1"/>
  <c r="AH47" i="2"/>
  <c r="AI47" i="2" s="1"/>
  <c r="AH49" i="2"/>
  <c r="AI49" i="2" s="1"/>
  <c r="AH40" i="2"/>
  <c r="AI40" i="2" s="1"/>
  <c r="AH27" i="2"/>
  <c r="AI27" i="2" s="1"/>
  <c r="AH34" i="2"/>
  <c r="AI34" i="2" s="1"/>
  <c r="AH42" i="2"/>
  <c r="AI42" i="2" s="1"/>
  <c r="AH30" i="2"/>
  <c r="AI30" i="2" s="1"/>
  <c r="AH161" i="2"/>
  <c r="AI161" i="2" s="1"/>
  <c r="AJ22" i="2"/>
  <c r="AK22" i="2" s="1"/>
  <c r="AJ190" i="2"/>
  <c r="AK190" i="2" s="1"/>
  <c r="AJ177" i="2"/>
  <c r="AK177" i="2" s="1"/>
  <c r="AJ152" i="2"/>
  <c r="AK152" i="2" s="1"/>
  <c r="AJ25" i="2"/>
  <c r="AK25" i="2" s="1"/>
  <c r="AJ188" i="2"/>
  <c r="AK188" i="2" s="1"/>
  <c r="AJ157" i="2"/>
  <c r="AK157" i="2" s="1"/>
  <c r="AJ179" i="2"/>
  <c r="AK179" i="2" s="1"/>
  <c r="AJ4" i="2"/>
  <c r="AK4" i="2" s="1"/>
  <c r="AJ7" i="2"/>
  <c r="AK7" i="2" s="1"/>
  <c r="AJ158" i="2"/>
  <c r="AK158" i="2" s="1"/>
  <c r="AJ168" i="2"/>
  <c r="AK168" i="2" s="1"/>
  <c r="AJ195" i="2"/>
  <c r="AK195" i="2" s="1"/>
  <c r="AJ164" i="2"/>
  <c r="AK164" i="2" s="1"/>
  <c r="AJ176" i="2"/>
  <c r="AK176" i="2" s="1"/>
  <c r="AJ12" i="2"/>
  <c r="AK12" i="2" s="1"/>
  <c r="AJ165" i="2"/>
  <c r="AK165" i="2" s="1"/>
  <c r="AJ197" i="2"/>
  <c r="AK197" i="2" s="1"/>
  <c r="AJ181" i="2"/>
  <c r="AK181" i="2" s="1"/>
  <c r="AJ198" i="2"/>
  <c r="AK198" i="2" s="1"/>
  <c r="AJ185" i="2"/>
  <c r="AK185" i="2" s="1"/>
  <c r="AJ184" i="2"/>
  <c r="AK184" i="2" s="1"/>
  <c r="AJ193" i="2"/>
  <c r="AK193" i="2" s="1"/>
  <c r="AJ186" i="2"/>
  <c r="AK186" i="2" s="1"/>
  <c r="AJ187" i="2"/>
  <c r="AK187" i="2" s="1"/>
  <c r="AJ24" i="2"/>
  <c r="AK24" i="2" s="1"/>
  <c r="AJ23" i="2"/>
  <c r="AK23" i="2" s="1"/>
  <c r="AJ17" i="2"/>
  <c r="AK17" i="2" s="1"/>
  <c r="AJ3" i="2"/>
  <c r="AK3" i="2" s="1"/>
  <c r="AJ19" i="2"/>
  <c r="AK19" i="2" s="1"/>
  <c r="AJ18" i="2"/>
  <c r="AK18" i="2" s="1"/>
  <c r="AJ160" i="2"/>
  <c r="AK160" i="2" s="1"/>
  <c r="AJ9" i="2"/>
  <c r="AK9" i="2" s="1"/>
  <c r="AJ170" i="2"/>
  <c r="AK170" i="2" s="1"/>
  <c r="AJ13" i="2"/>
  <c r="AK13" i="2" s="1"/>
  <c r="AJ10" i="2"/>
  <c r="AK10" i="2" s="1"/>
  <c r="AJ26" i="2"/>
  <c r="AK26" i="2" s="1"/>
  <c r="AJ6" i="2"/>
  <c r="AK6" i="2" s="1"/>
  <c r="AJ8" i="2"/>
  <c r="AK8" i="2" s="1"/>
  <c r="AJ163" i="2"/>
  <c r="AK163" i="2" s="1"/>
  <c r="AJ180" i="2"/>
  <c r="AK180" i="2" s="1"/>
  <c r="AJ173" i="2"/>
  <c r="AK173" i="2" s="1"/>
  <c r="AJ169" i="2"/>
  <c r="AK169" i="2" s="1"/>
  <c r="AJ153" i="2"/>
  <c r="AK153" i="2" s="1"/>
  <c r="AJ178" i="2"/>
  <c r="AK178" i="2" s="1"/>
  <c r="AJ154" i="2"/>
  <c r="AK154" i="2" s="1"/>
  <c r="AJ167" i="2"/>
  <c r="AK167" i="2" s="1"/>
  <c r="AJ156" i="2"/>
  <c r="AK156" i="2" s="1"/>
  <c r="AJ162" i="2"/>
  <c r="AK162" i="2" s="1"/>
  <c r="AJ166" i="2"/>
  <c r="AK166" i="2" s="1"/>
  <c r="AJ159" i="2"/>
  <c r="AK159" i="2" s="1"/>
  <c r="AJ16" i="2"/>
  <c r="AK16" i="2" s="1"/>
  <c r="AJ11" i="2"/>
  <c r="AK11" i="2" s="1"/>
  <c r="AJ174" i="2"/>
  <c r="AK174" i="2" s="1"/>
  <c r="AJ191" i="2"/>
  <c r="AK191" i="2" s="1"/>
  <c r="AJ189" i="2"/>
  <c r="AK189" i="2" s="1"/>
  <c r="AJ192" i="2"/>
  <c r="AK192" i="2" s="1"/>
  <c r="AJ182" i="2"/>
  <c r="AK182" i="2" s="1"/>
  <c r="AJ155" i="2"/>
  <c r="AK155" i="2" s="1"/>
  <c r="AJ201" i="2"/>
  <c r="AK201" i="2" s="1"/>
  <c r="AJ196" i="2"/>
  <c r="AK196" i="2" s="1"/>
  <c r="AJ183" i="2"/>
  <c r="AK183" i="2" s="1"/>
  <c r="AJ199" i="2"/>
  <c r="AK199" i="2" s="1"/>
  <c r="AJ20" i="2"/>
  <c r="AK20" i="2" s="1"/>
  <c r="AJ15" i="2"/>
  <c r="AK15" i="2" s="1"/>
  <c r="AJ302" i="2"/>
  <c r="AK302" i="2" s="1"/>
  <c r="AJ305" i="2"/>
  <c r="AK305" i="2" s="1"/>
  <c r="AJ308" i="2"/>
  <c r="AK308" i="2" s="1"/>
  <c r="AJ307" i="2"/>
  <c r="AK307" i="2" s="1"/>
  <c r="AJ310" i="2"/>
  <c r="AK310" i="2" s="1"/>
  <c r="AJ304" i="2"/>
  <c r="AK304" i="2" s="1"/>
  <c r="AJ309" i="2"/>
  <c r="AK309" i="2" s="1"/>
  <c r="AJ306" i="2"/>
  <c r="AK306" i="2" s="1"/>
  <c r="AJ303" i="2"/>
  <c r="AK303" i="2" s="1"/>
  <c r="AJ311" i="2"/>
  <c r="AK311" i="2" s="1"/>
  <c r="AG277" i="2"/>
  <c r="AG296" i="2"/>
  <c r="AG280" i="2"/>
  <c r="AG301" i="2"/>
  <c r="AG285" i="2"/>
  <c r="AG281" i="2"/>
  <c r="AG294" i="2"/>
  <c r="AG286" i="2"/>
  <c r="AG278" i="2"/>
  <c r="AG148" i="2"/>
  <c r="AG140" i="2"/>
  <c r="AG132" i="2"/>
  <c r="AG134" i="2"/>
  <c r="AG151" i="2"/>
  <c r="AG133" i="2"/>
  <c r="AG287" i="2"/>
  <c r="AG279" i="2"/>
  <c r="AG300" i="2"/>
  <c r="AG293" i="2"/>
  <c r="AG295" i="2"/>
  <c r="AG291" i="2"/>
  <c r="AG288" i="2"/>
  <c r="AG284" i="2"/>
  <c r="AG149" i="2"/>
  <c r="AG135" i="2"/>
  <c r="AG144" i="2"/>
  <c r="AG128" i="2"/>
  <c r="AG146" i="2"/>
  <c r="AG129" i="2"/>
  <c r="AG297" i="2"/>
  <c r="AG289" i="2"/>
  <c r="AG298" i="2"/>
  <c r="AG290" i="2"/>
  <c r="AG282" i="2"/>
  <c r="AG299" i="2"/>
  <c r="AG283" i="2"/>
  <c r="AG292" i="2"/>
  <c r="V264" i="2"/>
  <c r="U264" i="2"/>
  <c r="W264" i="2" s="1"/>
  <c r="U256" i="2"/>
  <c r="W256" i="2" s="1"/>
  <c r="V256" i="2"/>
  <c r="U267" i="2"/>
  <c r="W267" i="2" s="1"/>
  <c r="V267" i="2"/>
  <c r="U259" i="2"/>
  <c r="W259" i="2" s="1"/>
  <c r="V259" i="2"/>
  <c r="U276" i="2"/>
  <c r="W276" i="2" s="1"/>
  <c r="V276" i="2"/>
  <c r="U275" i="2"/>
  <c r="W275" i="2" s="1"/>
  <c r="V275" i="2"/>
  <c r="V107" i="2"/>
  <c r="U107" i="2"/>
  <c r="W107" i="2" s="1"/>
  <c r="V123" i="2"/>
  <c r="U123" i="2"/>
  <c r="W123" i="2" s="1"/>
  <c r="V118" i="2"/>
  <c r="U118" i="2"/>
  <c r="W118" i="2" s="1"/>
  <c r="U109" i="2"/>
  <c r="W109" i="2" s="1"/>
  <c r="V109" i="2"/>
  <c r="U125" i="2"/>
  <c r="W125" i="2" s="1"/>
  <c r="V125" i="2"/>
  <c r="V112" i="2"/>
  <c r="U112" i="2"/>
  <c r="W112" i="2" s="1"/>
  <c r="U268" i="2"/>
  <c r="W268" i="2" s="1"/>
  <c r="V268" i="2"/>
  <c r="U260" i="2"/>
  <c r="W260" i="2" s="1"/>
  <c r="V260" i="2"/>
  <c r="U252" i="2"/>
  <c r="W252" i="2" s="1"/>
  <c r="V252" i="2"/>
  <c r="U263" i="2"/>
  <c r="W263" i="2" s="1"/>
  <c r="V263" i="2"/>
  <c r="U255" i="2"/>
  <c r="W255" i="2" s="1"/>
  <c r="V255" i="2"/>
  <c r="U272" i="2"/>
  <c r="W272" i="2" s="1"/>
  <c r="V272" i="2"/>
  <c r="U271" i="2"/>
  <c r="W271" i="2" s="1"/>
  <c r="V271" i="2"/>
  <c r="U115" i="2"/>
  <c r="W115" i="2" s="1"/>
  <c r="V115" i="2"/>
  <c r="V110" i="2"/>
  <c r="U110" i="2"/>
  <c r="W110" i="2" s="1"/>
  <c r="V126" i="2"/>
  <c r="U126" i="2"/>
  <c r="W126" i="2" s="1"/>
  <c r="V117" i="2"/>
  <c r="U117" i="2"/>
  <c r="W117" i="2" s="1"/>
  <c r="U104" i="2"/>
  <c r="W104" i="2" s="1"/>
  <c r="V104" i="2"/>
  <c r="V120" i="2"/>
  <c r="U120" i="2"/>
  <c r="W120" i="2" s="1"/>
  <c r="AG143" i="2"/>
  <c r="AG145" i="2"/>
  <c r="AG131" i="2"/>
  <c r="AG147" i="2"/>
  <c r="AG150" i="2"/>
  <c r="AG142" i="2"/>
  <c r="U237" i="2"/>
  <c r="W237" i="2" s="1"/>
  <c r="V237" i="2"/>
  <c r="U229" i="2"/>
  <c r="W229" i="2" s="1"/>
  <c r="V229" i="2"/>
  <c r="U238" i="2"/>
  <c r="W238" i="2" s="1"/>
  <c r="V238" i="2"/>
  <c r="U230" i="2"/>
  <c r="W230" i="2" s="1"/>
  <c r="V230" i="2"/>
  <c r="U246" i="2"/>
  <c r="W246" i="2" s="1"/>
  <c r="V246" i="2"/>
  <c r="U247" i="2"/>
  <c r="W247" i="2" s="1"/>
  <c r="V247" i="2"/>
  <c r="U239" i="2"/>
  <c r="W239" i="2" s="1"/>
  <c r="V239" i="2"/>
  <c r="V90" i="2"/>
  <c r="U90" i="2"/>
  <c r="W90" i="2" s="1"/>
  <c r="V85" i="2"/>
  <c r="U85" i="2"/>
  <c r="W85" i="2" s="1"/>
  <c r="U101" i="2"/>
  <c r="W101" i="2" s="1"/>
  <c r="V101" i="2"/>
  <c r="V88" i="2"/>
  <c r="U88" i="2"/>
  <c r="W88" i="2" s="1"/>
  <c r="U79" i="2"/>
  <c r="W79" i="2" s="1"/>
  <c r="V79" i="2"/>
  <c r="U95" i="2"/>
  <c r="W95" i="2" s="1"/>
  <c r="V95" i="2"/>
  <c r="U262" i="2"/>
  <c r="W262" i="2" s="1"/>
  <c r="V262" i="2"/>
  <c r="U254" i="2"/>
  <c r="W254" i="2" s="1"/>
  <c r="V254" i="2"/>
  <c r="U265" i="2"/>
  <c r="W265" i="2" s="1"/>
  <c r="V265" i="2"/>
  <c r="U257" i="2"/>
  <c r="W257" i="2" s="1"/>
  <c r="V257" i="2"/>
  <c r="U274" i="2"/>
  <c r="W274" i="2" s="1"/>
  <c r="V274" i="2"/>
  <c r="U273" i="2"/>
  <c r="W273" i="2" s="1"/>
  <c r="V273" i="2"/>
  <c r="V111" i="2"/>
  <c r="U111" i="2"/>
  <c r="W111" i="2" s="1"/>
  <c r="V106" i="2"/>
  <c r="U106" i="2"/>
  <c r="W106" i="2" s="1"/>
  <c r="V122" i="2"/>
  <c r="U122" i="2"/>
  <c r="W122" i="2" s="1"/>
  <c r="V113" i="2"/>
  <c r="U113" i="2"/>
  <c r="W113" i="2" s="1"/>
  <c r="V102" i="2"/>
  <c r="U102" i="2"/>
  <c r="W102" i="2" s="1"/>
  <c r="U116" i="2"/>
  <c r="W116" i="2" s="1"/>
  <c r="V116" i="2"/>
  <c r="AG136" i="2"/>
  <c r="AG137" i="2"/>
  <c r="AG127" i="2"/>
  <c r="AG139" i="2"/>
  <c r="AG138" i="2"/>
  <c r="AG130" i="2"/>
  <c r="AG141" i="2"/>
  <c r="U235" i="2"/>
  <c r="W235" i="2" s="1"/>
  <c r="V235" i="2"/>
  <c r="U227" i="2"/>
  <c r="W227" i="2" s="1"/>
  <c r="V227" i="2"/>
  <c r="V236" i="2"/>
  <c r="U236" i="2"/>
  <c r="W236" i="2" s="1"/>
  <c r="U228" i="2"/>
  <c r="W228" i="2" s="1"/>
  <c r="V228" i="2"/>
  <c r="U244" i="2"/>
  <c r="W244" i="2" s="1"/>
  <c r="V244" i="2"/>
  <c r="U245" i="2"/>
  <c r="W245" i="2" s="1"/>
  <c r="V245" i="2"/>
  <c r="V78" i="2"/>
  <c r="U78" i="2"/>
  <c r="W78" i="2" s="1"/>
  <c r="U94" i="2"/>
  <c r="W94" i="2" s="1"/>
  <c r="V94" i="2"/>
  <c r="U89" i="2"/>
  <c r="W89" i="2" s="1"/>
  <c r="V89" i="2"/>
  <c r="V77" i="2"/>
  <c r="U77" i="2"/>
  <c r="W77" i="2" s="1"/>
  <c r="V92" i="2"/>
  <c r="U92" i="2"/>
  <c r="W92" i="2" s="1"/>
  <c r="U83" i="2"/>
  <c r="W83" i="2" s="1"/>
  <c r="V83" i="2"/>
  <c r="V99" i="2"/>
  <c r="U99" i="2"/>
  <c r="W99" i="2" s="1"/>
  <c r="V74" i="2"/>
  <c r="U74" i="2"/>
  <c r="W74" i="2" s="1"/>
  <c r="U66" i="2"/>
  <c r="W66" i="2" s="1"/>
  <c r="V66" i="2"/>
  <c r="U58" i="2"/>
  <c r="W58" i="2" s="1"/>
  <c r="V58" i="2"/>
  <c r="U75" i="2"/>
  <c r="W75" i="2" s="1"/>
  <c r="V75" i="2"/>
  <c r="U67" i="2"/>
  <c r="W67" i="2" s="1"/>
  <c r="V67" i="2"/>
  <c r="V59" i="2"/>
  <c r="U59" i="2"/>
  <c r="W59" i="2" s="1"/>
  <c r="U76" i="2"/>
  <c r="W76" i="2" s="1"/>
  <c r="V76" i="2"/>
  <c r="U68" i="2"/>
  <c r="W68" i="2" s="1"/>
  <c r="V68" i="2"/>
  <c r="U60" i="2"/>
  <c r="W60" i="2" s="1"/>
  <c r="V60" i="2"/>
  <c r="V52" i="2"/>
  <c r="U52" i="2"/>
  <c r="W52" i="2" s="1"/>
  <c r="V69" i="2"/>
  <c r="U69" i="2"/>
  <c r="W69" i="2" s="1"/>
  <c r="U61" i="2"/>
  <c r="W61" i="2" s="1"/>
  <c r="V61" i="2"/>
  <c r="U53" i="2"/>
  <c r="W53" i="2" s="1"/>
  <c r="V53" i="2"/>
  <c r="U222" i="2"/>
  <c r="W222" i="2" s="1"/>
  <c r="V222" i="2"/>
  <c r="U203" i="2"/>
  <c r="W203" i="2" s="1"/>
  <c r="V203" i="2"/>
  <c r="U207" i="2"/>
  <c r="W207" i="2" s="1"/>
  <c r="V207" i="2"/>
  <c r="U211" i="2"/>
  <c r="W211" i="2" s="1"/>
  <c r="V211" i="2"/>
  <c r="U215" i="2"/>
  <c r="W215" i="2" s="1"/>
  <c r="V215" i="2"/>
  <c r="U219" i="2"/>
  <c r="W219" i="2" s="1"/>
  <c r="V219" i="2"/>
  <c r="U202" i="2"/>
  <c r="W202" i="2" s="1"/>
  <c r="V202" i="2"/>
  <c r="U206" i="2"/>
  <c r="W206" i="2" s="1"/>
  <c r="V206" i="2"/>
  <c r="U210" i="2"/>
  <c r="W210" i="2" s="1"/>
  <c r="V210" i="2"/>
  <c r="U214" i="2"/>
  <c r="W214" i="2" s="1"/>
  <c r="V214" i="2"/>
  <c r="U218" i="2"/>
  <c r="W218" i="2" s="1"/>
  <c r="V218" i="2"/>
  <c r="U226" i="2"/>
  <c r="W226" i="2" s="1"/>
  <c r="V226" i="2"/>
  <c r="U233" i="2"/>
  <c r="W233" i="2" s="1"/>
  <c r="V233" i="2"/>
  <c r="U250" i="2"/>
  <c r="W250" i="2" s="1"/>
  <c r="V250" i="2"/>
  <c r="V234" i="2"/>
  <c r="U234" i="2"/>
  <c r="W234" i="2" s="1"/>
  <c r="U251" i="2"/>
  <c r="W251" i="2" s="1"/>
  <c r="V251" i="2"/>
  <c r="U242" i="2"/>
  <c r="W242" i="2" s="1"/>
  <c r="V242" i="2"/>
  <c r="U243" i="2"/>
  <c r="W243" i="2" s="1"/>
  <c r="V243" i="2"/>
  <c r="U82" i="2"/>
  <c r="W82" i="2" s="1"/>
  <c r="V82" i="2"/>
  <c r="V98" i="2"/>
  <c r="U98" i="2"/>
  <c r="W98" i="2" s="1"/>
  <c r="V93" i="2"/>
  <c r="U93" i="2"/>
  <c r="W93" i="2" s="1"/>
  <c r="V80" i="2"/>
  <c r="U80" i="2"/>
  <c r="W80" i="2" s="1"/>
  <c r="V96" i="2"/>
  <c r="U96" i="2"/>
  <c r="W96" i="2" s="1"/>
  <c r="U87" i="2"/>
  <c r="W87" i="2" s="1"/>
  <c r="V87" i="2"/>
  <c r="U266" i="2"/>
  <c r="W266" i="2" s="1"/>
  <c r="V266" i="2"/>
  <c r="U258" i="2"/>
  <c r="W258" i="2" s="1"/>
  <c r="V258" i="2"/>
  <c r="U269" i="2"/>
  <c r="W269" i="2" s="1"/>
  <c r="V269" i="2"/>
  <c r="U261" i="2"/>
  <c r="W261" i="2" s="1"/>
  <c r="V261" i="2"/>
  <c r="U253" i="2"/>
  <c r="W253" i="2" s="1"/>
  <c r="V253" i="2"/>
  <c r="U270" i="2"/>
  <c r="W270" i="2" s="1"/>
  <c r="V270" i="2"/>
  <c r="V103" i="2"/>
  <c r="U103" i="2"/>
  <c r="W103" i="2" s="1"/>
  <c r="U119" i="2"/>
  <c r="W119" i="2" s="1"/>
  <c r="V119" i="2"/>
  <c r="U114" i="2"/>
  <c r="W114" i="2" s="1"/>
  <c r="V114" i="2"/>
  <c r="U105" i="2"/>
  <c r="W105" i="2" s="1"/>
  <c r="V105" i="2"/>
  <c r="U121" i="2"/>
  <c r="W121" i="2" s="1"/>
  <c r="V121" i="2"/>
  <c r="U108" i="2"/>
  <c r="W108" i="2" s="1"/>
  <c r="V108" i="2"/>
  <c r="V124" i="2"/>
  <c r="U124" i="2"/>
  <c r="W124" i="2" s="1"/>
  <c r="U231" i="2"/>
  <c r="W231" i="2" s="1"/>
  <c r="V231" i="2"/>
  <c r="U248" i="2"/>
  <c r="W248" i="2" s="1"/>
  <c r="V248" i="2"/>
  <c r="V232" i="2"/>
  <c r="U232" i="2"/>
  <c r="W232" i="2" s="1"/>
  <c r="U249" i="2"/>
  <c r="W249" i="2" s="1"/>
  <c r="V249" i="2"/>
  <c r="U240" i="2"/>
  <c r="W240" i="2" s="1"/>
  <c r="V240" i="2"/>
  <c r="U241" i="2"/>
  <c r="W241" i="2" s="1"/>
  <c r="V241" i="2"/>
  <c r="U86" i="2"/>
  <c r="W86" i="2" s="1"/>
  <c r="V86" i="2"/>
  <c r="U81" i="2"/>
  <c r="W81" i="2" s="1"/>
  <c r="V81" i="2"/>
  <c r="U97" i="2"/>
  <c r="W97" i="2" s="1"/>
  <c r="V97" i="2"/>
  <c r="V84" i="2"/>
  <c r="U84" i="2"/>
  <c r="W84" i="2" s="1"/>
  <c r="V100" i="2"/>
  <c r="U100" i="2"/>
  <c r="W100" i="2" s="1"/>
  <c r="U91" i="2"/>
  <c r="W91" i="2" s="1"/>
  <c r="V91" i="2"/>
  <c r="U70" i="2"/>
  <c r="W70" i="2" s="1"/>
  <c r="V70" i="2"/>
  <c r="U62" i="2"/>
  <c r="W62" i="2" s="1"/>
  <c r="V62" i="2"/>
  <c r="U54" i="2"/>
  <c r="W54" i="2" s="1"/>
  <c r="V54" i="2"/>
  <c r="U71" i="2"/>
  <c r="W71" i="2" s="1"/>
  <c r="V71" i="2"/>
  <c r="U63" i="2"/>
  <c r="W63" i="2" s="1"/>
  <c r="V63" i="2"/>
  <c r="V55" i="2"/>
  <c r="U55" i="2"/>
  <c r="W55" i="2" s="1"/>
  <c r="U72" i="2"/>
  <c r="W72" i="2" s="1"/>
  <c r="V72" i="2"/>
  <c r="V64" i="2"/>
  <c r="U64" i="2"/>
  <c r="W64" i="2" s="1"/>
  <c r="U56" i="2"/>
  <c r="W56" i="2" s="1"/>
  <c r="V56" i="2"/>
  <c r="U73" i="2"/>
  <c r="W73" i="2" s="1"/>
  <c r="V73" i="2"/>
  <c r="V65" i="2"/>
  <c r="U65" i="2"/>
  <c r="W65" i="2" s="1"/>
  <c r="U57" i="2"/>
  <c r="W57" i="2" s="1"/>
  <c r="V57" i="2"/>
  <c r="U223" i="2"/>
  <c r="W223" i="2" s="1"/>
  <c r="V223" i="2"/>
  <c r="U224" i="2"/>
  <c r="W224" i="2" s="1"/>
  <c r="V224" i="2"/>
  <c r="U205" i="2"/>
  <c r="W205" i="2" s="1"/>
  <c r="V205" i="2"/>
  <c r="U209" i="2"/>
  <c r="W209" i="2" s="1"/>
  <c r="V209" i="2"/>
  <c r="U213" i="2"/>
  <c r="W213" i="2" s="1"/>
  <c r="V213" i="2"/>
  <c r="U217" i="2"/>
  <c r="W217" i="2" s="1"/>
  <c r="V217" i="2"/>
  <c r="U221" i="2"/>
  <c r="W221" i="2" s="1"/>
  <c r="V221" i="2"/>
  <c r="U204" i="2"/>
  <c r="W204" i="2" s="1"/>
  <c r="V204" i="2"/>
  <c r="U208" i="2"/>
  <c r="W208" i="2" s="1"/>
  <c r="V208" i="2"/>
  <c r="U212" i="2"/>
  <c r="W212" i="2" s="1"/>
  <c r="V212" i="2"/>
  <c r="V216" i="2"/>
  <c r="U216" i="2"/>
  <c r="W216" i="2" s="1"/>
  <c r="V220" i="2"/>
  <c r="U220" i="2"/>
  <c r="W220" i="2" s="1"/>
  <c r="U225" i="2"/>
  <c r="W225" i="2" s="1"/>
  <c r="V225" i="2"/>
  <c r="K8" i="6" l="1"/>
  <c r="Z92" i="6"/>
  <c r="Z101" i="6"/>
  <c r="K17" i="6"/>
  <c r="Z4" i="6"/>
  <c r="E4" i="6"/>
  <c r="E10" i="6"/>
  <c r="Z10" i="6"/>
  <c r="Z11" i="6"/>
  <c r="E11" i="6"/>
  <c r="Z9" i="6"/>
  <c r="E9" i="6"/>
  <c r="D4" i="6"/>
  <c r="Z3" i="6"/>
  <c r="Z107" i="6"/>
  <c r="K23" i="6"/>
  <c r="Z31" i="6"/>
  <c r="G11" i="6"/>
  <c r="Z30" i="6"/>
  <c r="G10" i="6"/>
  <c r="Z37" i="6"/>
  <c r="G17" i="6"/>
  <c r="Z103" i="6"/>
  <c r="K19" i="6"/>
  <c r="Z17" i="6"/>
  <c r="F9" i="6"/>
  <c r="Z15" i="6"/>
  <c r="F7" i="6"/>
  <c r="Z14" i="6"/>
  <c r="F6" i="6"/>
  <c r="F16" i="6"/>
  <c r="Z24" i="6"/>
  <c r="Z93" i="6"/>
  <c r="K9" i="6"/>
  <c r="Z97" i="6"/>
  <c r="K13" i="6"/>
  <c r="Z21" i="6"/>
  <c r="F13" i="6"/>
  <c r="K22" i="6"/>
  <c r="Z106" i="6"/>
  <c r="K20" i="6"/>
  <c r="Z104" i="6"/>
  <c r="Z34" i="6"/>
  <c r="G14" i="6"/>
  <c r="G12" i="6"/>
  <c r="Z32" i="6"/>
  <c r="Z99" i="6"/>
  <c r="K15" i="6"/>
  <c r="K10" i="6"/>
  <c r="Z94" i="6"/>
  <c r="Z27" i="6"/>
  <c r="G7" i="6"/>
  <c r="G16" i="6"/>
  <c r="Z36" i="6"/>
  <c r="Z13" i="6"/>
  <c r="F5" i="6"/>
  <c r="Z38" i="6"/>
  <c r="G18" i="6"/>
  <c r="E12" i="6"/>
  <c r="Z12" i="6"/>
  <c r="Z7" i="6"/>
  <c r="E7" i="6"/>
  <c r="Z5" i="6"/>
  <c r="E5" i="6"/>
  <c r="E8" i="6"/>
  <c r="Z8" i="6"/>
  <c r="E6" i="6"/>
  <c r="Z6" i="6"/>
  <c r="K18" i="6"/>
  <c r="Z102" i="6"/>
  <c r="Z16" i="6"/>
  <c r="F8" i="6"/>
  <c r="G20" i="6"/>
  <c r="Z40" i="6"/>
  <c r="Z39" i="6"/>
  <c r="G19" i="6"/>
  <c r="K14" i="6"/>
  <c r="Z98" i="6"/>
  <c r="F12" i="6"/>
  <c r="Z20" i="6"/>
  <c r="Z23" i="6"/>
  <c r="F15" i="6"/>
  <c r="Z26" i="6"/>
  <c r="G6" i="6"/>
  <c r="G8" i="6"/>
  <c r="Z28" i="6"/>
  <c r="Z95" i="6"/>
  <c r="K11" i="6"/>
  <c r="K16" i="6"/>
  <c r="Z100" i="6"/>
  <c r="K12" i="6"/>
  <c r="Z96" i="6"/>
  <c r="Z105" i="6"/>
  <c r="K21" i="6"/>
  <c r="K6" i="6"/>
  <c r="Z90" i="6"/>
  <c r="Z35" i="6"/>
  <c r="G15" i="6"/>
  <c r="Z33" i="6"/>
  <c r="G13" i="6"/>
  <c r="Z29" i="6"/>
  <c r="G9" i="6"/>
  <c r="Z19" i="6"/>
  <c r="F11" i="6"/>
  <c r="Z91" i="6"/>
  <c r="K7" i="6"/>
  <c r="Z18" i="6"/>
  <c r="F10" i="6"/>
  <c r="Z25" i="6"/>
  <c r="G5" i="6"/>
  <c r="AJ161" i="2"/>
  <c r="AK161" i="2" s="1"/>
  <c r="AJ30" i="2"/>
  <c r="AK30" i="2" s="1"/>
  <c r="AJ42" i="2"/>
  <c r="AK42" i="2" s="1"/>
  <c r="AJ34" i="2"/>
  <c r="AK34" i="2" s="1"/>
  <c r="AJ27" i="2"/>
  <c r="AK27" i="2" s="1"/>
  <c r="AJ40" i="2"/>
  <c r="AK40" i="2" s="1"/>
  <c r="AJ49" i="2"/>
  <c r="AK49" i="2" s="1"/>
  <c r="AJ47" i="2"/>
  <c r="AK47" i="2" s="1"/>
  <c r="AJ2" i="2"/>
  <c r="AK2" i="2" s="1"/>
  <c r="AJ29" i="2"/>
  <c r="AK29" i="2" s="1"/>
  <c r="AJ28" i="2"/>
  <c r="AK28" i="2" s="1"/>
  <c r="AJ50" i="2"/>
  <c r="AK50" i="2" s="1"/>
  <c r="AJ36" i="2"/>
  <c r="AK36" i="2" s="1"/>
  <c r="AJ48" i="2"/>
  <c r="AK48" i="2" s="1"/>
  <c r="AJ35" i="2"/>
  <c r="AK35" i="2" s="1"/>
  <c r="AJ51" i="2"/>
  <c r="AK51" i="2" s="1"/>
  <c r="AJ32" i="2"/>
  <c r="AK32" i="2" s="1"/>
  <c r="AJ33" i="2"/>
  <c r="AK33" i="2" s="1"/>
  <c r="AJ45" i="2"/>
  <c r="AK45" i="2" s="1"/>
  <c r="AJ44" i="2"/>
  <c r="AK44" i="2" s="1"/>
  <c r="AJ43" i="2"/>
  <c r="AK43" i="2" s="1"/>
  <c r="AJ37" i="2"/>
  <c r="AK37" i="2" s="1"/>
  <c r="AJ38" i="2"/>
  <c r="AK38" i="2" s="1"/>
  <c r="AJ39" i="2"/>
  <c r="AK39" i="2" s="1"/>
  <c r="AJ46" i="2"/>
  <c r="AK46" i="2" s="1"/>
  <c r="AJ41" i="2"/>
  <c r="AK41" i="2" s="1"/>
  <c r="AJ31" i="2"/>
  <c r="AK31" i="2" s="1"/>
  <c r="AH130" i="2"/>
  <c r="AI130" i="2" s="1"/>
  <c r="AH139" i="2"/>
  <c r="AI139" i="2" s="1"/>
  <c r="AH137" i="2"/>
  <c r="AI137" i="2" s="1"/>
  <c r="AH142" i="2"/>
  <c r="AI142" i="2" s="1"/>
  <c r="AH147" i="2"/>
  <c r="AI147" i="2" s="1"/>
  <c r="AH145" i="2"/>
  <c r="AI145" i="2" s="1"/>
  <c r="AH292" i="2"/>
  <c r="AI292" i="2" s="1"/>
  <c r="AH299" i="2"/>
  <c r="AI299" i="2" s="1"/>
  <c r="AH290" i="2"/>
  <c r="AI290" i="2" s="1"/>
  <c r="AH289" i="2"/>
  <c r="AI289" i="2" s="1"/>
  <c r="AH129" i="2"/>
  <c r="AI129" i="2" s="1"/>
  <c r="AH128" i="2"/>
  <c r="AI128" i="2" s="1"/>
  <c r="AH135" i="2"/>
  <c r="AI135" i="2" s="1"/>
  <c r="AH284" i="2"/>
  <c r="AI284" i="2" s="1"/>
  <c r="AH291" i="2"/>
  <c r="AI291" i="2" s="1"/>
  <c r="AH293" i="2"/>
  <c r="AI293" i="2" s="1"/>
  <c r="AH279" i="2"/>
  <c r="AI279" i="2" s="1"/>
  <c r="AH133" i="2"/>
  <c r="AI133" i="2" s="1"/>
  <c r="AH134" i="2"/>
  <c r="AI134" i="2" s="1"/>
  <c r="AH140" i="2"/>
  <c r="AI140" i="2" s="1"/>
  <c r="AH278" i="2"/>
  <c r="AI278" i="2" s="1"/>
  <c r="AH294" i="2"/>
  <c r="AI294" i="2" s="1"/>
  <c r="AH285" i="2"/>
  <c r="AI285" i="2" s="1"/>
  <c r="AH296" i="2"/>
  <c r="AI296" i="2" s="1"/>
  <c r="AH141" i="2"/>
  <c r="AI141" i="2" s="1"/>
  <c r="AH138" i="2"/>
  <c r="AI138" i="2" s="1"/>
  <c r="AH127" i="2"/>
  <c r="AI127" i="2" s="1"/>
  <c r="AH136" i="2"/>
  <c r="AI136" i="2" s="1"/>
  <c r="AH150" i="2"/>
  <c r="AI150" i="2" s="1"/>
  <c r="AH131" i="2"/>
  <c r="AI131" i="2" s="1"/>
  <c r="AH143" i="2"/>
  <c r="AI143" i="2" s="1"/>
  <c r="AH283" i="2"/>
  <c r="AI283" i="2" s="1"/>
  <c r="AH282" i="2"/>
  <c r="AI282" i="2" s="1"/>
  <c r="AH298" i="2"/>
  <c r="AI298" i="2" s="1"/>
  <c r="AH297" i="2"/>
  <c r="AI297" i="2" s="1"/>
  <c r="AH146" i="2"/>
  <c r="AI146" i="2" s="1"/>
  <c r="AH144" i="2"/>
  <c r="AI144" i="2" s="1"/>
  <c r="AH149" i="2"/>
  <c r="AI149" i="2" s="1"/>
  <c r="AH288" i="2"/>
  <c r="AI288" i="2" s="1"/>
  <c r="AH295" i="2"/>
  <c r="AI295" i="2" s="1"/>
  <c r="AH300" i="2"/>
  <c r="AI300" i="2" s="1"/>
  <c r="AH287" i="2"/>
  <c r="AI287" i="2" s="1"/>
  <c r="AH151" i="2"/>
  <c r="AI151" i="2" s="1"/>
  <c r="AH132" i="2"/>
  <c r="AI132" i="2" s="1"/>
  <c r="AH148" i="2"/>
  <c r="AI148" i="2" s="1"/>
  <c r="AH286" i="2"/>
  <c r="AI286" i="2" s="1"/>
  <c r="AH281" i="2"/>
  <c r="AI281" i="2" s="1"/>
  <c r="AH301" i="2"/>
  <c r="AI301" i="2" s="1"/>
  <c r="AH280" i="2"/>
  <c r="AI280" i="2" s="1"/>
  <c r="AH277" i="2"/>
  <c r="AI277" i="2" s="1"/>
  <c r="AG212" i="2"/>
  <c r="AG253" i="2"/>
  <c r="AG266" i="2"/>
  <c r="AG242" i="2"/>
  <c r="AG234" i="2"/>
  <c r="AG250" i="2"/>
  <c r="AG210" i="2"/>
  <c r="AG202" i="2"/>
  <c r="AG219" i="2"/>
  <c r="AG235" i="2"/>
  <c r="AG237" i="2"/>
  <c r="AG107" i="2"/>
  <c r="AG224" i="2"/>
  <c r="AG254" i="2"/>
  <c r="AG246" i="2"/>
  <c r="AG238" i="2"/>
  <c r="AG229" i="2"/>
  <c r="AG104" i="2"/>
  <c r="AG115" i="2"/>
  <c r="AG276" i="2"/>
  <c r="AG264" i="2"/>
  <c r="AG225" i="2"/>
  <c r="AG220" i="2"/>
  <c r="AG216" i="2"/>
  <c r="AG217" i="2"/>
  <c r="AG209" i="2"/>
  <c r="AG241" i="2"/>
  <c r="AG249" i="2"/>
  <c r="AG231" i="2"/>
  <c r="AG233" i="2"/>
  <c r="AG215" i="2"/>
  <c r="AG273" i="2"/>
  <c r="AG257" i="2"/>
  <c r="AG265" i="2"/>
  <c r="AG263" i="2"/>
  <c r="AG260" i="2"/>
  <c r="AG268" i="2"/>
  <c r="AG275" i="2"/>
  <c r="AG204" i="2"/>
  <c r="AG269" i="2"/>
  <c r="AG87" i="2"/>
  <c r="AG82" i="2"/>
  <c r="AG218" i="2"/>
  <c r="AG214" i="2"/>
  <c r="AG207" i="2"/>
  <c r="AG203" i="2"/>
  <c r="AG245" i="2"/>
  <c r="AG228" i="2"/>
  <c r="AG227" i="2"/>
  <c r="AG102" i="2"/>
  <c r="AG113" i="2"/>
  <c r="AG122" i="2"/>
  <c r="AG106" i="2"/>
  <c r="AG111" i="2"/>
  <c r="AG239" i="2"/>
  <c r="AG247" i="2"/>
  <c r="AG272" i="2"/>
  <c r="AG255" i="2"/>
  <c r="AG267" i="2"/>
  <c r="AG256" i="2"/>
  <c r="AG208" i="2"/>
  <c r="AG213" i="2"/>
  <c r="AG223" i="2"/>
  <c r="AG65" i="2"/>
  <c r="AG64" i="2"/>
  <c r="AG55" i="2"/>
  <c r="AG100" i="2"/>
  <c r="AG84" i="2"/>
  <c r="AG240" i="2"/>
  <c r="AG248" i="2"/>
  <c r="AG108" i="2"/>
  <c r="AG121" i="2"/>
  <c r="AG105" i="2"/>
  <c r="AG114" i="2"/>
  <c r="AG119" i="2"/>
  <c r="AG261" i="2"/>
  <c r="AG96" i="2"/>
  <c r="AG93" i="2"/>
  <c r="AG243" i="2"/>
  <c r="AG222" i="2"/>
  <c r="AG53" i="2"/>
  <c r="AG61" i="2"/>
  <c r="AG60" i="2"/>
  <c r="AG68" i="2"/>
  <c r="AG76" i="2"/>
  <c r="AG67" i="2"/>
  <c r="AG75" i="2"/>
  <c r="AG58" i="2"/>
  <c r="AG66" i="2"/>
  <c r="AG83" i="2"/>
  <c r="AG89" i="2"/>
  <c r="AG94" i="2"/>
  <c r="AG244" i="2"/>
  <c r="AG88" i="2"/>
  <c r="AG85" i="2"/>
  <c r="AG90" i="2"/>
  <c r="AG125" i="2"/>
  <c r="AG109" i="2"/>
  <c r="AG221" i="2"/>
  <c r="AG205" i="2"/>
  <c r="AG270" i="2"/>
  <c r="AG258" i="2"/>
  <c r="AG251" i="2"/>
  <c r="AG226" i="2"/>
  <c r="AG206" i="2"/>
  <c r="AG211" i="2"/>
  <c r="AG236" i="2"/>
  <c r="AG274" i="2"/>
  <c r="AG262" i="2"/>
  <c r="AG230" i="2"/>
  <c r="AG271" i="2"/>
  <c r="AG252" i="2"/>
  <c r="AG259" i="2"/>
  <c r="AG57" i="2"/>
  <c r="AG73" i="2"/>
  <c r="AG56" i="2"/>
  <c r="AG72" i="2"/>
  <c r="AG63" i="2"/>
  <c r="AG71" i="2"/>
  <c r="AG54" i="2"/>
  <c r="AG62" i="2"/>
  <c r="AG70" i="2"/>
  <c r="AG91" i="2"/>
  <c r="AG97" i="2"/>
  <c r="AG81" i="2"/>
  <c r="AG86" i="2"/>
  <c r="AG232" i="2"/>
  <c r="AG124" i="2"/>
  <c r="AG103" i="2"/>
  <c r="AG80" i="2"/>
  <c r="AG98" i="2"/>
  <c r="AG69" i="2"/>
  <c r="AG52" i="2"/>
  <c r="AG59" i="2"/>
  <c r="AG74" i="2"/>
  <c r="AG99" i="2"/>
  <c r="AG92" i="2"/>
  <c r="AG77" i="2"/>
  <c r="AG78" i="2"/>
  <c r="AG116" i="2"/>
  <c r="AG95" i="2"/>
  <c r="AG79" i="2"/>
  <c r="AG101" i="2"/>
  <c r="AG120" i="2"/>
  <c r="AG117" i="2"/>
  <c r="AG126" i="2"/>
  <c r="AG110" i="2"/>
  <c r="AG112" i="2"/>
  <c r="AG118" i="2"/>
  <c r="AG123" i="2"/>
  <c r="Z22" i="6" l="1"/>
  <c r="F14" i="6"/>
  <c r="Z117" i="6"/>
  <c r="L19" i="6"/>
  <c r="Z115" i="6"/>
  <c r="L17" i="6"/>
  <c r="Z113" i="6"/>
  <c r="L15" i="6"/>
  <c r="Z120" i="6"/>
  <c r="L22" i="6"/>
  <c r="Z109" i="6"/>
  <c r="L11" i="6"/>
  <c r="Z127" i="6"/>
  <c r="L29" i="6"/>
  <c r="Z124" i="6"/>
  <c r="L26" i="6"/>
  <c r="Z126" i="6"/>
  <c r="L28" i="6"/>
  <c r="Z89" i="6"/>
  <c r="K5" i="6"/>
  <c r="Z125" i="6"/>
  <c r="L27" i="6"/>
  <c r="Z118" i="6"/>
  <c r="L20" i="6"/>
  <c r="Z122" i="6"/>
  <c r="L24" i="6"/>
  <c r="Z114" i="6"/>
  <c r="L16" i="6"/>
  <c r="Z119" i="6"/>
  <c r="L21" i="6"/>
  <c r="Z121" i="6"/>
  <c r="L23" i="6"/>
  <c r="Z108" i="6"/>
  <c r="L10" i="6"/>
  <c r="Z111" i="6"/>
  <c r="L13" i="6"/>
  <c r="Z112" i="6"/>
  <c r="L14" i="6"/>
  <c r="Z123" i="6"/>
  <c r="L25" i="6"/>
  <c r="Z116" i="6"/>
  <c r="L18" i="6"/>
  <c r="Z110" i="6"/>
  <c r="L12" i="6"/>
  <c r="AH123" i="2"/>
  <c r="AI123" i="2" s="1"/>
  <c r="AH126" i="2"/>
  <c r="AI126" i="2" s="1"/>
  <c r="AH79" i="2"/>
  <c r="AI79" i="2" s="1"/>
  <c r="AH77" i="2"/>
  <c r="AI77" i="2" s="1"/>
  <c r="AH59" i="2"/>
  <c r="AI59" i="2" s="1"/>
  <c r="AH80" i="2"/>
  <c r="AI80" i="2" s="1"/>
  <c r="AH86" i="2"/>
  <c r="AI86" i="2" s="1"/>
  <c r="AH70" i="2"/>
  <c r="AI70" i="2" s="1"/>
  <c r="AH63" i="2"/>
  <c r="AI63" i="2" s="1"/>
  <c r="AH57" i="2"/>
  <c r="AI57" i="2" s="1"/>
  <c r="AH252" i="2"/>
  <c r="AI252" i="2" s="1"/>
  <c r="AH274" i="2"/>
  <c r="AI274" i="2" s="1"/>
  <c r="AH226" i="2"/>
  <c r="AI226" i="2" s="1"/>
  <c r="AH205" i="2"/>
  <c r="AI205" i="2" s="1"/>
  <c r="AH90" i="2"/>
  <c r="AI90" i="2" s="1"/>
  <c r="AH88" i="2"/>
  <c r="AI88" i="2" s="1"/>
  <c r="AH83" i="2"/>
  <c r="AI83" i="2" s="1"/>
  <c r="AH67" i="2"/>
  <c r="AI67" i="2" s="1"/>
  <c r="AH61" i="2"/>
  <c r="AI61" i="2" s="1"/>
  <c r="AH222" i="2"/>
  <c r="AI222" i="2" s="1"/>
  <c r="AH261" i="2"/>
  <c r="AI261" i="2" s="1"/>
  <c r="AH121" i="2"/>
  <c r="AI121" i="2" s="1"/>
  <c r="AH84" i="2"/>
  <c r="AI84" i="2" s="1"/>
  <c r="AH65" i="2"/>
  <c r="AI65" i="2" s="1"/>
  <c r="AH213" i="2"/>
  <c r="AI213" i="2" s="1"/>
  <c r="AH255" i="2"/>
  <c r="AI255" i="2" s="1"/>
  <c r="AH111" i="2"/>
  <c r="AI111" i="2" s="1"/>
  <c r="AH102" i="2"/>
  <c r="AI102" i="2" s="1"/>
  <c r="AH203" i="2"/>
  <c r="AI203" i="2" s="1"/>
  <c r="AH214" i="2"/>
  <c r="AI214" i="2" s="1"/>
  <c r="AH269" i="2"/>
  <c r="AI269" i="2" s="1"/>
  <c r="AH260" i="2"/>
  <c r="AI260" i="2" s="1"/>
  <c r="AH273" i="2"/>
  <c r="AI273" i="2" s="1"/>
  <c r="AH233" i="2"/>
  <c r="AI233" i="2" s="1"/>
  <c r="AH209" i="2"/>
  <c r="AI209" i="2" s="1"/>
  <c r="AH225" i="2"/>
  <c r="AI225" i="2" s="1"/>
  <c r="AH276" i="2"/>
  <c r="AI276" i="2" s="1"/>
  <c r="AH238" i="2"/>
  <c r="AI238" i="2" s="1"/>
  <c r="AH107" i="2"/>
  <c r="AI107" i="2" s="1"/>
  <c r="AH118" i="2"/>
  <c r="AI118" i="2" s="1"/>
  <c r="AH110" i="2"/>
  <c r="AI110" i="2" s="1"/>
  <c r="AH117" i="2"/>
  <c r="AI117" i="2" s="1"/>
  <c r="AH101" i="2"/>
  <c r="AI101" i="2" s="1"/>
  <c r="AH95" i="2"/>
  <c r="AI95" i="2" s="1"/>
  <c r="AH78" i="2"/>
  <c r="AI78" i="2" s="1"/>
  <c r="AH92" i="2"/>
  <c r="AI92" i="2" s="1"/>
  <c r="AH74" i="2"/>
  <c r="AI74" i="2" s="1"/>
  <c r="AH52" i="2"/>
  <c r="AI52" i="2" s="1"/>
  <c r="AH98" i="2"/>
  <c r="AI98" i="2" s="1"/>
  <c r="AH103" i="2"/>
  <c r="AI103" i="2" s="1"/>
  <c r="AH232" i="2"/>
  <c r="AI232" i="2" s="1"/>
  <c r="AH81" i="2"/>
  <c r="AI81" i="2" s="1"/>
  <c r="AH91" i="2"/>
  <c r="AI91" i="2" s="1"/>
  <c r="AH62" i="2"/>
  <c r="AI62" i="2" s="1"/>
  <c r="AH71" i="2"/>
  <c r="AI71" i="2" s="1"/>
  <c r="AH72" i="2"/>
  <c r="AI72" i="2" s="1"/>
  <c r="AH73" i="2"/>
  <c r="AI73" i="2" s="1"/>
  <c r="AH259" i="2"/>
  <c r="AI259" i="2" s="1"/>
  <c r="AH271" i="2"/>
  <c r="AI271" i="2" s="1"/>
  <c r="AH262" i="2"/>
  <c r="AI262" i="2" s="1"/>
  <c r="AH236" i="2"/>
  <c r="AI236" i="2" s="1"/>
  <c r="AH206" i="2"/>
  <c r="AI206" i="2" s="1"/>
  <c r="AH251" i="2"/>
  <c r="AI251" i="2" s="1"/>
  <c r="AH270" i="2"/>
  <c r="AH221" i="2"/>
  <c r="AH125" i="2"/>
  <c r="AH85" i="2"/>
  <c r="AH244" i="2"/>
  <c r="AH89" i="2"/>
  <c r="AH66" i="2"/>
  <c r="AH75" i="2"/>
  <c r="AH76" i="2"/>
  <c r="AH60" i="2"/>
  <c r="AH53" i="2"/>
  <c r="AH243" i="2"/>
  <c r="AH96" i="2"/>
  <c r="AH119" i="2"/>
  <c r="AH105" i="2"/>
  <c r="AH108" i="2"/>
  <c r="AH240" i="2"/>
  <c r="AH100" i="2"/>
  <c r="AH64" i="2"/>
  <c r="AH223" i="2"/>
  <c r="AH208" i="2"/>
  <c r="AH267" i="2"/>
  <c r="AH272" i="2"/>
  <c r="AH239" i="2"/>
  <c r="AH106" i="2"/>
  <c r="AH113" i="2"/>
  <c r="AH227" i="2"/>
  <c r="AH245" i="2"/>
  <c r="AH207" i="2"/>
  <c r="AH218" i="2"/>
  <c r="AH87" i="2"/>
  <c r="AH204" i="2"/>
  <c r="AH268" i="2"/>
  <c r="AH263" i="2"/>
  <c r="AH257" i="2"/>
  <c r="AH215" i="2"/>
  <c r="AH231" i="2"/>
  <c r="AH241" i="2"/>
  <c r="AH217" i="2"/>
  <c r="AH220" i="2"/>
  <c r="AH264" i="2"/>
  <c r="AH115" i="2"/>
  <c r="AH229" i="2"/>
  <c r="AH246" i="2"/>
  <c r="AH224" i="2"/>
  <c r="AH237" i="2"/>
  <c r="AH235" i="2"/>
  <c r="AH202" i="2"/>
  <c r="AH250" i="2"/>
  <c r="AH242" i="2"/>
  <c r="AH253" i="2"/>
  <c r="AH112" i="2"/>
  <c r="AH120" i="2"/>
  <c r="AH116" i="2"/>
  <c r="AH99" i="2"/>
  <c r="AH69" i="2"/>
  <c r="AH124" i="2"/>
  <c r="AH97" i="2"/>
  <c r="AH54" i="2"/>
  <c r="AH56" i="2"/>
  <c r="AH230" i="2"/>
  <c r="AH211" i="2"/>
  <c r="AH258" i="2"/>
  <c r="AH109" i="2"/>
  <c r="AH94" i="2"/>
  <c r="AH58" i="2"/>
  <c r="AH68" i="2"/>
  <c r="AH93" i="2"/>
  <c r="AH114" i="2"/>
  <c r="AH248" i="2"/>
  <c r="AH55" i="2"/>
  <c r="AH256" i="2"/>
  <c r="AH247" i="2"/>
  <c r="AH122" i="2"/>
  <c r="AH228" i="2"/>
  <c r="AH82" i="2"/>
  <c r="AH275" i="2"/>
  <c r="AH265" i="2"/>
  <c r="AH249" i="2"/>
  <c r="AH216" i="2"/>
  <c r="AH104" i="2"/>
  <c r="AH254" i="2"/>
  <c r="AH219" i="2"/>
  <c r="AH210" i="2"/>
  <c r="AH234" i="2"/>
  <c r="AH266" i="2"/>
  <c r="AH212" i="2"/>
  <c r="AJ277" i="2"/>
  <c r="AK277" i="2" s="1"/>
  <c r="AJ280" i="2"/>
  <c r="AK280" i="2" s="1"/>
  <c r="AJ301" i="2"/>
  <c r="AK301" i="2" s="1"/>
  <c r="AJ281" i="2"/>
  <c r="AK281" i="2" s="1"/>
  <c r="AJ286" i="2"/>
  <c r="AK286" i="2" s="1"/>
  <c r="AJ148" i="2"/>
  <c r="AK148" i="2" s="1"/>
  <c r="AJ132" i="2"/>
  <c r="AK132" i="2" s="1"/>
  <c r="AJ151" i="2"/>
  <c r="AK151" i="2" s="1"/>
  <c r="AJ287" i="2"/>
  <c r="AK287" i="2" s="1"/>
  <c r="AJ300" i="2"/>
  <c r="AK300" i="2" s="1"/>
  <c r="AJ295" i="2"/>
  <c r="AK295" i="2" s="1"/>
  <c r="AJ288" i="2"/>
  <c r="AK288" i="2" s="1"/>
  <c r="AJ149" i="2"/>
  <c r="AK149" i="2" s="1"/>
  <c r="AJ144" i="2"/>
  <c r="AK144" i="2" s="1"/>
  <c r="AJ146" i="2"/>
  <c r="AK146" i="2" s="1"/>
  <c r="AJ297" i="2"/>
  <c r="AK297" i="2" s="1"/>
  <c r="AJ298" i="2"/>
  <c r="AK298" i="2" s="1"/>
  <c r="AJ282" i="2"/>
  <c r="AK282" i="2" s="1"/>
  <c r="AJ283" i="2"/>
  <c r="AK283" i="2" s="1"/>
  <c r="AJ143" i="2"/>
  <c r="AK143" i="2" s="1"/>
  <c r="AJ131" i="2"/>
  <c r="AK131" i="2" s="1"/>
  <c r="AJ150" i="2"/>
  <c r="AK150" i="2" s="1"/>
  <c r="AJ136" i="2"/>
  <c r="AK136" i="2" s="1"/>
  <c r="AJ127" i="2"/>
  <c r="AK127" i="2" s="1"/>
  <c r="AJ138" i="2"/>
  <c r="AK138" i="2" s="1"/>
  <c r="AJ141" i="2"/>
  <c r="AK141" i="2" s="1"/>
  <c r="AJ296" i="2"/>
  <c r="AK296" i="2" s="1"/>
  <c r="AJ285" i="2"/>
  <c r="AK285" i="2" s="1"/>
  <c r="AJ294" i="2"/>
  <c r="AK294" i="2" s="1"/>
  <c r="AJ278" i="2"/>
  <c r="AK278" i="2" s="1"/>
  <c r="AJ140" i="2"/>
  <c r="AK140" i="2" s="1"/>
  <c r="AJ134" i="2"/>
  <c r="AK134" i="2" s="1"/>
  <c r="AJ133" i="2"/>
  <c r="AK133" i="2" s="1"/>
  <c r="AJ279" i="2"/>
  <c r="AK279" i="2" s="1"/>
  <c r="AJ293" i="2"/>
  <c r="AK293" i="2" s="1"/>
  <c r="AJ291" i="2"/>
  <c r="AK291" i="2" s="1"/>
  <c r="AJ284" i="2"/>
  <c r="AK284" i="2" s="1"/>
  <c r="AJ135" i="2"/>
  <c r="AK135" i="2" s="1"/>
  <c r="AJ128" i="2"/>
  <c r="AK128" i="2" s="1"/>
  <c r="AJ129" i="2"/>
  <c r="AK129" i="2" s="1"/>
  <c r="AJ289" i="2"/>
  <c r="AK289" i="2" s="1"/>
  <c r="AJ290" i="2"/>
  <c r="AK290" i="2" s="1"/>
  <c r="AJ299" i="2"/>
  <c r="AK299" i="2" s="1"/>
  <c r="AJ292" i="2"/>
  <c r="AK292" i="2" s="1"/>
  <c r="AJ145" i="2"/>
  <c r="AK145" i="2" s="1"/>
  <c r="AJ147" i="2"/>
  <c r="AK147" i="2" s="1"/>
  <c r="AJ142" i="2"/>
  <c r="AK142" i="2" s="1"/>
  <c r="AJ137" i="2"/>
  <c r="AK137" i="2" s="1"/>
  <c r="AJ139" i="2"/>
  <c r="AK139" i="2" s="1"/>
  <c r="AJ130" i="2"/>
  <c r="AK130" i="2" s="1"/>
  <c r="AI212" i="2" l="1"/>
  <c r="AJ212" i="2" s="1"/>
  <c r="AK212" i="2" s="1"/>
  <c r="AI234" i="2"/>
  <c r="AJ234" i="2" s="1"/>
  <c r="AK234" i="2" s="1"/>
  <c r="AI219" i="2"/>
  <c r="AJ219" i="2" s="1"/>
  <c r="AK219" i="2" s="1"/>
  <c r="AI104" i="2"/>
  <c r="AJ104" i="2" s="1"/>
  <c r="AK104" i="2" s="1"/>
  <c r="AI249" i="2"/>
  <c r="AJ249" i="2" s="1"/>
  <c r="AK249" i="2" s="1"/>
  <c r="AI275" i="2"/>
  <c r="AJ275" i="2" s="1"/>
  <c r="AK275" i="2" s="1"/>
  <c r="AI228" i="2"/>
  <c r="AJ228" i="2" s="1"/>
  <c r="AK228" i="2" s="1"/>
  <c r="AI247" i="2"/>
  <c r="AJ247" i="2" s="1"/>
  <c r="AK247" i="2" s="1"/>
  <c r="AI55" i="2"/>
  <c r="AJ55" i="2" s="1"/>
  <c r="AK55" i="2" s="1"/>
  <c r="AI114" i="2"/>
  <c r="AJ114" i="2" s="1"/>
  <c r="AK114" i="2" s="1"/>
  <c r="AI68" i="2"/>
  <c r="AJ68" i="2" s="1"/>
  <c r="AK68" i="2" s="1"/>
  <c r="AI94" i="2"/>
  <c r="AJ94" i="2" s="1"/>
  <c r="AK94" i="2" s="1"/>
  <c r="AI258" i="2"/>
  <c r="AJ258" i="2" s="1"/>
  <c r="AK258" i="2" s="1"/>
  <c r="AI230" i="2"/>
  <c r="AJ230" i="2" s="1"/>
  <c r="AK230" i="2" s="1"/>
  <c r="AI54" i="2"/>
  <c r="AJ54" i="2" s="1"/>
  <c r="AK54" i="2" s="1"/>
  <c r="AI124" i="2"/>
  <c r="AJ124" i="2" s="1"/>
  <c r="AK124" i="2" s="1"/>
  <c r="AI99" i="2"/>
  <c r="AJ99" i="2" s="1"/>
  <c r="AK99" i="2" s="1"/>
  <c r="AI120" i="2"/>
  <c r="AJ120" i="2" s="1"/>
  <c r="AK120" i="2" s="1"/>
  <c r="AI253" i="2"/>
  <c r="AJ253" i="2" s="1"/>
  <c r="AK253" i="2" s="1"/>
  <c r="AI250" i="2"/>
  <c r="AJ250" i="2" s="1"/>
  <c r="AK250" i="2" s="1"/>
  <c r="AI235" i="2"/>
  <c r="AJ235" i="2" s="1"/>
  <c r="AK235" i="2" s="1"/>
  <c r="AI224" i="2"/>
  <c r="AJ224" i="2" s="1"/>
  <c r="AK224" i="2" s="1"/>
  <c r="AI229" i="2"/>
  <c r="AJ229" i="2" s="1"/>
  <c r="AK229" i="2" s="1"/>
  <c r="AI264" i="2"/>
  <c r="AJ264" i="2" s="1"/>
  <c r="AK264" i="2" s="1"/>
  <c r="AI217" i="2"/>
  <c r="AJ217" i="2" s="1"/>
  <c r="AK217" i="2" s="1"/>
  <c r="AI231" i="2"/>
  <c r="AJ231" i="2" s="1"/>
  <c r="AK231" i="2" s="1"/>
  <c r="AI257" i="2"/>
  <c r="AJ257" i="2" s="1"/>
  <c r="AK257" i="2" s="1"/>
  <c r="AI268" i="2"/>
  <c r="AJ268" i="2" s="1"/>
  <c r="AK268" i="2" s="1"/>
  <c r="AI87" i="2"/>
  <c r="AJ87" i="2" s="1"/>
  <c r="AK87" i="2" s="1"/>
  <c r="AI207" i="2"/>
  <c r="AJ207" i="2" s="1"/>
  <c r="AK207" i="2" s="1"/>
  <c r="AI227" i="2"/>
  <c r="AJ227" i="2" s="1"/>
  <c r="AK227" i="2" s="1"/>
  <c r="AI106" i="2"/>
  <c r="AJ106" i="2" s="1"/>
  <c r="AK106" i="2" s="1"/>
  <c r="AI272" i="2"/>
  <c r="AJ272" i="2" s="1"/>
  <c r="AK272" i="2" s="1"/>
  <c r="AI208" i="2"/>
  <c r="AJ208" i="2" s="1"/>
  <c r="AK208" i="2" s="1"/>
  <c r="AI64" i="2"/>
  <c r="AJ64" i="2" s="1"/>
  <c r="AK64" i="2" s="1"/>
  <c r="AI240" i="2"/>
  <c r="AJ240" i="2" s="1"/>
  <c r="AK240" i="2" s="1"/>
  <c r="AI105" i="2"/>
  <c r="AJ105" i="2" s="1"/>
  <c r="AK105" i="2" s="1"/>
  <c r="AI96" i="2"/>
  <c r="AJ96" i="2" s="1"/>
  <c r="AK96" i="2" s="1"/>
  <c r="AI53" i="2"/>
  <c r="AJ53" i="2" s="1"/>
  <c r="AK53" i="2" s="1"/>
  <c r="AI76" i="2"/>
  <c r="AJ76" i="2" s="1"/>
  <c r="AK76" i="2" s="1"/>
  <c r="AI66" i="2"/>
  <c r="AJ66" i="2" s="1"/>
  <c r="AK66" i="2" s="1"/>
  <c r="AI244" i="2"/>
  <c r="AJ244" i="2" s="1"/>
  <c r="AK244" i="2" s="1"/>
  <c r="AI125" i="2"/>
  <c r="AJ125" i="2" s="1"/>
  <c r="AK125" i="2" s="1"/>
  <c r="AI266" i="2"/>
  <c r="AJ266" i="2" s="1"/>
  <c r="AK266" i="2" s="1"/>
  <c r="AI210" i="2"/>
  <c r="AJ210" i="2" s="1"/>
  <c r="AK210" i="2" s="1"/>
  <c r="AI254" i="2"/>
  <c r="AJ254" i="2" s="1"/>
  <c r="AK254" i="2" s="1"/>
  <c r="AI216" i="2"/>
  <c r="AJ216" i="2" s="1"/>
  <c r="AK216" i="2" s="1"/>
  <c r="AI265" i="2"/>
  <c r="AJ265" i="2" s="1"/>
  <c r="AK265" i="2" s="1"/>
  <c r="AI82" i="2"/>
  <c r="AJ82" i="2" s="1"/>
  <c r="AK82" i="2" s="1"/>
  <c r="AI122" i="2"/>
  <c r="AJ122" i="2" s="1"/>
  <c r="AK122" i="2" s="1"/>
  <c r="AI256" i="2"/>
  <c r="AJ256" i="2" s="1"/>
  <c r="AK256" i="2" s="1"/>
  <c r="AI248" i="2"/>
  <c r="AJ248" i="2" s="1"/>
  <c r="AK248" i="2" s="1"/>
  <c r="AI93" i="2"/>
  <c r="AJ93" i="2" s="1"/>
  <c r="AK93" i="2" s="1"/>
  <c r="AI58" i="2"/>
  <c r="AJ58" i="2" s="1"/>
  <c r="AK58" i="2" s="1"/>
  <c r="AI109" i="2"/>
  <c r="AJ109" i="2" s="1"/>
  <c r="AK109" i="2" s="1"/>
  <c r="AI211" i="2"/>
  <c r="AJ211" i="2" s="1"/>
  <c r="AK211" i="2" s="1"/>
  <c r="AI56" i="2"/>
  <c r="AJ56" i="2" s="1"/>
  <c r="AK56" i="2" s="1"/>
  <c r="AI97" i="2"/>
  <c r="AJ97" i="2" s="1"/>
  <c r="AK97" i="2" s="1"/>
  <c r="AI69" i="2"/>
  <c r="AJ69" i="2" s="1"/>
  <c r="AK69" i="2" s="1"/>
  <c r="AI116" i="2"/>
  <c r="AJ116" i="2" s="1"/>
  <c r="AK116" i="2" s="1"/>
  <c r="AI112" i="2"/>
  <c r="AJ112" i="2" s="1"/>
  <c r="AK112" i="2" s="1"/>
  <c r="AI242" i="2"/>
  <c r="AJ242" i="2" s="1"/>
  <c r="AK242" i="2" s="1"/>
  <c r="AI202" i="2"/>
  <c r="AJ202" i="2" s="1"/>
  <c r="AK202" i="2" s="1"/>
  <c r="AI237" i="2"/>
  <c r="AJ237" i="2" s="1"/>
  <c r="AK237" i="2" s="1"/>
  <c r="AI246" i="2"/>
  <c r="AJ246" i="2" s="1"/>
  <c r="AK246" i="2" s="1"/>
  <c r="AI115" i="2"/>
  <c r="AJ115" i="2" s="1"/>
  <c r="AK115" i="2" s="1"/>
  <c r="AI220" i="2"/>
  <c r="AJ220" i="2" s="1"/>
  <c r="AK220" i="2" s="1"/>
  <c r="AI241" i="2"/>
  <c r="AJ241" i="2" s="1"/>
  <c r="AK241" i="2" s="1"/>
  <c r="AI215" i="2"/>
  <c r="AJ215" i="2" s="1"/>
  <c r="AK215" i="2" s="1"/>
  <c r="AI263" i="2"/>
  <c r="AJ263" i="2" s="1"/>
  <c r="AK263" i="2" s="1"/>
  <c r="AI204" i="2"/>
  <c r="AJ204" i="2" s="1"/>
  <c r="AK204" i="2" s="1"/>
  <c r="AI218" i="2"/>
  <c r="AJ218" i="2" s="1"/>
  <c r="AK218" i="2" s="1"/>
  <c r="AI245" i="2"/>
  <c r="AJ245" i="2" s="1"/>
  <c r="AK245" i="2" s="1"/>
  <c r="AI113" i="2"/>
  <c r="AJ113" i="2" s="1"/>
  <c r="AK113" i="2" s="1"/>
  <c r="AI239" i="2"/>
  <c r="AJ239" i="2" s="1"/>
  <c r="AK239" i="2" s="1"/>
  <c r="AI267" i="2"/>
  <c r="AJ267" i="2" s="1"/>
  <c r="AK267" i="2" s="1"/>
  <c r="AI223" i="2"/>
  <c r="AJ223" i="2" s="1"/>
  <c r="AK223" i="2" s="1"/>
  <c r="AI100" i="2"/>
  <c r="AJ100" i="2" s="1"/>
  <c r="AK100" i="2" s="1"/>
  <c r="AI108" i="2"/>
  <c r="AJ108" i="2" s="1"/>
  <c r="AK108" i="2" s="1"/>
  <c r="AI119" i="2"/>
  <c r="AJ119" i="2" s="1"/>
  <c r="AK119" i="2" s="1"/>
  <c r="AI243" i="2"/>
  <c r="AJ243" i="2" s="1"/>
  <c r="AK243" i="2" s="1"/>
  <c r="AI60" i="2"/>
  <c r="AJ60" i="2" s="1"/>
  <c r="AK60" i="2" s="1"/>
  <c r="AI75" i="2"/>
  <c r="AJ75" i="2" s="1"/>
  <c r="AK75" i="2" s="1"/>
  <c r="AI89" i="2"/>
  <c r="AJ89" i="2" s="1"/>
  <c r="AK89" i="2" s="1"/>
  <c r="AI85" i="2"/>
  <c r="AJ85" i="2" s="1"/>
  <c r="AK85" i="2" s="1"/>
  <c r="AI221" i="2"/>
  <c r="AJ221" i="2" s="1"/>
  <c r="AK221" i="2" s="1"/>
  <c r="AI270" i="2"/>
  <c r="AJ270" i="2" s="1"/>
  <c r="AK270" i="2" s="1"/>
  <c r="AJ251" i="2"/>
  <c r="AK251" i="2" s="1"/>
  <c r="AJ206" i="2"/>
  <c r="AK206" i="2" s="1"/>
  <c r="AJ236" i="2"/>
  <c r="AK236" i="2" s="1"/>
  <c r="AJ262" i="2"/>
  <c r="AK262" i="2" s="1"/>
  <c r="AJ271" i="2"/>
  <c r="AK271" i="2" s="1"/>
  <c r="AJ259" i="2"/>
  <c r="AK259" i="2" s="1"/>
  <c r="AJ73" i="2"/>
  <c r="AK73" i="2" s="1"/>
  <c r="AJ72" i="2"/>
  <c r="AK72" i="2" s="1"/>
  <c r="AJ71" i="2"/>
  <c r="AK71" i="2" s="1"/>
  <c r="AJ62" i="2"/>
  <c r="AK62" i="2" s="1"/>
  <c r="AJ91" i="2"/>
  <c r="AK91" i="2" s="1"/>
  <c r="AJ81" i="2"/>
  <c r="AK81" i="2" s="1"/>
  <c r="AJ232" i="2"/>
  <c r="AK232" i="2" s="1"/>
  <c r="AJ103" i="2"/>
  <c r="AK103" i="2" s="1"/>
  <c r="AJ98" i="2"/>
  <c r="AK98" i="2" s="1"/>
  <c r="AJ52" i="2"/>
  <c r="AK52" i="2" s="1"/>
  <c r="AJ74" i="2"/>
  <c r="AK74" i="2" s="1"/>
  <c r="AJ92" i="2"/>
  <c r="AK92" i="2" s="1"/>
  <c r="AJ78" i="2"/>
  <c r="AK78" i="2" s="1"/>
  <c r="AJ95" i="2"/>
  <c r="AK95" i="2" s="1"/>
  <c r="AJ101" i="2"/>
  <c r="AK101" i="2" s="1"/>
  <c r="AJ117" i="2"/>
  <c r="AK117" i="2" s="1"/>
  <c r="AJ110" i="2"/>
  <c r="AK110" i="2" s="1"/>
  <c r="AJ118" i="2"/>
  <c r="AK118" i="2" s="1"/>
  <c r="AJ107" i="2"/>
  <c r="AK107" i="2" s="1"/>
  <c r="AJ238" i="2"/>
  <c r="AK238" i="2" s="1"/>
  <c r="AJ276" i="2"/>
  <c r="AK276" i="2" s="1"/>
  <c r="AJ225" i="2"/>
  <c r="AK225" i="2" s="1"/>
  <c r="AJ209" i="2"/>
  <c r="AK209" i="2" s="1"/>
  <c r="AJ233" i="2"/>
  <c r="AK233" i="2" s="1"/>
  <c r="AJ273" i="2"/>
  <c r="AK273" i="2" s="1"/>
  <c r="AJ260" i="2"/>
  <c r="AK260" i="2" s="1"/>
  <c r="AJ269" i="2"/>
  <c r="AK269" i="2" s="1"/>
  <c r="AJ214" i="2"/>
  <c r="AK214" i="2" s="1"/>
  <c r="AJ203" i="2"/>
  <c r="AK203" i="2" s="1"/>
  <c r="AJ102" i="2"/>
  <c r="AK102" i="2" s="1"/>
  <c r="AJ111" i="2"/>
  <c r="AK111" i="2" s="1"/>
  <c r="AJ255" i="2"/>
  <c r="AK255" i="2" s="1"/>
  <c r="AJ213" i="2"/>
  <c r="AK213" i="2" s="1"/>
  <c r="AJ65" i="2"/>
  <c r="AK65" i="2" s="1"/>
  <c r="AJ84" i="2"/>
  <c r="AK84" i="2" s="1"/>
  <c r="AJ121" i="2"/>
  <c r="AK121" i="2" s="1"/>
  <c r="AJ261" i="2"/>
  <c r="AK261" i="2" s="1"/>
  <c r="AJ222" i="2"/>
  <c r="AK222" i="2" s="1"/>
  <c r="AJ61" i="2"/>
  <c r="AK61" i="2" s="1"/>
  <c r="AJ67" i="2"/>
  <c r="AK67" i="2" s="1"/>
  <c r="AJ83" i="2"/>
  <c r="AK83" i="2" s="1"/>
  <c r="AJ88" i="2"/>
  <c r="AK88" i="2" s="1"/>
  <c r="AJ90" i="2"/>
  <c r="AK90" i="2" s="1"/>
  <c r="AJ205" i="2"/>
  <c r="AK205" i="2" s="1"/>
  <c r="AJ226" i="2"/>
  <c r="AK226" i="2" s="1"/>
  <c r="AJ274" i="2"/>
  <c r="AK274" i="2" s="1"/>
  <c r="AJ252" i="2"/>
  <c r="AK252" i="2" s="1"/>
  <c r="AJ57" i="2"/>
  <c r="AK57" i="2" s="1"/>
  <c r="AJ63" i="2"/>
  <c r="AK63" i="2" s="1"/>
  <c r="AJ70" i="2"/>
  <c r="AK70" i="2" s="1"/>
  <c r="AJ86" i="2"/>
  <c r="AK86" i="2" s="1"/>
  <c r="AJ80" i="2"/>
  <c r="AK80" i="2" s="1"/>
  <c r="AJ59" i="2"/>
  <c r="AK59" i="2" s="1"/>
  <c r="AJ77" i="2"/>
  <c r="AK77" i="2" s="1"/>
  <c r="AJ79" i="2"/>
  <c r="AK79" i="2" s="1"/>
  <c r="AJ126" i="2"/>
  <c r="AK126" i="2" s="1"/>
  <c r="AJ123" i="2"/>
  <c r="AK123" i="2" s="1"/>
  <c r="Z147" i="6" l="1"/>
  <c r="M29" i="6"/>
  <c r="Z162" i="6"/>
  <c r="N24" i="6"/>
  <c r="Z70" i="6"/>
  <c r="I18" i="6"/>
  <c r="Z47" i="6"/>
  <c r="H11" i="6"/>
  <c r="Z46" i="6"/>
  <c r="H10" i="6"/>
  <c r="Z61" i="6"/>
  <c r="I9" i="6"/>
  <c r="Z85" i="6"/>
  <c r="J17" i="6"/>
  <c r="Z181" i="6"/>
  <c r="O23" i="6"/>
  <c r="Z185" i="6"/>
  <c r="O27" i="6"/>
  <c r="Z60" i="6"/>
  <c r="I8" i="6"/>
  <c r="Z160" i="6"/>
  <c r="N22" i="6"/>
  <c r="Z175" i="6"/>
  <c r="O17" i="6"/>
  <c r="Z64" i="6"/>
  <c r="I12" i="6"/>
  <c r="Z186" i="6"/>
  <c r="O28" i="6"/>
  <c r="Z137" i="6"/>
  <c r="M19" i="6"/>
  <c r="Z135" i="6"/>
  <c r="M17" i="6"/>
  <c r="Z57" i="6"/>
  <c r="I5" i="6"/>
  <c r="Z153" i="6"/>
  <c r="N15" i="6"/>
  <c r="Z78" i="6"/>
  <c r="J10" i="6"/>
  <c r="Z56" i="6"/>
  <c r="H20" i="6"/>
  <c r="Z59" i="6"/>
  <c r="I7" i="6"/>
  <c r="Z65" i="6"/>
  <c r="I13" i="6"/>
  <c r="Z74" i="6"/>
  <c r="J6" i="6"/>
  <c r="Z165" i="6"/>
  <c r="N27" i="6"/>
  <c r="Z79" i="6"/>
  <c r="J11" i="6"/>
  <c r="Z139" i="6"/>
  <c r="M21" i="6"/>
  <c r="Z58" i="6"/>
  <c r="I6" i="6"/>
  <c r="Z51" i="6"/>
  <c r="H15" i="6"/>
  <c r="Z187" i="6"/>
  <c r="O29" i="6"/>
  <c r="Z141" i="6"/>
  <c r="M23" i="6"/>
  <c r="Z128" i="6"/>
  <c r="M10" i="6"/>
  <c r="Z44" i="6"/>
  <c r="H8" i="6"/>
  <c r="Z154" i="6"/>
  <c r="N16" i="6"/>
  <c r="Z138" i="6"/>
  <c r="M20" i="6"/>
  <c r="Z182" i="6"/>
  <c r="O24" i="6"/>
  <c r="Z136" i="6"/>
  <c r="M18" i="6"/>
  <c r="Z76" i="6"/>
  <c r="J8" i="6"/>
  <c r="Z53" i="6"/>
  <c r="H17" i="6"/>
  <c r="Z81" i="6"/>
  <c r="J13" i="6"/>
  <c r="Z63" i="6"/>
  <c r="I11" i="6"/>
  <c r="Z68" i="6"/>
  <c r="I16" i="6"/>
  <c r="Z179" i="6"/>
  <c r="O21" i="6"/>
  <c r="Z178" i="6"/>
  <c r="O20" i="6"/>
  <c r="Z161" i="6"/>
  <c r="N23" i="6"/>
  <c r="Z158" i="6"/>
  <c r="N20" i="6"/>
  <c r="Z133" i="6"/>
  <c r="M15" i="6"/>
  <c r="Z143" i="6"/>
  <c r="M25" i="6"/>
  <c r="Z80" i="6"/>
  <c r="J12" i="6"/>
  <c r="Z83" i="6"/>
  <c r="J15" i="6"/>
  <c r="Z45" i="6"/>
  <c r="H9" i="6"/>
  <c r="Z151" i="6"/>
  <c r="N13" i="6"/>
  <c r="Z155" i="6"/>
  <c r="N17" i="6"/>
  <c r="Z146" i="6"/>
  <c r="M28" i="6"/>
  <c r="Z131" i="6"/>
  <c r="M13" i="6"/>
  <c r="Z180" i="6"/>
  <c r="O22" i="6"/>
  <c r="Z169" i="6"/>
  <c r="O11" i="6"/>
  <c r="Z166" i="6"/>
  <c r="N28" i="6"/>
  <c r="Z88" i="6"/>
  <c r="J20" i="6"/>
  <c r="Z69" i="6"/>
  <c r="I17" i="6"/>
  <c r="Z174" i="6"/>
  <c r="O16" i="6"/>
  <c r="Z43" i="6"/>
  <c r="H7" i="6"/>
  <c r="Z84" i="6"/>
  <c r="J16" i="6"/>
  <c r="Z54" i="6"/>
  <c r="H18" i="6"/>
  <c r="Z71" i="6"/>
  <c r="I19" i="6"/>
  <c r="Z176" i="6"/>
  <c r="O18" i="6"/>
  <c r="Z67" i="6"/>
  <c r="I15" i="6"/>
  <c r="Z41" i="6"/>
  <c r="H5" i="6"/>
  <c r="Z72" i="6"/>
  <c r="I20" i="6"/>
  <c r="Z173" i="6"/>
  <c r="O15" i="6"/>
  <c r="Z177" i="6"/>
  <c r="O19" i="6"/>
  <c r="Z140" i="6"/>
  <c r="M22" i="6"/>
  <c r="Z163" i="6"/>
  <c r="N25" i="6"/>
  <c r="Z50" i="6"/>
  <c r="H14" i="6"/>
  <c r="Z170" i="6"/>
  <c r="O12" i="6"/>
  <c r="Z129" i="6"/>
  <c r="M11" i="6"/>
  <c r="Z159" i="6"/>
  <c r="N21" i="6"/>
  <c r="Z77" i="6"/>
  <c r="J9" i="6"/>
  <c r="Z183" i="6"/>
  <c r="O25" i="6"/>
  <c r="Z148" i="6"/>
  <c r="N10" i="6"/>
  <c r="Z86" i="6"/>
  <c r="J18" i="6"/>
  <c r="Z55" i="6"/>
  <c r="H19" i="6"/>
  <c r="Z75" i="6"/>
  <c r="J7" i="6"/>
  <c r="Z49" i="6"/>
  <c r="H13" i="6"/>
  <c r="Z87" i="6"/>
  <c r="J19" i="6"/>
  <c r="Z184" i="6"/>
  <c r="O26" i="6"/>
  <c r="Z130" i="6"/>
  <c r="M12" i="6"/>
  <c r="Z152" i="6"/>
  <c r="N14" i="6"/>
  <c r="Z134" i="6"/>
  <c r="M16" i="6"/>
  <c r="Z73" i="6"/>
  <c r="J5" i="6"/>
  <c r="Z156" i="6"/>
  <c r="N18" i="6"/>
  <c r="Z149" i="6"/>
  <c r="N11" i="6"/>
  <c r="Z132" i="6"/>
  <c r="M14" i="6"/>
  <c r="Z82" i="6"/>
  <c r="J14" i="6"/>
  <c r="Z150" i="6"/>
  <c r="N12" i="6"/>
  <c r="Z52" i="6"/>
  <c r="H16" i="6"/>
  <c r="Z172" i="6"/>
  <c r="O14" i="6"/>
  <c r="Z42" i="6"/>
  <c r="H6" i="6"/>
  <c r="Z48" i="6"/>
  <c r="H12" i="6"/>
  <c r="Z168" i="6"/>
  <c r="O10" i="6"/>
  <c r="Z171" i="6"/>
  <c r="O13" i="6"/>
  <c r="Z167" i="6"/>
  <c r="N29" i="6"/>
  <c r="Z145" i="6"/>
  <c r="M27" i="6"/>
  <c r="Z164" i="6"/>
  <c r="N26" i="6"/>
  <c r="Z62" i="6"/>
  <c r="I10" i="6"/>
  <c r="Z157" i="6"/>
  <c r="N19" i="6"/>
  <c r="Z142" i="6"/>
  <c r="M24" i="6"/>
  <c r="Z144" i="6"/>
  <c r="M26" i="6"/>
  <c r="Z66" i="6"/>
  <c r="I14" i="6"/>
</calcChain>
</file>

<file path=xl/comments1.xml><?xml version="1.0" encoding="utf-8"?>
<comments xmlns="http://schemas.openxmlformats.org/spreadsheetml/2006/main">
  <authors>
    <author>hlee</author>
    <author>EHS</author>
  </authors>
  <commentList>
    <comment ref="A33" authorId="0">
      <text>
        <r>
          <rPr>
            <b/>
            <sz val="9"/>
            <color indexed="39"/>
            <rFont val="Tahoma"/>
            <family val="2"/>
          </rPr>
          <t xml:space="preserve">hlee: 5/6/13 Post P.H
</t>
        </r>
        <r>
          <rPr>
            <sz val="9"/>
            <color indexed="39"/>
            <rFont val="Tahoma"/>
            <family val="2"/>
          </rPr>
          <t xml:space="preserve">In response to the providers' testimony, insurance for wheel chair vans was updated from $1,500 to $3,000 and all others were updated from $1,000 to $2,000.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>
      <text>
        <r>
          <rPr>
            <sz val="8"/>
            <color indexed="81"/>
            <rFont val="Tahoma"/>
            <family val="2"/>
          </rPr>
          <t xml:space="preserve">May 2019 Average https://www.eia.gov/outlooks/steo/data.php
</t>
        </r>
      </text>
    </comment>
  </commentList>
</comments>
</file>

<file path=xl/comments2.xml><?xml version="1.0" encoding="utf-8"?>
<comments xmlns="http://schemas.openxmlformats.org/spreadsheetml/2006/main">
  <authors>
    <author>kara</author>
  </authors>
  <commentList>
    <comment ref="C5" authorId="0">
      <text>
        <r>
          <rPr>
            <sz val="9"/>
            <color indexed="81"/>
            <rFont val="Tahoma"/>
            <family val="2"/>
          </rPr>
          <t>This represents blended percentage of Direct Care and Direct Care III staff at an 88/12 blend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<sst xmlns="http://schemas.openxmlformats.org/spreadsheetml/2006/main" count="1927" uniqueCount="556">
  <si>
    <t>Management</t>
  </si>
  <si>
    <t>DC Supervisor</t>
  </si>
  <si>
    <t>DCI + DCII + DC III</t>
  </si>
  <si>
    <t>Overnight Asleep</t>
  </si>
  <si>
    <t>Overnight Awake</t>
  </si>
  <si>
    <t>Relief A*</t>
  </si>
  <si>
    <t>Relief B*</t>
  </si>
  <si>
    <t>Support</t>
  </si>
  <si>
    <t>L-B Benchmark Salaries</t>
  </si>
  <si>
    <t>Salary</t>
  </si>
  <si>
    <t>Int Benchmark Salaries</t>
  </si>
  <si>
    <t>Registered Nurse (RN)</t>
  </si>
  <si>
    <t>Clinician</t>
  </si>
  <si>
    <t>PhD Psychologist/ Psych</t>
  </si>
  <si>
    <t>Hourly</t>
  </si>
  <si>
    <t>Relief Factor</t>
  </si>
  <si>
    <t>FY19 Salaries (NOT LINKED - DON’T EDIT)</t>
  </si>
  <si>
    <t>New Medical Weights - Blended Salaries Independent by Model</t>
  </si>
  <si>
    <t>Position</t>
  </si>
  <si>
    <t>DC%</t>
  </si>
  <si>
    <t>CNA%</t>
  </si>
  <si>
    <t>TOTAL</t>
  </si>
  <si>
    <t>LPN%</t>
  </si>
  <si>
    <t>RN%</t>
  </si>
  <si>
    <t>Specialized</t>
  </si>
  <si>
    <t>Licensed</t>
  </si>
  <si>
    <t>Blend</t>
  </si>
  <si>
    <t>Relief</t>
  </si>
  <si>
    <t>DC</t>
  </si>
  <si>
    <t>CNA</t>
  </si>
  <si>
    <t>LPN</t>
  </si>
  <si>
    <t>RN</t>
  </si>
  <si>
    <t>Specialized/ Licensed 1</t>
  </si>
  <si>
    <t>Relief 1</t>
  </si>
  <si>
    <t>Specialized/ Licensed 2</t>
  </si>
  <si>
    <t>Relief 2</t>
  </si>
  <si>
    <t>Specialized/ Licensed 3</t>
  </si>
  <si>
    <t>Relief 3</t>
  </si>
  <si>
    <t>Benchmark Expenses</t>
  </si>
  <si>
    <t>Taxes &amp; Fringe</t>
  </si>
  <si>
    <t>Admin.Allocation</t>
  </si>
  <si>
    <t>Utilization Rate</t>
  </si>
  <si>
    <t>FY21 CAF</t>
  </si>
  <si>
    <t>VEHICLE</t>
  </si>
  <si>
    <t>REBASED</t>
  </si>
  <si>
    <t>DAILY</t>
  </si>
  <si>
    <t>Rate</t>
  </si>
  <si>
    <t>ANNUAL</t>
  </si>
  <si>
    <t>RATE</t>
  </si>
  <si>
    <t>Sedan</t>
  </si>
  <si>
    <t>Minivan</t>
  </si>
  <si>
    <t>Van</t>
  </si>
  <si>
    <t>Wheelchair Van</t>
  </si>
  <si>
    <t>VEHICLE UPGRADE - REBASED</t>
  </si>
  <si>
    <t>Sedan to Minivan</t>
  </si>
  <si>
    <t>Sedan to Van</t>
  </si>
  <si>
    <t>Sedan to Wheelchair Van</t>
  </si>
  <si>
    <t>Minivan to Van</t>
  </si>
  <si>
    <t>Minivan to Wheelchair Van</t>
  </si>
  <si>
    <t>Van to Wheelchair Van</t>
  </si>
  <si>
    <t>Given Total DC FTEs</t>
  </si>
  <si>
    <t>Tier</t>
  </si>
  <si>
    <t>DC FTE</t>
  </si>
  <si>
    <t>DC Overnight</t>
  </si>
  <si>
    <t>DC Day</t>
  </si>
  <si>
    <t>B03.5</t>
  </si>
  <si>
    <t>B04.0</t>
  </si>
  <si>
    <t>B04.5</t>
  </si>
  <si>
    <t>B05.0</t>
  </si>
  <si>
    <t>B05.5</t>
  </si>
  <si>
    <t>B06.5</t>
  </si>
  <si>
    <t>B07.0</t>
  </si>
  <si>
    <t>B07.5</t>
  </si>
  <si>
    <t>B08.0</t>
  </si>
  <si>
    <t>B08.5</t>
  </si>
  <si>
    <t>B09.0</t>
  </si>
  <si>
    <t>B09.5</t>
  </si>
  <si>
    <t>B10.0</t>
  </si>
  <si>
    <t>B10.5</t>
  </si>
  <si>
    <t>B11.0</t>
  </si>
  <si>
    <t>B11.5</t>
  </si>
  <si>
    <t>B12.0</t>
  </si>
  <si>
    <t>B12.5</t>
  </si>
  <si>
    <t>B13.0</t>
  </si>
  <si>
    <t>B13.5</t>
  </si>
  <si>
    <t>B14.0</t>
  </si>
  <si>
    <t>B14.5</t>
  </si>
  <si>
    <t>B15.0</t>
  </si>
  <si>
    <t>B15.5</t>
  </si>
  <si>
    <t>I03.5</t>
  </si>
  <si>
    <t>I04.0</t>
  </si>
  <si>
    <t>I04.5</t>
  </si>
  <si>
    <t>I05.0</t>
  </si>
  <si>
    <t>I05.5</t>
  </si>
  <si>
    <t>I06.5</t>
  </si>
  <si>
    <t>I07.0</t>
  </si>
  <si>
    <t>I07.5</t>
  </si>
  <si>
    <t>I08.0</t>
  </si>
  <si>
    <t>I08.5</t>
  </si>
  <si>
    <t>I09.0</t>
  </si>
  <si>
    <t>I09.5</t>
  </si>
  <si>
    <t>I10.0</t>
  </si>
  <si>
    <t>I10.5</t>
  </si>
  <si>
    <t>I11.0</t>
  </si>
  <si>
    <t>I11.5</t>
  </si>
  <si>
    <t>I12.0</t>
  </si>
  <si>
    <t>I12.5</t>
  </si>
  <si>
    <t>I13.0</t>
  </si>
  <si>
    <t>I13.5</t>
  </si>
  <si>
    <t>I14.0</t>
  </si>
  <si>
    <t>I14.5</t>
  </si>
  <si>
    <t>I15.0</t>
  </si>
  <si>
    <t>I15.5</t>
  </si>
  <si>
    <t>M03.51</t>
  </si>
  <si>
    <t>M04.01</t>
  </si>
  <si>
    <t>M04.51</t>
  </si>
  <si>
    <t>M05.01</t>
  </si>
  <si>
    <t>M05.51</t>
  </si>
  <si>
    <t>M06.51</t>
  </si>
  <si>
    <t>M07.01</t>
  </si>
  <si>
    <t>M07.51</t>
  </si>
  <si>
    <t>M08.01</t>
  </si>
  <si>
    <t>M08.51</t>
  </si>
  <si>
    <t>M09.01</t>
  </si>
  <si>
    <t>M09.51</t>
  </si>
  <si>
    <t>M10.01</t>
  </si>
  <si>
    <t>M10.51</t>
  </si>
  <si>
    <t>M11.01</t>
  </si>
  <si>
    <t>M11.51</t>
  </si>
  <si>
    <t>M12.01</t>
  </si>
  <si>
    <t>M12.51</t>
  </si>
  <si>
    <t>M13.01</t>
  </si>
  <si>
    <t>M13.51</t>
  </si>
  <si>
    <t>M14.01</t>
  </si>
  <si>
    <t>M14.51</t>
  </si>
  <si>
    <t>M15.01</t>
  </si>
  <si>
    <t>M15.51</t>
  </si>
  <si>
    <t>M03.52</t>
  </si>
  <si>
    <t>M04.02</t>
  </si>
  <si>
    <t>M04.52</t>
  </si>
  <si>
    <t>M05.02</t>
  </si>
  <si>
    <t>M05.52</t>
  </si>
  <si>
    <t>M06.52</t>
  </si>
  <si>
    <t>M07.02</t>
  </si>
  <si>
    <t>M07.52</t>
  </si>
  <si>
    <t>M08.02</t>
  </si>
  <si>
    <t>M08.52</t>
  </si>
  <si>
    <t>M09.02</t>
  </si>
  <si>
    <t>M09.52</t>
  </si>
  <si>
    <t>M10.02</t>
  </si>
  <si>
    <t>M10.52</t>
  </si>
  <si>
    <t>M11.02</t>
  </si>
  <si>
    <t>M11.52</t>
  </si>
  <si>
    <t>M12.02</t>
  </si>
  <si>
    <t>M12.52</t>
  </si>
  <si>
    <t>M13.02</t>
  </si>
  <si>
    <t>M13.52</t>
  </si>
  <si>
    <t>M14.02</t>
  </si>
  <si>
    <t>M14.52</t>
  </si>
  <si>
    <t>M15.02</t>
  </si>
  <si>
    <t>M15.52</t>
  </si>
  <si>
    <t>M03.53</t>
  </si>
  <si>
    <t>M04.03</t>
  </si>
  <si>
    <t>M04.53</t>
  </si>
  <si>
    <t>M05.03</t>
  </si>
  <si>
    <t>M05.53</t>
  </si>
  <si>
    <t>M06.53</t>
  </si>
  <si>
    <t>M07.03</t>
  </si>
  <si>
    <t>M07.53</t>
  </si>
  <si>
    <t>M08.03</t>
  </si>
  <si>
    <t>M08.53</t>
  </si>
  <si>
    <t>M09.03</t>
  </si>
  <si>
    <t>M09.53</t>
  </si>
  <si>
    <t>M10.03</t>
  </si>
  <si>
    <t>M10.53</t>
  </si>
  <si>
    <t>M11.03</t>
  </si>
  <si>
    <t>M11.53</t>
  </si>
  <si>
    <t>M12.03</t>
  </si>
  <si>
    <t>M12.53</t>
  </si>
  <si>
    <t>M13.03</t>
  </si>
  <si>
    <t>M13.53</t>
  </si>
  <si>
    <t>M14.03</t>
  </si>
  <si>
    <t>M14.53</t>
  </si>
  <si>
    <t>M15.03</t>
  </si>
  <si>
    <t>M15.53</t>
  </si>
  <si>
    <t>M03.54</t>
  </si>
  <si>
    <t>M04.04</t>
  </si>
  <si>
    <t>M04.54</t>
  </si>
  <si>
    <t>M05.04</t>
  </si>
  <si>
    <t>M05.54</t>
  </si>
  <si>
    <t>M06.64</t>
  </si>
  <si>
    <t>M06.54</t>
  </si>
  <si>
    <t>M07.04</t>
  </si>
  <si>
    <t>M07.54</t>
  </si>
  <si>
    <t>M08.04</t>
  </si>
  <si>
    <t>M08.54</t>
  </si>
  <si>
    <t>M09.04</t>
  </si>
  <si>
    <t>M09.54</t>
  </si>
  <si>
    <t>M10.04</t>
  </si>
  <si>
    <t>M10.54</t>
  </si>
  <si>
    <t>M11.04</t>
  </si>
  <si>
    <t>M11.54</t>
  </si>
  <si>
    <t>M12.04</t>
  </si>
  <si>
    <t>M12.54</t>
  </si>
  <si>
    <t>M13.04</t>
  </si>
  <si>
    <t>M13.54</t>
  </si>
  <si>
    <t>M14.04</t>
  </si>
  <si>
    <t>M14.54</t>
  </si>
  <si>
    <t>M15.04</t>
  </si>
  <si>
    <t>M15.54</t>
  </si>
  <si>
    <t>Program Manger</t>
  </si>
  <si>
    <t>Basic Benchmark Salaries</t>
  </si>
  <si>
    <t>B06.0</t>
  </si>
  <si>
    <t>I06.0</t>
  </si>
  <si>
    <t>M06.01</t>
  </si>
  <si>
    <t>M06.02</t>
  </si>
  <si>
    <t>M06.03</t>
  </si>
  <si>
    <t>Prg Manger FTE</t>
  </si>
  <si>
    <t>Prg Manger Cost</t>
  </si>
  <si>
    <t>DC Sup Cost</t>
  </si>
  <si>
    <t>DC Sup FTE</t>
  </si>
  <si>
    <t>DC Day FTE</t>
  </si>
  <si>
    <t>DC Day Cost</t>
  </si>
  <si>
    <t>DC Overnight FTE</t>
  </si>
  <si>
    <t>DC Overnight Cost</t>
  </si>
  <si>
    <t>Relief A FTE</t>
  </si>
  <si>
    <t>Relief A Cost</t>
  </si>
  <si>
    <t>Relief B FTE</t>
  </si>
  <si>
    <t>Relief B Cost</t>
  </si>
  <si>
    <t>Support FTE</t>
  </si>
  <si>
    <t>Support Cost</t>
  </si>
  <si>
    <t>Total Staffing Cost</t>
  </si>
  <si>
    <t>Tax and Fringe</t>
  </si>
  <si>
    <t>PFMLA</t>
  </si>
  <si>
    <t>Total Compensation</t>
  </si>
  <si>
    <t>RN Hours</t>
  </si>
  <si>
    <t>RN Cost</t>
  </si>
  <si>
    <t>Clincian Hours</t>
  </si>
  <si>
    <t>Clincian Cost</t>
  </si>
  <si>
    <t>Vehicle Type</t>
  </si>
  <si>
    <t xml:space="preserve"> Vehicle Add-On Rate for Adult Long Term Residential Services</t>
  </si>
  <si>
    <t>MONTHLY</t>
  </si>
  <si>
    <t>Program Type/Size</t>
  </si>
  <si>
    <t>Standard</t>
  </si>
  <si>
    <t>Wheelchair Van Usage (Add-Ons)</t>
  </si>
  <si>
    <t>Annual Service Units</t>
  </si>
  <si>
    <t>DDS/MCB Program Size</t>
  </si>
  <si>
    <t>2</t>
  </si>
  <si>
    <t>3</t>
  </si>
  <si>
    <t>6</t>
  </si>
  <si>
    <t>7</t>
  </si>
  <si>
    <t>5</t>
  </si>
  <si>
    <r>
      <rPr>
        <b/>
        <sz val="11"/>
        <rFont val="Calibri"/>
        <family val="2"/>
        <scheme val="minor"/>
      </rPr>
      <t>DDS/MCB</t>
    </r>
    <r>
      <rPr>
        <sz val="11"/>
        <rFont val="Calibri"/>
        <family val="2"/>
        <scheme val="minor"/>
      </rPr>
      <t xml:space="preserve"> # Vehicles</t>
    </r>
  </si>
  <si>
    <t>WC Van</t>
  </si>
  <si>
    <t>Acquisition Cost</t>
  </si>
  <si>
    <t>Depreciation (years)</t>
  </si>
  <si>
    <t>Repair/Maint (%/year)</t>
  </si>
  <si>
    <t>Insurance Cost</t>
  </si>
  <si>
    <t>Fuel Price/ Gallon</t>
  </si>
  <si>
    <t>Est MPG</t>
  </si>
  <si>
    <t>Est Miles/year</t>
  </si>
  <si>
    <t>Est Annual Gallons</t>
  </si>
  <si>
    <t>Est Fuel/Mile</t>
  </si>
  <si>
    <t>Annual Fuel Cost</t>
  </si>
  <si>
    <t>Est MPG Van</t>
  </si>
  <si>
    <t>Est Miles/year Van</t>
  </si>
  <si>
    <t>DDS/MCB</t>
  </si>
  <si>
    <t>Total Annual Cost</t>
  </si>
  <si>
    <t>Per Service Unit Cost</t>
  </si>
  <si>
    <t>7+</t>
  </si>
  <si>
    <t>Staff Mileage</t>
  </si>
  <si>
    <t>Other Expenses</t>
  </si>
  <si>
    <t>Total Consultants</t>
  </si>
  <si>
    <t>Transportation</t>
  </si>
  <si>
    <t>Other Expense</t>
  </si>
  <si>
    <t>Direct Admin Expenses</t>
  </si>
  <si>
    <t>Total Program Costs</t>
  </si>
  <si>
    <t>Admin Allocation</t>
  </si>
  <si>
    <t>Total Reimbursement</t>
  </si>
  <si>
    <t>Rate @ 95%</t>
  </si>
  <si>
    <t>Capacity 4+</t>
  </si>
  <si>
    <t>Capcity</t>
  </si>
  <si>
    <t>4+</t>
  </si>
  <si>
    <t>Associated Model</t>
  </si>
  <si>
    <t>Cap 4+</t>
  </si>
  <si>
    <t>Capacity</t>
  </si>
  <si>
    <t>T&amp;F</t>
  </si>
  <si>
    <t>CAF</t>
  </si>
  <si>
    <t>Billable Hours</t>
  </si>
  <si>
    <t>Embedded Rate</t>
  </si>
  <si>
    <t>Add-On Rate</t>
  </si>
  <si>
    <t>Model</t>
  </si>
  <si>
    <t>FTE</t>
  </si>
  <si>
    <t>Basic</t>
  </si>
  <si>
    <t>Intermediate</t>
  </si>
  <si>
    <t>Medical 1</t>
  </si>
  <si>
    <t>Medical 2</t>
  </si>
  <si>
    <t>Medical 3</t>
  </si>
  <si>
    <t>Capacity 1</t>
  </si>
  <si>
    <t>B03.0</t>
  </si>
  <si>
    <t>I03.0</t>
  </si>
  <si>
    <t>2-3</t>
  </si>
  <si>
    <t>Cap 1</t>
  </si>
  <si>
    <t>Cap 2-3</t>
  </si>
  <si>
    <t>Full Model Name</t>
  </si>
  <si>
    <t>03.0</t>
  </si>
  <si>
    <t>03.5</t>
  </si>
  <si>
    <t>04.0</t>
  </si>
  <si>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</si>
  <si>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</si>
  <si>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</si>
  <si>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</si>
  <si>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</si>
  <si>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</si>
  <si>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</si>
  <si>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</si>
  <si>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</si>
  <si>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</si>
  <si>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</si>
  <si>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</si>
  <si>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11.0</t>
  </si>
  <si>
    <t>12.0</t>
  </si>
  <si>
    <t>13.0</t>
  </si>
  <si>
    <t>14.0</t>
  </si>
  <si>
    <t>15.0</t>
  </si>
  <si>
    <t>1 Capacity</t>
  </si>
  <si>
    <t>2-3 Capacity</t>
  </si>
  <si>
    <t>4+ Capacity</t>
  </si>
  <si>
    <t>T&amp;F Rate</t>
  </si>
  <si>
    <t>PFMLA Rate</t>
  </si>
  <si>
    <t>CAF Rate</t>
  </si>
  <si>
    <t>B403.5</t>
  </si>
  <si>
    <t>B404.0</t>
  </si>
  <si>
    <t>B404.5</t>
  </si>
  <si>
    <t>B405.0</t>
  </si>
  <si>
    <t>B405.5</t>
  </si>
  <si>
    <t>B406.0</t>
  </si>
  <si>
    <t>B406.5</t>
  </si>
  <si>
    <t>B407.0</t>
  </si>
  <si>
    <t>B407.5</t>
  </si>
  <si>
    <t>B408.0</t>
  </si>
  <si>
    <t>B408.5</t>
  </si>
  <si>
    <t>B409.0</t>
  </si>
  <si>
    <t>B409.5</t>
  </si>
  <si>
    <t>B410.0</t>
  </si>
  <si>
    <t>B410.5</t>
  </si>
  <si>
    <t>B411.0</t>
  </si>
  <si>
    <t>B411.5</t>
  </si>
  <si>
    <t>B412.0</t>
  </si>
  <si>
    <t>B412.5</t>
  </si>
  <si>
    <t>I406.0</t>
  </si>
  <si>
    <t>I406.5</t>
  </si>
  <si>
    <t>I407.0</t>
  </si>
  <si>
    <t>I407.5</t>
  </si>
  <si>
    <t>I408.0</t>
  </si>
  <si>
    <t>I408.5</t>
  </si>
  <si>
    <t>I409.0</t>
  </si>
  <si>
    <t>I409.5</t>
  </si>
  <si>
    <t>I410.0</t>
  </si>
  <si>
    <t>I410.5</t>
  </si>
  <si>
    <t>I411.0</t>
  </si>
  <si>
    <t>I411.5</t>
  </si>
  <si>
    <t>I412.0</t>
  </si>
  <si>
    <t>I412.5</t>
  </si>
  <si>
    <t>I413.0</t>
  </si>
  <si>
    <t>I413.5</t>
  </si>
  <si>
    <t>I414.0</t>
  </si>
  <si>
    <t>I414.5</t>
  </si>
  <si>
    <t>I415.0</t>
  </si>
  <si>
    <t>I415.5</t>
  </si>
  <si>
    <t>M406.01</t>
  </si>
  <si>
    <t>M406.51</t>
  </si>
  <si>
    <t>M407.01</t>
  </si>
  <si>
    <t>M407.51</t>
  </si>
  <si>
    <t>M408.01</t>
  </si>
  <si>
    <t>M408.51</t>
  </si>
  <si>
    <t>M409.01</t>
  </si>
  <si>
    <t>M409.51</t>
  </si>
  <si>
    <t>M410.01</t>
  </si>
  <si>
    <t>M410.51</t>
  </si>
  <si>
    <t>M411.01</t>
  </si>
  <si>
    <t>M411.51</t>
  </si>
  <si>
    <t>M412.01</t>
  </si>
  <si>
    <t>M412.51</t>
  </si>
  <si>
    <t>M413.01</t>
  </si>
  <si>
    <t>M413.51</t>
  </si>
  <si>
    <t>M414.01</t>
  </si>
  <si>
    <t>M414.51</t>
  </si>
  <si>
    <t>M415.01</t>
  </si>
  <si>
    <t>M415.51</t>
  </si>
  <si>
    <t>M406.02</t>
  </si>
  <si>
    <t>M406.52</t>
  </si>
  <si>
    <t>M407.02</t>
  </si>
  <si>
    <t>M407.52</t>
  </si>
  <si>
    <t>M408.02</t>
  </si>
  <si>
    <t>M408.52</t>
  </si>
  <si>
    <t>M409.02</t>
  </si>
  <si>
    <t>M409.52</t>
  </si>
  <si>
    <t>M410.02</t>
  </si>
  <si>
    <t>M410.52</t>
  </si>
  <si>
    <t>M411.02</t>
  </si>
  <si>
    <t>M411.52</t>
  </si>
  <si>
    <t>M412.02</t>
  </si>
  <si>
    <t>M412.52</t>
  </si>
  <si>
    <t>M413.02</t>
  </si>
  <si>
    <t>M413.52</t>
  </si>
  <si>
    <t>M414.02</t>
  </si>
  <si>
    <t>M414.52</t>
  </si>
  <si>
    <t>M415.02</t>
  </si>
  <si>
    <t>M415.52</t>
  </si>
  <si>
    <t>M406.03</t>
  </si>
  <si>
    <t>M406.53</t>
  </si>
  <si>
    <t>M407.03</t>
  </si>
  <si>
    <t>M407.53</t>
  </si>
  <si>
    <t>M408.03</t>
  </si>
  <si>
    <t>M408.53</t>
  </si>
  <si>
    <t>M409.03</t>
  </si>
  <si>
    <t>M409.53</t>
  </si>
  <si>
    <t>M410.03</t>
  </si>
  <si>
    <t>M410.53</t>
  </si>
  <si>
    <t>M411.03</t>
  </si>
  <si>
    <t>M411.53</t>
  </si>
  <si>
    <t>M412.03</t>
  </si>
  <si>
    <t>M412.53</t>
  </si>
  <si>
    <t>M413.03</t>
  </si>
  <si>
    <t>M413.53</t>
  </si>
  <si>
    <t>M414.03</t>
  </si>
  <si>
    <t>M414.53</t>
  </si>
  <si>
    <t>M415.03</t>
  </si>
  <si>
    <t>M415.53</t>
  </si>
  <si>
    <t>B203.5</t>
  </si>
  <si>
    <t>B204.0</t>
  </si>
  <si>
    <t>B204.5</t>
  </si>
  <si>
    <t>B205.0</t>
  </si>
  <si>
    <t>B205.5</t>
  </si>
  <si>
    <t>B206.0</t>
  </si>
  <si>
    <t>B206.5</t>
  </si>
  <si>
    <t>B207.0</t>
  </si>
  <si>
    <t>B207.5</t>
  </si>
  <si>
    <t>B208.0</t>
  </si>
  <si>
    <t>B208.5</t>
  </si>
  <si>
    <t>B209.0</t>
  </si>
  <si>
    <t>I203.5</t>
  </si>
  <si>
    <t>I204.0</t>
  </si>
  <si>
    <t>I204.5</t>
  </si>
  <si>
    <t>I205.0</t>
  </si>
  <si>
    <t>I205.5</t>
  </si>
  <si>
    <t>I206.0</t>
  </si>
  <si>
    <t>I206.5</t>
  </si>
  <si>
    <t>I207.0</t>
  </si>
  <si>
    <t>I207.5</t>
  </si>
  <si>
    <t>I208.0</t>
  </si>
  <si>
    <t>I208.5</t>
  </si>
  <si>
    <t>I209.0</t>
  </si>
  <si>
    <t>I209.5</t>
  </si>
  <si>
    <t>I210.0</t>
  </si>
  <si>
    <t>I210.5</t>
  </si>
  <si>
    <t>I211.0</t>
  </si>
  <si>
    <t>M203.51</t>
  </si>
  <si>
    <t>M204.01</t>
  </si>
  <si>
    <t>M204.51</t>
  </si>
  <si>
    <t>M205.01</t>
  </si>
  <si>
    <t>M205.51</t>
  </si>
  <si>
    <t>M206.01</t>
  </si>
  <si>
    <t>M206.51</t>
  </si>
  <si>
    <t>M207.01</t>
  </si>
  <si>
    <t>M207.51</t>
  </si>
  <si>
    <t>M208.01</t>
  </si>
  <si>
    <t>M208.51</t>
  </si>
  <si>
    <t>M209.01</t>
  </si>
  <si>
    <t>M209.51</t>
  </si>
  <si>
    <t>M210.01</t>
  </si>
  <si>
    <t>M210.51</t>
  </si>
  <si>
    <t>M211.01</t>
  </si>
  <si>
    <t>M203.52</t>
  </si>
  <si>
    <t>M204.02</t>
  </si>
  <si>
    <t>M204.52</t>
  </si>
  <si>
    <t>M205.02</t>
  </si>
  <si>
    <t>M205.52</t>
  </si>
  <si>
    <t>M206.02</t>
  </si>
  <si>
    <t>M206.52</t>
  </si>
  <si>
    <t>M207.02</t>
  </si>
  <si>
    <t>M207.52</t>
  </si>
  <si>
    <t>M208.02</t>
  </si>
  <si>
    <t>M208.52</t>
  </si>
  <si>
    <t>M209.02</t>
  </si>
  <si>
    <t>M209.52</t>
  </si>
  <si>
    <t>M210.02</t>
  </si>
  <si>
    <t>M210.52</t>
  </si>
  <si>
    <t>M211.02</t>
  </si>
  <si>
    <t>M203.53</t>
  </si>
  <si>
    <t>M204.03</t>
  </si>
  <si>
    <t>M204.53</t>
  </si>
  <si>
    <t>M205.03</t>
  </si>
  <si>
    <t>M205.53</t>
  </si>
  <si>
    <t>M206.03</t>
  </si>
  <si>
    <t>M206.53</t>
  </si>
  <si>
    <t>M207.03</t>
  </si>
  <si>
    <t>M207.53</t>
  </si>
  <si>
    <t>M208.03</t>
  </si>
  <si>
    <t>M208.53</t>
  </si>
  <si>
    <t>M209.03</t>
  </si>
  <si>
    <t>M209.53</t>
  </si>
  <si>
    <t>M210.03</t>
  </si>
  <si>
    <t>M210.53</t>
  </si>
  <si>
    <t>M211.03</t>
  </si>
  <si>
    <t>B103.0</t>
  </si>
  <si>
    <t>I103.0</t>
  </si>
  <si>
    <t>I103.5</t>
  </si>
  <si>
    <t>I104.0</t>
  </si>
  <si>
    <t>I104.5</t>
  </si>
  <si>
    <t>I105.0</t>
  </si>
  <si>
    <t>I105.5</t>
  </si>
  <si>
    <t>I106.0</t>
  </si>
  <si>
    <t>I106.5</t>
  </si>
  <si>
    <t>I107.0</t>
  </si>
  <si>
    <t>PhD Psych</t>
  </si>
  <si>
    <t>Masters Psych</t>
  </si>
  <si>
    <t>Capacity 2-3</t>
  </si>
  <si>
    <t>A</t>
  </si>
  <si>
    <t>B</t>
  </si>
  <si>
    <t>C</t>
  </si>
  <si>
    <t>Med Level</t>
  </si>
  <si>
    <t>Model Name</t>
  </si>
  <si>
    <t xml:space="preserve">  </t>
  </si>
  <si>
    <t>ALTR 101 CMR 420  Effective 7/1/20- 6/30/22</t>
  </si>
  <si>
    <t>Direct Care</t>
  </si>
  <si>
    <t>Certified Nursing Assistant</t>
  </si>
  <si>
    <t>Clinical/Phycologist Blend</t>
  </si>
  <si>
    <t>Phycologist (PhD Lvl)</t>
  </si>
  <si>
    <t>Source</t>
  </si>
  <si>
    <t>BLS /OES Massachusetts Median 2018</t>
  </si>
  <si>
    <t>Tax &amp; Fringe</t>
  </si>
  <si>
    <t>Commonwealth FY20 Rate</t>
  </si>
  <si>
    <t>Total Tax &amp; Fringe</t>
  </si>
  <si>
    <t>Subtotal Compensation</t>
  </si>
  <si>
    <t>TOTAL COMPENSATION</t>
  </si>
  <si>
    <t>Proposed FY21 Rates</t>
  </si>
  <si>
    <t>Direct Care Productivity Chart</t>
  </si>
  <si>
    <t>Nursing and Other Staff Productivity Chart</t>
  </si>
  <si>
    <t>Days</t>
  </si>
  <si>
    <t>Hours</t>
  </si>
  <si>
    <t>Paid Time Off (PTO)</t>
  </si>
  <si>
    <t>Training (not OJT)</t>
  </si>
  <si>
    <t>Travel / Admin / Supervision / Training / Misc</t>
  </si>
  <si>
    <t>Total Hours per FTE:</t>
  </si>
  <si>
    <t>DC spec</t>
  </si>
  <si>
    <t xml:space="preserve">DC </t>
  </si>
  <si>
    <t>Clinician w/Independent License</t>
  </si>
  <si>
    <t>Direct Care (Intermediate/Medical)**</t>
  </si>
  <si>
    <t>Relief Assumptions</t>
  </si>
  <si>
    <t>Vacation/Sick Personal</t>
  </si>
  <si>
    <t>Holidays</t>
  </si>
  <si>
    <t>Training &amp; meetings</t>
  </si>
  <si>
    <t>Total hours per FTE</t>
  </si>
  <si>
    <r>
      <t>Relief Staff Ratio</t>
    </r>
    <r>
      <rPr>
        <sz val="9"/>
        <rFont val="Calibri"/>
        <family val="2"/>
        <scheme val="minor"/>
      </rPr>
      <t xml:space="preserve"> 
(% of FTEs)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</si>
</sst>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"/>
    <numFmt numFmtId="166" formatCode="0.000"/>
    <numFmt numFmtId="167" formatCode="\$#,##0.00"/>
    <numFmt numFmtId="168" formatCode="0.0%"/>
    <numFmt numFmtId="169" formatCode="_(&quot;$&quot;* #,##0.00_);_(&quot;$&quot;* \(#,##0.00\);_(&quot;$&quot;* &quot;-&quot;_);_(@_)"/>
    <numFmt numFmtId="170" formatCode="&quot;$&quot;#,##0.00"/>
    <numFmt numFmtId="171" formatCode="_(&quot;$&quot;* #,##0_);_(&quot;$&quot;* \(#,##0\);_(&quot;$&quot;* &quot;-&quot;??_);_(@_)"/>
    <numFmt numFmtId="172" formatCode="&quot;$&quot;#,##0"/>
    <numFmt numFmtId="173" formatCode="&quot;$&quot;#,##0.000"/>
    <numFmt numFmtId="174" formatCode="&quot;$&quot;#,##0.000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Accounting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name val="Calibri"/>
      <family val="2"/>
      <scheme val="minor"/>
    </font>
    <font>
      <b/>
      <sz val="9"/>
      <color indexed="39"/>
      <name val="Tahoma"/>
      <family val="2"/>
    </font>
    <font>
      <sz val="9"/>
      <color indexed="39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4"/>
      <color rgb="FF7030A0"/>
      <name val="Calibri"/>
      <family val="2"/>
    </font>
    <font>
      <b/>
      <sz val="11"/>
      <color rgb="FF7030A0"/>
      <name val="Calibri"/>
      <family val="2"/>
    </font>
    <font>
      <i/>
      <sz val="9"/>
      <name val="Calibri"/>
      <family val="2"/>
    </font>
    <font>
      <sz val="8"/>
      <name val="Calibri"/>
      <family val="2"/>
      <scheme val="minor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2"/>
      <color indexed="30"/>
      <name val="Calibri"/>
      <family val="2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</font>
    <font>
      <sz val="11"/>
      <name val="Calibri"/>
      <family val="2"/>
    </font>
    <font>
      <sz val="11"/>
      <color indexed="81"/>
      <name val="Tahoma"/>
      <family val="2"/>
    </font>
    <font>
      <sz val="8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0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44" fontId="19" fillId="0" borderId="0" applyFont="0" applyFill="0" applyBorder="0" applyAlignment="0" applyProtection="0"/>
    <xf numFmtId="0" fontId="20" fillId="0" borderId="0"/>
    <xf numFmtId="0" fontId="20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7" borderId="0" applyNumberFormat="0" applyBorder="0" applyAlignment="0" applyProtection="0"/>
    <xf numFmtId="0" fontId="29" fillId="24" borderId="41" applyNumberFormat="0" applyAlignment="0" applyProtection="0"/>
    <xf numFmtId="0" fontId="29" fillId="24" borderId="41" applyNumberFormat="0" applyAlignment="0" applyProtection="0"/>
    <xf numFmtId="0" fontId="29" fillId="24" borderId="41" applyNumberFormat="0" applyAlignment="0" applyProtection="0"/>
    <xf numFmtId="0" fontId="29" fillId="24" borderId="41" applyNumberFormat="0" applyAlignment="0" applyProtection="0"/>
    <xf numFmtId="0" fontId="30" fillId="25" borderId="42" applyNumberFormat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3" fillId="0" borderId="43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4" fillId="0" borderId="4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5" fillId="0" borderId="4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41" applyNumberFormat="0" applyAlignment="0" applyProtection="0"/>
    <xf numFmtId="0" fontId="36" fillId="11" borderId="41" applyNumberFormat="0" applyAlignment="0" applyProtection="0"/>
    <xf numFmtId="0" fontId="36" fillId="11" borderId="41" applyNumberFormat="0" applyAlignment="0" applyProtection="0"/>
    <xf numFmtId="0" fontId="36" fillId="11" borderId="41" applyNumberFormat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37" fillId="0" borderId="46" applyNumberFormat="0" applyFill="0" applyAlignment="0" applyProtection="0"/>
    <xf numFmtId="0" fontId="38" fillId="26" borderId="0" applyNumberFormat="0" applyBorder="0" applyAlignment="0" applyProtection="0"/>
    <xf numFmtId="0" fontId="20" fillId="0" borderId="0"/>
    <xf numFmtId="0" fontId="39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20" fillId="0" borderId="0"/>
    <xf numFmtId="0" fontId="1" fillId="0" borderId="0"/>
    <xf numFmtId="0" fontId="13" fillId="0" borderId="0"/>
    <xf numFmtId="0" fontId="1" fillId="0" borderId="0"/>
    <xf numFmtId="0" fontId="40" fillId="0" borderId="0"/>
    <xf numFmtId="0" fontId="20" fillId="0" borderId="0"/>
    <xf numFmtId="0" fontId="4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1" fillId="0" borderId="0"/>
    <xf numFmtId="0" fontId="20" fillId="0" borderId="0"/>
    <xf numFmtId="0" fontId="1" fillId="0" borderId="0"/>
    <xf numFmtId="0" fontId="20" fillId="0" borderId="0"/>
    <xf numFmtId="0" fontId="13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20" fillId="27" borderId="47" applyNumberFormat="0" applyFont="0" applyAlignment="0" applyProtection="0"/>
    <xf numFmtId="0" fontId="42" fillId="24" borderId="48" applyNumberFormat="0" applyAlignment="0" applyProtection="0"/>
    <xf numFmtId="0" fontId="42" fillId="24" borderId="48" applyNumberFormat="0" applyAlignment="0" applyProtection="0"/>
    <xf numFmtId="0" fontId="42" fillId="24" borderId="48" applyNumberFormat="0" applyAlignment="0" applyProtection="0"/>
    <xf numFmtId="0" fontId="42" fillId="24" borderId="48" applyNumberFormat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45" fillId="0" borderId="49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6" fillId="28" borderId="0" applyNumberFormat="0" applyBorder="0" applyAlignment="0" applyProtection="0"/>
    <xf numFmtId="0" fontId="57" fillId="0" borderId="87" applyNumberFormat="0" applyFont="0" applyProtection="0">
      <alignment wrapText="1"/>
    </xf>
    <xf numFmtId="41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88" applyNumberFormat="0" applyProtection="0">
      <alignment wrapText="1"/>
    </xf>
    <xf numFmtId="0" fontId="58" fillId="0" borderId="89" applyNumberFormat="0" applyProtection="0">
      <alignment wrapText="1"/>
    </xf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6" fillId="0" borderId="0"/>
    <xf numFmtId="0" fontId="20" fillId="0" borderId="0"/>
    <xf numFmtId="0" fontId="13" fillId="0" borderId="0"/>
    <xf numFmtId="0" fontId="26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39" fillId="0" borderId="0">
      <alignment vertical="top"/>
    </xf>
    <xf numFmtId="0" fontId="1" fillId="0" borderId="0"/>
    <xf numFmtId="0" fontId="13" fillId="0" borderId="0"/>
    <xf numFmtId="0" fontId="13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90" applyNumberFormat="0" applyProtection="0">
      <alignment wrapText="1"/>
    </xf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 applyNumberFormat="0" applyProtection="0">
      <alignment horizontal="left"/>
    </xf>
  </cellStyleXfs>
  <cellXfs count="540">
    <xf numFmtId="0" fontId="0" fillId="0" borderId="0" xfId="0"/>
    <xf numFmtId="0" fontId="10" fillId="0" borderId="0" xfId="0" applyFont="1"/>
    <xf numFmtId="164" fontId="11" fillId="0" borderId="8" xfId="3" applyNumberFormat="1" applyFont="1" applyFill="1" applyBorder="1" applyAlignment="1">
      <alignment horizontal="center" wrapText="1"/>
    </xf>
    <xf numFmtId="165" fontId="11" fillId="0" borderId="8" xfId="3" applyNumberFormat="1" applyFont="1" applyFill="1" applyBorder="1" applyAlignment="1">
      <alignment horizontal="center" wrapText="1"/>
    </xf>
    <xf numFmtId="164" fontId="11" fillId="0" borderId="9" xfId="3" applyNumberFormat="1" applyFont="1" applyFill="1" applyBorder="1" applyAlignment="1">
      <alignment horizontal="center" wrapText="1"/>
    </xf>
    <xf numFmtId="2" fontId="11" fillId="0" borderId="0" xfId="3" applyNumberFormat="1" applyFont="1" applyFill="1" applyBorder="1" applyAlignment="1">
      <alignment horizontal="center"/>
    </xf>
    <xf numFmtId="164" fontId="11" fillId="0" borderId="10" xfId="3" applyNumberFormat="1" applyFont="1" applyFill="1" applyBorder="1" applyAlignment="1">
      <alignment horizontal="left" wrapText="1"/>
    </xf>
    <xf numFmtId="167" fontId="11" fillId="0" borderId="0" xfId="3" applyNumberFormat="1" applyFont="1" applyFill="1" applyBorder="1" applyAlignment="1">
      <alignment vertical="top" wrapText="1"/>
    </xf>
    <xf numFmtId="164" fontId="14" fillId="0" borderId="15" xfId="0" applyNumberFormat="1" applyFont="1" applyBorder="1"/>
    <xf numFmtId="164" fontId="14" fillId="0" borderId="0" xfId="0" applyNumberFormat="1" applyFont="1" applyBorder="1"/>
    <xf numFmtId="164" fontId="11" fillId="3" borderId="25" xfId="3" applyNumberFormat="1" applyFont="1" applyFill="1" applyBorder="1" applyAlignment="1">
      <alignment horizontal="center" wrapText="1"/>
    </xf>
    <xf numFmtId="165" fontId="11" fillId="3" borderId="25" xfId="3" applyNumberFormat="1" applyFont="1" applyFill="1" applyBorder="1" applyAlignment="1">
      <alignment horizontal="center" wrapText="1"/>
    </xf>
    <xf numFmtId="164" fontId="11" fillId="3" borderId="24" xfId="3" applyNumberFormat="1" applyFont="1" applyFill="1" applyBorder="1" applyAlignment="1">
      <alignment horizontal="center" wrapText="1"/>
    </xf>
    <xf numFmtId="164" fontId="11" fillId="3" borderId="18" xfId="3" applyNumberFormat="1" applyFont="1" applyFill="1" applyBorder="1" applyAlignment="1">
      <alignment horizontal="left" wrapText="1"/>
    </xf>
    <xf numFmtId="164" fontId="11" fillId="3" borderId="20" xfId="3" applyNumberFormat="1" applyFont="1" applyFill="1" applyBorder="1" applyAlignment="1">
      <alignment horizontal="left" wrapText="1"/>
    </xf>
    <xf numFmtId="164" fontId="11" fillId="0" borderId="0" xfId="3" applyNumberFormat="1" applyFont="1" applyFill="1" applyBorder="1" applyAlignment="1">
      <alignment horizontal="left" wrapText="1"/>
    </xf>
    <xf numFmtId="44" fontId="16" fillId="0" borderId="15" xfId="1" applyNumberFormat="1" applyFont="1" applyFill="1" applyBorder="1" applyAlignment="1">
      <alignment horizontal="center" vertical="center" wrapText="1"/>
    </xf>
    <xf numFmtId="44" fontId="16" fillId="0" borderId="16" xfId="1" applyNumberFormat="1" applyFont="1" applyFill="1" applyBorder="1" applyAlignment="1">
      <alignment horizontal="center" vertical="center" wrapText="1"/>
    </xf>
    <xf numFmtId="2" fontId="16" fillId="0" borderId="10" xfId="2" applyNumberFormat="1" applyFont="1" applyFill="1" applyBorder="1" applyAlignment="1">
      <alignment horizontal="center" wrapText="1"/>
    </xf>
    <xf numFmtId="2" fontId="16" fillId="0" borderId="0" xfId="2" applyNumberFormat="1" applyFont="1" applyFill="1" applyBorder="1" applyAlignment="1">
      <alignment horizontal="center" wrapText="1"/>
    </xf>
    <xf numFmtId="8" fontId="11" fillId="0" borderId="10" xfId="0" applyNumberFormat="1" applyFont="1" applyFill="1" applyBorder="1" applyAlignment="1">
      <alignment horizontal="center" vertical="center" wrapText="1"/>
    </xf>
    <xf numFmtId="2" fontId="16" fillId="0" borderId="12" xfId="2" applyNumberFormat="1" applyFont="1" applyFill="1" applyBorder="1" applyAlignment="1">
      <alignment horizontal="center" wrapText="1"/>
    </xf>
    <xf numFmtId="2" fontId="16" fillId="0" borderId="13" xfId="2" applyNumberFormat="1" applyFont="1" applyFill="1" applyBorder="1" applyAlignment="1">
      <alignment horizontal="center" wrapText="1"/>
    </xf>
    <xf numFmtId="2" fontId="16" fillId="0" borderId="0" xfId="0" applyNumberFormat="1" applyFont="1" applyFill="1" applyBorder="1" applyAlignment="1">
      <alignment horizontal="center" wrapText="1"/>
    </xf>
    <xf numFmtId="49" fontId="16" fillId="0" borderId="7" xfId="0" applyNumberFormat="1" applyFont="1" applyFill="1" applyBorder="1" applyAlignment="1">
      <alignment wrapText="1"/>
    </xf>
    <xf numFmtId="49" fontId="16" fillId="0" borderId="8" xfId="0" applyNumberFormat="1" applyFont="1" applyFill="1" applyBorder="1" applyAlignment="1">
      <alignment wrapText="1"/>
    </xf>
    <xf numFmtId="49" fontId="16" fillId="0" borderId="9" xfId="0" applyNumberFormat="1" applyFont="1" applyFill="1" applyBorder="1" applyAlignment="1">
      <alignment wrapText="1"/>
    </xf>
    <xf numFmtId="165" fontId="11" fillId="0" borderId="0" xfId="3" applyNumberFormat="1" applyFont="1" applyFill="1" applyBorder="1" applyAlignment="1">
      <alignment horizontal="left" wrapText="1"/>
    </xf>
    <xf numFmtId="0" fontId="12" fillId="0" borderId="0" xfId="3" applyFont="1" applyBorder="1" applyAlignment="1">
      <alignment wrapText="1"/>
    </xf>
    <xf numFmtId="8" fontId="21" fillId="0" borderId="7" xfId="6" applyNumberFormat="1" applyFont="1" applyFill="1" applyBorder="1" applyAlignment="1">
      <alignment horizontal="center" vertical="center"/>
    </xf>
    <xf numFmtId="8" fontId="21" fillId="0" borderId="26" xfId="6" applyNumberFormat="1" applyFont="1" applyFill="1" applyBorder="1" applyAlignment="1">
      <alignment horizontal="center"/>
    </xf>
    <xf numFmtId="8" fontId="21" fillId="0" borderId="12" xfId="6" applyNumberFormat="1" applyFont="1" applyFill="1" applyBorder="1" applyAlignment="1">
      <alignment horizontal="center" vertical="center"/>
    </xf>
    <xf numFmtId="8" fontId="21" fillId="0" borderId="28" xfId="6" applyNumberFormat="1" applyFont="1" applyFill="1" applyBorder="1" applyAlignment="1">
      <alignment horizontal="center"/>
    </xf>
    <xf numFmtId="0" fontId="22" fillId="0" borderId="0" xfId="7" applyFont="1" applyBorder="1"/>
    <xf numFmtId="0" fontId="22" fillId="0" borderId="0" xfId="7" applyFont="1" applyBorder="1" applyAlignment="1">
      <alignment horizontal="center"/>
    </xf>
    <xf numFmtId="44" fontId="23" fillId="0" borderId="0" xfId="1" applyFont="1" applyBorder="1" applyAlignment="1">
      <alignment horizontal="right"/>
    </xf>
    <xf numFmtId="8" fontId="24" fillId="0" borderId="34" xfId="6" applyNumberFormat="1" applyFont="1" applyFill="1" applyBorder="1" applyAlignment="1">
      <alignment horizontal="left"/>
    </xf>
    <xf numFmtId="8" fontId="24" fillId="0" borderId="35" xfId="6" applyNumberFormat="1" applyFont="1" applyFill="1" applyBorder="1" applyAlignment="1">
      <alignment horizontal="center"/>
    </xf>
    <xf numFmtId="8" fontId="24" fillId="0" borderId="36" xfId="6" applyNumberFormat="1" applyFont="1" applyFill="1" applyBorder="1" applyAlignment="1">
      <alignment horizontal="left"/>
    </xf>
    <xf numFmtId="8" fontId="24" fillId="0" borderId="38" xfId="6" applyNumberFormat="1" applyFont="1" applyFill="1" applyBorder="1" applyAlignment="1">
      <alignment horizontal="left"/>
    </xf>
    <xf numFmtId="44" fontId="24" fillId="0" borderId="39" xfId="6" applyNumberFormat="1" applyFont="1" applyFill="1" applyBorder="1" applyAlignment="1">
      <alignment horizontal="center"/>
    </xf>
    <xf numFmtId="0" fontId="21" fillId="0" borderId="7" xfId="6" applyFont="1" applyFill="1" applyBorder="1" applyAlignment="1">
      <alignment vertical="top"/>
    </xf>
    <xf numFmtId="8" fontId="24" fillId="0" borderId="10" xfId="6" applyNumberFormat="1" applyFont="1" applyFill="1" applyBorder="1" applyAlignment="1">
      <alignment vertical="top"/>
    </xf>
    <xf numFmtId="0" fontId="23" fillId="0" borderId="0" xfId="7" applyFont="1" applyBorder="1"/>
    <xf numFmtId="0" fontId="23" fillId="0" borderId="0" xfId="7" applyFont="1" applyBorder="1" applyAlignment="1">
      <alignment horizontal="center"/>
    </xf>
    <xf numFmtId="8" fontId="24" fillId="0" borderId="12" xfId="6" applyNumberFormat="1" applyFont="1" applyFill="1" applyBorder="1" applyAlignment="1">
      <alignment vertical="top"/>
    </xf>
    <xf numFmtId="44" fontId="23" fillId="0" borderId="0" xfId="1" applyFont="1" applyBorder="1"/>
    <xf numFmtId="166" fontId="11" fillId="0" borderId="0" xfId="3" applyNumberFormat="1" applyFont="1" applyFill="1" applyBorder="1" applyAlignment="1">
      <alignment horizontal="center" wrapText="1"/>
    </xf>
    <xf numFmtId="166" fontId="12" fillId="0" borderId="0" xfId="0" applyNumberFormat="1" applyFont="1" applyBorder="1" applyAlignment="1">
      <alignment horizontal="center" wrapText="1"/>
    </xf>
    <xf numFmtId="164" fontId="11" fillId="0" borderId="7" xfId="4" applyNumberFormat="1" applyFont="1" applyFill="1" applyBorder="1" applyAlignment="1">
      <alignment horizontal="right" wrapText="1"/>
    </xf>
    <xf numFmtId="164" fontId="11" fillId="0" borderId="8" xfId="4" applyNumberFormat="1" applyFont="1" applyFill="1" applyBorder="1" applyAlignment="1">
      <alignment horizontal="center" vertical="center" wrapText="1"/>
    </xf>
    <xf numFmtId="164" fontId="11" fillId="0" borderId="9" xfId="4" applyNumberFormat="1" applyFont="1" applyFill="1" applyBorder="1" applyAlignment="1">
      <alignment horizontal="center" vertical="center" wrapText="1"/>
    </xf>
    <xf numFmtId="165" fontId="11" fillId="5" borderId="16" xfId="3" applyNumberFormat="1" applyFont="1" applyFill="1" applyBorder="1" applyAlignment="1">
      <alignment horizontal="center" vertical="center" wrapText="1"/>
    </xf>
    <xf numFmtId="164" fontId="11" fillId="5" borderId="16" xfId="4" applyNumberFormat="1" applyFont="1" applyFill="1" applyBorder="1" applyAlignment="1">
      <alignment horizontal="center" vertical="center" wrapText="1"/>
    </xf>
    <xf numFmtId="164" fontId="11" fillId="5" borderId="16" xfId="3" applyNumberFormat="1" applyFont="1" applyFill="1" applyBorder="1" applyAlignment="1">
      <alignment horizontal="center" vertical="center" wrapText="1"/>
    </xf>
    <xf numFmtId="164" fontId="11" fillId="5" borderId="17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4" fillId="0" borderId="0" xfId="6" applyFont="1"/>
    <xf numFmtId="0" fontId="47" fillId="0" borderId="0" xfId="6" applyFont="1" applyAlignment="1">
      <alignment horizontal="left"/>
    </xf>
    <xf numFmtId="43" fontId="1" fillId="0" borderId="0" xfId="38" applyFont="1"/>
    <xf numFmtId="0" fontId="21" fillId="0" borderId="15" xfId="6" applyFont="1" applyFill="1" applyBorder="1" applyAlignment="1">
      <alignment horizontal="left" vertical="top"/>
    </xf>
    <xf numFmtId="0" fontId="21" fillId="0" borderId="16" xfId="6" applyFont="1" applyFill="1" applyBorder="1" applyAlignment="1">
      <alignment horizontal="left" vertical="top"/>
    </xf>
    <xf numFmtId="0" fontId="21" fillId="0" borderId="17" xfId="6" applyFont="1" applyFill="1" applyBorder="1" applyAlignment="1">
      <alignment horizontal="right" vertical="top"/>
    </xf>
    <xf numFmtId="8" fontId="24" fillId="0" borderId="0" xfId="6" applyNumberFormat="1" applyFont="1"/>
    <xf numFmtId="8" fontId="24" fillId="0" borderId="50" xfId="6" applyNumberFormat="1" applyFont="1" applyFill="1" applyBorder="1" applyAlignment="1">
      <alignment horizontal="left" vertical="top"/>
    </xf>
    <xf numFmtId="8" fontId="24" fillId="0" borderId="51" xfId="6" applyNumberFormat="1" applyFont="1" applyFill="1" applyBorder="1" applyAlignment="1">
      <alignment horizontal="left" vertical="top"/>
    </xf>
    <xf numFmtId="8" fontId="24" fillId="0" borderId="51" xfId="6" applyNumberFormat="1" applyFont="1" applyFill="1" applyBorder="1" applyAlignment="1">
      <alignment horizontal="right" vertical="top"/>
    </xf>
    <xf numFmtId="8" fontId="24" fillId="0" borderId="54" xfId="6" applyNumberFormat="1" applyFont="1" applyFill="1" applyBorder="1" applyAlignment="1">
      <alignment horizontal="left" vertical="top"/>
    </xf>
    <xf numFmtId="8" fontId="24" fillId="0" borderId="37" xfId="6" applyNumberFormat="1" applyFont="1" applyFill="1" applyBorder="1" applyAlignment="1">
      <alignment horizontal="left" vertical="top"/>
    </xf>
    <xf numFmtId="8" fontId="24" fillId="0" borderId="37" xfId="6" applyNumberFormat="1" applyFont="1" applyFill="1" applyBorder="1" applyAlignment="1">
      <alignment horizontal="right" vertical="top"/>
    </xf>
    <xf numFmtId="8" fontId="24" fillId="0" borderId="34" xfId="6" applyNumberFormat="1" applyFont="1" applyBorder="1" applyAlignment="1">
      <alignment horizontal="left"/>
    </xf>
    <xf numFmtId="8" fontId="24" fillId="0" borderId="36" xfId="6" applyNumberFormat="1" applyFont="1" applyBorder="1" applyAlignment="1">
      <alignment horizontal="left"/>
    </xf>
    <xf numFmtId="8" fontId="24" fillId="0" borderId="38" xfId="6" applyNumberFormat="1" applyFont="1" applyBorder="1" applyAlignment="1">
      <alignment horizontal="left"/>
    </xf>
    <xf numFmtId="8" fontId="24" fillId="0" borderId="57" xfId="6" applyNumberFormat="1" applyFont="1" applyFill="1" applyBorder="1" applyAlignment="1">
      <alignment horizontal="left" vertical="top"/>
    </xf>
    <xf numFmtId="8" fontId="24" fillId="0" borderId="39" xfId="6" applyNumberFormat="1" applyFont="1" applyFill="1" applyBorder="1" applyAlignment="1">
      <alignment horizontal="left" vertical="top"/>
    </xf>
    <xf numFmtId="8" fontId="24" fillId="0" borderId="39" xfId="6" applyNumberFormat="1" applyFont="1" applyFill="1" applyBorder="1" applyAlignment="1">
      <alignment horizontal="right" vertical="top"/>
    </xf>
    <xf numFmtId="0" fontId="24" fillId="0" borderId="7" xfId="6" applyFont="1" applyBorder="1"/>
    <xf numFmtId="43" fontId="1" fillId="0" borderId="8" xfId="38" applyFont="1" applyBorder="1"/>
    <xf numFmtId="0" fontId="24" fillId="0" borderId="10" xfId="6" applyFont="1" applyBorder="1"/>
    <xf numFmtId="43" fontId="1" fillId="0" borderId="0" xfId="38" applyFont="1" applyBorder="1"/>
    <xf numFmtId="43" fontId="1" fillId="0" borderId="10" xfId="38" applyFont="1" applyBorder="1"/>
    <xf numFmtId="0" fontId="24" fillId="0" borderId="63" xfId="6" applyFont="1" applyBorder="1" applyAlignment="1">
      <alignment horizontal="center"/>
    </xf>
    <xf numFmtId="43" fontId="21" fillId="0" borderId="64" xfId="38" applyFont="1" applyBorder="1"/>
    <xf numFmtId="43" fontId="1" fillId="0" borderId="65" xfId="38" applyFont="1" applyBorder="1"/>
    <xf numFmtId="0" fontId="24" fillId="0" borderId="66" xfId="6" applyFont="1" applyBorder="1" applyAlignment="1">
      <alignment horizontal="center"/>
    </xf>
    <xf numFmtId="16" fontId="24" fillId="0" borderId="66" xfId="6" quotePrefix="1" applyNumberFormat="1" applyFont="1" applyBorder="1" applyAlignment="1">
      <alignment horizontal="center"/>
    </xf>
    <xf numFmtId="0" fontId="24" fillId="0" borderId="66" xfId="6" quotePrefix="1" applyFont="1" applyBorder="1" applyAlignment="1">
      <alignment horizontal="center"/>
    </xf>
    <xf numFmtId="0" fontId="24" fillId="0" borderId="67" xfId="6" quotePrefix="1" applyFont="1" applyBorder="1" applyAlignment="1">
      <alignment horizontal="center"/>
    </xf>
    <xf numFmtId="43" fontId="24" fillId="0" borderId="68" xfId="38" applyFont="1" applyBorder="1"/>
    <xf numFmtId="43" fontId="1" fillId="0" borderId="69" xfId="38" applyFont="1" applyBorder="1"/>
    <xf numFmtId="0" fontId="24" fillId="0" borderId="70" xfId="6" applyFont="1" applyBorder="1" applyAlignment="1">
      <alignment horizontal="center"/>
    </xf>
    <xf numFmtId="0" fontId="24" fillId="0" borderId="71" xfId="6" applyFont="1" applyBorder="1" applyAlignment="1">
      <alignment horizontal="center"/>
    </xf>
    <xf numFmtId="43" fontId="1" fillId="0" borderId="15" xfId="38" applyFont="1" applyBorder="1"/>
    <xf numFmtId="43" fontId="1" fillId="0" borderId="72" xfId="38" applyFont="1" applyBorder="1"/>
    <xf numFmtId="16" fontId="24" fillId="0" borderId="73" xfId="6" applyNumberFormat="1" applyFont="1" applyBorder="1" applyAlignment="1">
      <alignment horizontal="center"/>
    </xf>
    <xf numFmtId="0" fontId="24" fillId="0" borderId="73" xfId="6" applyFont="1" applyBorder="1" applyAlignment="1">
      <alignment horizontal="center"/>
    </xf>
    <xf numFmtId="0" fontId="24" fillId="0" borderId="74" xfId="6" applyFont="1" applyBorder="1" applyAlignment="1">
      <alignment horizontal="center"/>
    </xf>
    <xf numFmtId="0" fontId="24" fillId="0" borderId="75" xfId="6" applyFont="1" applyBorder="1"/>
    <xf numFmtId="0" fontId="24" fillId="0" borderId="31" xfId="6" applyFont="1" applyBorder="1"/>
    <xf numFmtId="0" fontId="24" fillId="0" borderId="32" xfId="6" applyFont="1" applyBorder="1"/>
    <xf numFmtId="0" fontId="21" fillId="0" borderId="76" xfId="6" applyFont="1" applyBorder="1"/>
    <xf numFmtId="43" fontId="1" fillId="0" borderId="77" xfId="38" applyFont="1" applyBorder="1"/>
    <xf numFmtId="43" fontId="1" fillId="0" borderId="78" xfId="38" applyFont="1" applyBorder="1"/>
    <xf numFmtId="0" fontId="24" fillId="0" borderId="78" xfId="6" applyFont="1" applyBorder="1"/>
    <xf numFmtId="0" fontId="24" fillId="0" borderId="79" xfId="6" applyFont="1" applyBorder="1"/>
    <xf numFmtId="6" fontId="1" fillId="0" borderId="30" xfId="38" applyNumberFormat="1" applyFont="1" applyFill="1" applyBorder="1"/>
    <xf numFmtId="43" fontId="1" fillId="0" borderId="29" xfId="38" applyFont="1" applyBorder="1"/>
    <xf numFmtId="0" fontId="24" fillId="0" borderId="29" xfId="6" applyFont="1" applyBorder="1"/>
    <xf numFmtId="43" fontId="1" fillId="0" borderId="29" xfId="38" applyFont="1" applyFill="1" applyBorder="1"/>
    <xf numFmtId="43" fontId="1" fillId="0" borderId="77" xfId="38" applyFont="1" applyFill="1" applyBorder="1"/>
    <xf numFmtId="43" fontId="24" fillId="0" borderId="29" xfId="6" applyNumberFormat="1" applyFont="1" applyBorder="1"/>
    <xf numFmtId="9" fontId="1" fillId="0" borderId="77" xfId="201" applyFont="1" applyFill="1" applyBorder="1"/>
    <xf numFmtId="8" fontId="1" fillId="0" borderId="29" xfId="201" applyNumberFormat="1" applyFont="1" applyFill="1" applyBorder="1"/>
    <xf numFmtId="8" fontId="24" fillId="0" borderId="29" xfId="6" applyNumberFormat="1" applyFont="1" applyBorder="1"/>
    <xf numFmtId="8" fontId="1" fillId="0" borderId="29" xfId="38" applyNumberFormat="1" applyFont="1" applyFill="1" applyBorder="1"/>
    <xf numFmtId="6" fontId="1" fillId="0" borderId="32" xfId="38" applyNumberFormat="1" applyFont="1" applyFill="1" applyBorder="1"/>
    <xf numFmtId="0" fontId="21" fillId="0" borderId="76" xfId="6" applyFont="1" applyFill="1" applyBorder="1"/>
    <xf numFmtId="6" fontId="1" fillId="0" borderId="77" xfId="38" applyNumberFormat="1" applyFont="1" applyFill="1" applyBorder="1"/>
    <xf numFmtId="8" fontId="1" fillId="0" borderId="33" xfId="38" applyNumberFormat="1" applyFont="1" applyFill="1" applyBorder="1"/>
    <xf numFmtId="8" fontId="24" fillId="0" borderId="33" xfId="6" applyNumberFormat="1" applyFont="1" applyBorder="1"/>
    <xf numFmtId="0" fontId="24" fillId="0" borderId="0" xfId="6" applyFont="1" applyBorder="1"/>
    <xf numFmtId="8" fontId="1" fillId="0" borderId="0" xfId="38" applyNumberFormat="1" applyFont="1"/>
    <xf numFmtId="0" fontId="21" fillId="0" borderId="61" xfId="6" applyFont="1" applyBorder="1"/>
    <xf numFmtId="8" fontId="24" fillId="0" borderId="76" xfId="6" applyNumberFormat="1" applyFont="1" applyBorder="1"/>
    <xf numFmtId="8" fontId="24" fillId="0" borderId="80" xfId="6" applyNumberFormat="1" applyFont="1" applyBorder="1"/>
    <xf numFmtId="8" fontId="24" fillId="0" borderId="77" xfId="6" applyNumberFormat="1" applyFont="1" applyBorder="1"/>
    <xf numFmtId="8" fontId="1" fillId="0" borderId="0" xfId="38" applyNumberFormat="1" applyFont="1" applyFill="1" applyBorder="1"/>
    <xf numFmtId="8" fontId="24" fillId="0" borderId="79" xfId="6" applyNumberFormat="1" applyFont="1" applyBorder="1"/>
    <xf numFmtId="8" fontId="24" fillId="0" borderId="0" xfId="6" applyNumberFormat="1" applyFont="1" applyBorder="1"/>
    <xf numFmtId="8" fontId="24" fillId="0" borderId="30" xfId="6" applyNumberFormat="1" applyFont="1" applyBorder="1"/>
    <xf numFmtId="43" fontId="1" fillId="0" borderId="30" xfId="38" applyFont="1" applyFill="1" applyBorder="1"/>
    <xf numFmtId="8" fontId="1" fillId="0" borderId="30" xfId="115" applyNumberFormat="1" applyFont="1" applyFill="1" applyBorder="1"/>
    <xf numFmtId="8" fontId="1" fillId="0" borderId="32" xfId="115" applyNumberFormat="1" applyFont="1" applyFill="1" applyBorder="1"/>
    <xf numFmtId="8" fontId="1" fillId="0" borderId="0" xfId="115" applyNumberFormat="1" applyFont="1" applyFill="1" applyBorder="1"/>
    <xf numFmtId="8" fontId="1" fillId="0" borderId="79" xfId="38" applyNumberFormat="1" applyFont="1" applyBorder="1"/>
    <xf numFmtId="8" fontId="1" fillId="0" borderId="0" xfId="38" applyNumberFormat="1" applyFont="1" applyBorder="1"/>
    <xf numFmtId="8" fontId="1" fillId="0" borderId="0" xfId="115" applyNumberFormat="1" applyFont="1" applyBorder="1"/>
    <xf numFmtId="8" fontId="1" fillId="0" borderId="31" xfId="115" applyNumberFormat="1" applyFont="1" applyBorder="1"/>
    <xf numFmtId="8" fontId="24" fillId="0" borderId="75" xfId="6" applyNumberFormat="1" applyFont="1" applyBorder="1"/>
    <xf numFmtId="8" fontId="24" fillId="0" borderId="31" xfId="6" applyNumberFormat="1" applyFont="1" applyBorder="1"/>
    <xf numFmtId="8" fontId="24" fillId="0" borderId="32" xfId="6" applyNumberFormat="1" applyFont="1" applyBorder="1"/>
    <xf numFmtId="44" fontId="1" fillId="0" borderId="0" xfId="115" applyFont="1" applyBorder="1"/>
    <xf numFmtId="43" fontId="24" fillId="0" borderId="0" xfId="6" applyNumberFormat="1" applyFont="1" applyBorder="1"/>
    <xf numFmtId="0" fontId="47" fillId="0" borderId="0" xfId="6" applyFont="1"/>
    <xf numFmtId="0" fontId="24" fillId="0" borderId="76" xfId="6" applyFont="1" applyBorder="1"/>
    <xf numFmtId="43" fontId="1" fillId="0" borderId="31" xfId="38" applyFont="1" applyBorder="1"/>
    <xf numFmtId="0" fontId="47" fillId="0" borderId="0" xfId="6" applyFont="1" applyBorder="1"/>
    <xf numFmtId="8" fontId="24" fillId="0" borderId="37" xfId="6" applyNumberFormat="1" applyFont="1" applyFill="1" applyBorder="1" applyAlignment="1">
      <alignment horizontal="center"/>
    </xf>
    <xf numFmtId="8" fontId="24" fillId="0" borderId="31" xfId="6" applyNumberFormat="1" applyFont="1" applyFill="1" applyBorder="1" applyAlignment="1">
      <alignment horizontal="center"/>
    </xf>
    <xf numFmtId="164" fontId="11" fillId="0" borderId="26" xfId="3" applyNumberFormat="1" applyFont="1" applyBorder="1" applyAlignment="1">
      <alignment horizontal="center" vertical="center" wrapText="1"/>
    </xf>
    <xf numFmtId="164" fontId="11" fillId="0" borderId="28" xfId="3" applyNumberFormat="1" applyFont="1" applyBorder="1" applyAlignment="1">
      <alignment horizontal="center" vertical="center" wrapText="1"/>
    </xf>
    <xf numFmtId="44" fontId="0" fillId="0" borderId="0" xfId="1" applyFont="1"/>
    <xf numFmtId="10" fontId="0" fillId="0" borderId="0" xfId="0" applyNumberFormat="1"/>
    <xf numFmtId="165" fontId="25" fillId="0" borderId="0" xfId="4" applyNumberFormat="1" applyFont="1" applyFill="1" applyBorder="1" applyAlignment="1">
      <alignment horizontal="center" wrapText="1"/>
    </xf>
    <xf numFmtId="164" fontId="11" fillId="5" borderId="8" xfId="3" applyNumberFormat="1" applyFont="1" applyFill="1" applyBorder="1" applyAlignment="1">
      <alignment horizontal="center" vertical="center" wrapText="1"/>
    </xf>
    <xf numFmtId="165" fontId="11" fillId="5" borderId="8" xfId="3" applyNumberFormat="1" applyFont="1" applyFill="1" applyBorder="1" applyAlignment="1">
      <alignment horizontal="center" vertical="center" wrapText="1"/>
    </xf>
    <xf numFmtId="164" fontId="11" fillId="5" borderId="8" xfId="4" applyNumberFormat="1" applyFont="1" applyFill="1" applyBorder="1" applyAlignment="1">
      <alignment horizontal="center" vertical="center" wrapText="1"/>
    </xf>
    <xf numFmtId="164" fontId="11" fillId="5" borderId="9" xfId="4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164" fontId="11" fillId="0" borderId="27" xfId="3" applyNumberFormat="1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4" fontId="1" fillId="0" borderId="7" xfId="1" applyFont="1" applyFill="1" applyBorder="1" applyAlignment="1">
      <alignment horizontal="center"/>
    </xf>
    <xf numFmtId="44" fontId="1" fillId="0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10" xfId="0" applyFont="1" applyFill="1" applyBorder="1"/>
    <xf numFmtId="44" fontId="1" fillId="0" borderId="11" xfId="1" applyFont="1" applyFill="1" applyBorder="1" applyAlignment="1">
      <alignment horizontal="center"/>
    </xf>
    <xf numFmtId="44" fontId="1" fillId="0" borderId="10" xfId="1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1" xfId="0" applyFont="1" applyFill="1" applyBorder="1"/>
    <xf numFmtId="0" fontId="1" fillId="0" borderId="82" xfId="0" applyFont="1" applyFill="1" applyBorder="1"/>
    <xf numFmtId="0" fontId="1" fillId="0" borderId="83" xfId="0" applyFont="1" applyFill="1" applyBorder="1"/>
    <xf numFmtId="0" fontId="1" fillId="0" borderId="81" xfId="0" applyFont="1" applyFill="1" applyBorder="1"/>
    <xf numFmtId="44" fontId="1" fillId="0" borderId="81" xfId="1" applyFont="1" applyFill="1" applyBorder="1" applyAlignment="1">
      <alignment horizontal="center"/>
    </xf>
    <xf numFmtId="44" fontId="1" fillId="0" borderId="83" xfId="1" applyFont="1" applyFill="1" applyBorder="1" applyAlignment="1">
      <alignment horizontal="center"/>
    </xf>
    <xf numFmtId="0" fontId="0" fillId="0" borderId="0" xfId="0" applyFill="1"/>
    <xf numFmtId="164" fontId="11" fillId="0" borderId="82" xfId="3" applyNumberFormat="1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44" fontId="1" fillId="0" borderId="0" xfId="1" applyFont="1" applyFill="1" applyBorder="1"/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6" fillId="0" borderId="10" xfId="4" applyNumberFormat="1" applyFont="1" applyFill="1" applyBorder="1" applyAlignment="1">
      <alignment horizontal="center" wrapText="1"/>
    </xf>
    <xf numFmtId="49" fontId="16" fillId="0" borderId="10" xfId="4" applyNumberFormat="1" applyFont="1" applyFill="1" applyBorder="1" applyAlignment="1">
      <alignment horizontal="center" vertical="center" wrapText="1"/>
    </xf>
    <xf numFmtId="49" fontId="16" fillId="0" borderId="82" xfId="4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18" fillId="0" borderId="0" xfId="0" applyFont="1" applyFill="1" applyAlignment="1">
      <alignment horizontal="center" vertical="center" wrapText="1"/>
    </xf>
    <xf numFmtId="44" fontId="18" fillId="0" borderId="0" xfId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44" fontId="18" fillId="0" borderId="0" xfId="1" applyFont="1" applyFill="1" applyAlignment="1">
      <alignment horizontal="center"/>
    </xf>
    <xf numFmtId="2" fontId="18" fillId="0" borderId="0" xfId="0" applyNumberFormat="1" applyFont="1" applyFill="1" applyAlignment="1">
      <alignment horizontal="center"/>
    </xf>
    <xf numFmtId="44" fontId="18" fillId="0" borderId="0" xfId="1" applyFont="1" applyFill="1"/>
    <xf numFmtId="44" fontId="18" fillId="0" borderId="0" xfId="0" applyNumberFormat="1" applyFont="1" applyFill="1"/>
    <xf numFmtId="8" fontId="18" fillId="0" borderId="0" xfId="0" applyNumberFormat="1" applyFont="1" applyFill="1"/>
    <xf numFmtId="0" fontId="18" fillId="0" borderId="0" xfId="0" applyFont="1" applyFill="1"/>
    <xf numFmtId="0" fontId="18" fillId="0" borderId="31" xfId="0" applyFont="1" applyFill="1" applyBorder="1" applyAlignment="1">
      <alignment horizontal="center"/>
    </xf>
    <xf numFmtId="44" fontId="18" fillId="0" borderId="31" xfId="1" applyFont="1" applyFill="1" applyBorder="1" applyAlignment="1">
      <alignment horizontal="center"/>
    </xf>
    <xf numFmtId="2" fontId="18" fillId="0" borderId="31" xfId="0" applyNumberFormat="1" applyFont="1" applyFill="1" applyBorder="1" applyAlignment="1">
      <alignment horizontal="center"/>
    </xf>
    <xf numFmtId="44" fontId="18" fillId="0" borderId="31" xfId="1" applyFont="1" applyFill="1" applyBorder="1"/>
    <xf numFmtId="44" fontId="18" fillId="0" borderId="31" xfId="0" applyNumberFormat="1" applyFont="1" applyFill="1" applyBorder="1"/>
    <xf numFmtId="8" fontId="18" fillId="0" borderId="31" xfId="0" applyNumberFormat="1" applyFont="1" applyFill="1" applyBorder="1"/>
    <xf numFmtId="0" fontId="18" fillId="0" borderId="31" xfId="0" applyFont="1" applyFill="1" applyBorder="1"/>
    <xf numFmtId="44" fontId="18" fillId="0" borderId="0" xfId="1" applyFont="1" applyFill="1" applyBorder="1"/>
    <xf numFmtId="2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4" fontId="18" fillId="0" borderId="0" xfId="1" applyFont="1" applyFill="1" applyBorder="1" applyAlignment="1">
      <alignment horizontal="center"/>
    </xf>
    <xf numFmtId="44" fontId="18" fillId="0" borderId="0" xfId="0" applyNumberFormat="1" applyFont="1" applyFill="1" applyBorder="1"/>
    <xf numFmtId="8" fontId="18" fillId="0" borderId="0" xfId="0" applyNumberFormat="1" applyFont="1" applyFill="1" applyBorder="1"/>
    <xf numFmtId="0" fontId="18" fillId="0" borderId="0" xfId="0" applyFont="1" applyFill="1" applyBorder="1"/>
    <xf numFmtId="0" fontId="18" fillId="0" borderId="81" xfId="0" applyFont="1" applyFill="1" applyBorder="1" applyAlignment="1">
      <alignment horizontal="center"/>
    </xf>
    <xf numFmtId="44" fontId="18" fillId="0" borderId="81" xfId="1" applyFont="1" applyFill="1" applyBorder="1" applyAlignment="1">
      <alignment horizontal="center"/>
    </xf>
    <xf numFmtId="2" fontId="18" fillId="0" borderId="81" xfId="0" applyNumberFormat="1" applyFont="1" applyFill="1" applyBorder="1" applyAlignment="1">
      <alignment horizontal="center"/>
    </xf>
    <xf numFmtId="44" fontId="18" fillId="0" borderId="81" xfId="1" applyFont="1" applyFill="1" applyBorder="1"/>
    <xf numFmtId="44" fontId="18" fillId="0" borderId="81" xfId="0" applyNumberFormat="1" applyFont="1" applyFill="1" applyBorder="1"/>
    <xf numFmtId="8" fontId="18" fillId="0" borderId="81" xfId="0" applyNumberFormat="1" applyFont="1" applyFill="1" applyBorder="1"/>
    <xf numFmtId="0" fontId="18" fillId="0" borderId="81" xfId="0" applyFont="1" applyFill="1" applyBorder="1"/>
    <xf numFmtId="49" fontId="1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Alignment="1">
      <alignment horizontal="center"/>
    </xf>
    <xf numFmtId="49" fontId="18" fillId="0" borderId="31" xfId="0" applyNumberFormat="1" applyFont="1" applyFill="1" applyBorder="1" applyAlignment="1">
      <alignment horizontal="center"/>
    </xf>
    <xf numFmtId="44" fontId="17" fillId="0" borderId="17" xfId="1" applyNumberFormat="1" applyFont="1" applyFill="1" applyBorder="1" applyAlignment="1">
      <alignment horizontal="center" vertical="center" wrapText="1"/>
    </xf>
    <xf numFmtId="2" fontId="16" fillId="0" borderId="11" xfId="0" applyNumberFormat="1" applyFont="1" applyFill="1" applyBorder="1" applyAlignment="1">
      <alignment horizontal="center" wrapText="1"/>
    </xf>
    <xf numFmtId="2" fontId="16" fillId="0" borderId="14" xfId="0" applyNumberFormat="1" applyFont="1" applyFill="1" applyBorder="1" applyAlignment="1">
      <alignment horizontal="center" wrapText="1"/>
    </xf>
    <xf numFmtId="164" fontId="11" fillId="0" borderId="0" xfId="3" applyNumberFormat="1" applyFont="1" applyFill="1" applyBorder="1" applyAlignment="1">
      <alignment horizontal="center" wrapText="1"/>
    </xf>
    <xf numFmtId="164" fontId="11" fillId="0" borderId="11" xfId="3" applyNumberFormat="1" applyFont="1" applyFill="1" applyBorder="1" applyAlignment="1">
      <alignment horizontal="center" wrapText="1"/>
    </xf>
    <xf numFmtId="164" fontId="11" fillId="0" borderId="10" xfId="3" applyNumberFormat="1" applyFont="1" applyFill="1" applyBorder="1" applyAlignment="1">
      <alignment horizontal="center" wrapText="1"/>
    </xf>
    <xf numFmtId="164" fontId="11" fillId="0" borderId="81" xfId="3" applyNumberFormat="1" applyFont="1" applyFill="1" applyBorder="1" applyAlignment="1">
      <alignment horizontal="center" wrapText="1"/>
    </xf>
    <xf numFmtId="164" fontId="11" fillId="0" borderId="83" xfId="3" applyNumberFormat="1" applyFont="1" applyFill="1" applyBorder="1" applyAlignment="1">
      <alignment horizontal="center" wrapText="1"/>
    </xf>
    <xf numFmtId="164" fontId="11" fillId="0" borderId="82" xfId="3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167" fontId="11" fillId="0" borderId="13" xfId="3" applyNumberFormat="1" applyFont="1" applyFill="1" applyBorder="1" applyAlignment="1">
      <alignment horizontal="center" wrapText="1"/>
    </xf>
    <xf numFmtId="167" fontId="11" fillId="0" borderId="14" xfId="3" applyNumberFormat="1" applyFont="1" applyFill="1" applyBorder="1" applyAlignment="1">
      <alignment horizontal="center" wrapText="1"/>
    </xf>
    <xf numFmtId="167" fontId="11" fillId="0" borderId="0" xfId="3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167" fontId="11" fillId="0" borderId="0" xfId="3" applyNumberFormat="1" applyFont="1" applyFill="1" applyBorder="1" applyAlignment="1">
      <alignment horizontal="center" wrapText="1"/>
    </xf>
    <xf numFmtId="168" fontId="14" fillId="0" borderId="17" xfId="2" applyNumberFormat="1" applyFont="1" applyFill="1" applyBorder="1" applyAlignment="1">
      <alignment horizontal="center"/>
    </xf>
    <xf numFmtId="10" fontId="11" fillId="0" borderId="16" xfId="3" applyNumberFormat="1" applyFont="1" applyFill="1" applyBorder="1" applyAlignment="1">
      <alignment horizontal="center" vertical="center" wrapText="1"/>
    </xf>
    <xf numFmtId="44" fontId="11" fillId="0" borderId="16" xfId="1" applyFont="1" applyFill="1" applyBorder="1" applyAlignment="1">
      <alignment horizontal="center" vertical="center" wrapText="1"/>
    </xf>
    <xf numFmtId="9" fontId="11" fillId="0" borderId="16" xfId="3" applyNumberFormat="1" applyFont="1" applyFill="1" applyBorder="1" applyAlignment="1">
      <alignment horizontal="center" vertical="center" wrapText="1"/>
    </xf>
    <xf numFmtId="10" fontId="11" fillId="0" borderId="72" xfId="3" applyNumberFormat="1" applyFont="1" applyFill="1" applyBorder="1" applyAlignment="1">
      <alignment horizontal="center" vertical="center" wrapText="1"/>
    </xf>
    <xf numFmtId="10" fontId="11" fillId="0" borderId="74" xfId="2" applyNumberFormat="1" applyFont="1" applyFill="1" applyBorder="1" applyAlignment="1">
      <alignment horizontal="center" vertical="center" wrapText="1"/>
    </xf>
    <xf numFmtId="10" fontId="11" fillId="0" borderId="15" xfId="3" applyNumberFormat="1" applyFont="1" applyFill="1" applyBorder="1" applyAlignment="1">
      <alignment horizontal="center" vertical="center" wrapText="1"/>
    </xf>
    <xf numFmtId="10" fontId="11" fillId="0" borderId="17" xfId="2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165" fontId="12" fillId="0" borderId="0" xfId="0" applyNumberFormat="1" applyFont="1" applyBorder="1" applyAlignment="1">
      <alignment horizontal="center" wrapText="1"/>
    </xf>
    <xf numFmtId="44" fontId="12" fillId="0" borderId="0" xfId="0" applyNumberFormat="1" applyFont="1" applyBorder="1" applyAlignment="1">
      <alignment horizontal="center" wrapText="1"/>
    </xf>
    <xf numFmtId="170" fontId="24" fillId="0" borderId="0" xfId="1" applyNumberFormat="1" applyFont="1" applyBorder="1" applyAlignment="1">
      <alignment horizontal="center"/>
    </xf>
    <xf numFmtId="9" fontId="24" fillId="0" borderId="0" xfId="2" applyFont="1" applyBorder="1" applyAlignment="1">
      <alignment horizontal="center" wrapText="1"/>
    </xf>
    <xf numFmtId="44" fontId="12" fillId="0" borderId="0" xfId="1" applyFont="1" applyBorder="1" applyAlignment="1">
      <alignment horizontal="center" wrapText="1"/>
    </xf>
    <xf numFmtId="170" fontId="24" fillId="0" borderId="0" xfId="1" applyNumberFormat="1" applyFont="1" applyBorder="1" applyAlignment="1">
      <alignment horizontal="center" wrapText="1"/>
    </xf>
    <xf numFmtId="170" fontId="24" fillId="0" borderId="0" xfId="0" applyNumberFormat="1" applyFont="1" applyBorder="1" applyAlignment="1">
      <alignment horizontal="center" wrapText="1"/>
    </xf>
    <xf numFmtId="168" fontId="14" fillId="0" borderId="0" xfId="2" applyNumberFormat="1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 wrapText="1"/>
    </xf>
    <xf numFmtId="164" fontId="11" fillId="3" borderId="0" xfId="3" applyNumberFormat="1" applyFont="1" applyFill="1" applyBorder="1" applyAlignment="1">
      <alignment horizontal="center" wrapText="1"/>
    </xf>
    <xf numFmtId="164" fontId="11" fillId="3" borderId="19" xfId="3" applyNumberFormat="1" applyFont="1" applyFill="1" applyBorder="1" applyAlignment="1">
      <alignment horizontal="center" wrapText="1"/>
    </xf>
    <xf numFmtId="164" fontId="11" fillId="3" borderId="22" xfId="3" applyNumberFormat="1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171" fontId="11" fillId="0" borderId="11" xfId="1" applyNumberFormat="1" applyFont="1" applyFill="1" applyBorder="1" applyAlignment="1">
      <alignment horizontal="center" vertical="center"/>
    </xf>
    <xf numFmtId="6" fontId="16" fillId="0" borderId="10" xfId="0" applyNumberFormat="1" applyFont="1" applyBorder="1"/>
    <xf numFmtId="6" fontId="16" fillId="0" borderId="0" xfId="0" applyNumberFormat="1" applyFont="1" applyBorder="1"/>
    <xf numFmtId="6" fontId="16" fillId="0" borderId="0" xfId="1" applyNumberFormat="1" applyFont="1" applyBorder="1"/>
    <xf numFmtId="6" fontId="16" fillId="0" borderId="11" xfId="1" applyNumberFormat="1" applyFont="1" applyBorder="1"/>
    <xf numFmtId="0" fontId="16" fillId="0" borderId="0" xfId="0" applyFont="1" applyFill="1" applyBorder="1" applyAlignment="1">
      <alignment horizontal="center"/>
    </xf>
    <xf numFmtId="171" fontId="11" fillId="0" borderId="11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1" fontId="11" fillId="0" borderId="83" xfId="1" applyNumberFormat="1" applyFont="1" applyBorder="1" applyAlignment="1">
      <alignment horizontal="center" vertical="center"/>
    </xf>
    <xf numFmtId="6" fontId="16" fillId="0" borderId="12" xfId="0" applyNumberFormat="1" applyFont="1" applyBorder="1"/>
    <xf numFmtId="6" fontId="16" fillId="0" borderId="13" xfId="0" applyNumberFormat="1" applyFont="1" applyBorder="1"/>
    <xf numFmtId="6" fontId="16" fillId="0" borderId="13" xfId="1" applyNumberFormat="1" applyFont="1" applyBorder="1"/>
    <xf numFmtId="6" fontId="16" fillId="0" borderId="14" xfId="1" applyNumberFormat="1" applyFont="1" applyBorder="1"/>
    <xf numFmtId="8" fontId="1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6" fontId="12" fillId="0" borderId="0" xfId="0" applyNumberFormat="1" applyFont="1" applyFill="1" applyBorder="1" applyAlignment="1">
      <alignment horizontal="center"/>
    </xf>
    <xf numFmtId="6" fontId="51" fillId="0" borderId="0" xfId="0" applyNumberFormat="1" applyFont="1" applyBorder="1"/>
    <xf numFmtId="8" fontId="51" fillId="0" borderId="0" xfId="0" applyNumberFormat="1" applyFont="1" applyBorder="1"/>
    <xf numFmtId="8" fontId="51" fillId="0" borderId="0" xfId="1" applyNumberFormat="1" applyFont="1" applyBorder="1"/>
    <xf numFmtId="164" fontId="11" fillId="0" borderId="0" xfId="0" applyNumberFormat="1" applyFont="1" applyFill="1" applyBorder="1" applyAlignment="1">
      <alignment horizontal="center" wrapText="1"/>
    </xf>
    <xf numFmtId="0" fontId="11" fillId="0" borderId="27" xfId="3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4" fontId="11" fillId="0" borderId="0" xfId="5" applyFont="1" applyFill="1" applyBorder="1" applyAlignment="1">
      <alignment wrapText="1"/>
    </xf>
    <xf numFmtId="0" fontId="24" fillId="0" borderId="0" xfId="0" applyFont="1"/>
    <xf numFmtId="0" fontId="24" fillId="0" borderId="0" xfId="0" applyFont="1" applyBorder="1"/>
    <xf numFmtId="0" fontId="51" fillId="0" borderId="0" xfId="0" applyFont="1" applyBorder="1"/>
    <xf numFmtId="0" fontId="12" fillId="0" borderId="8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vertical="center"/>
    </xf>
    <xf numFmtId="8" fontId="24" fillId="0" borderId="11" xfId="0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wrapText="1"/>
    </xf>
    <xf numFmtId="8" fontId="24" fillId="0" borderId="14" xfId="0" applyNumberFormat="1" applyFont="1" applyFill="1" applyBorder="1" applyAlignment="1">
      <alignment horizontal="center" vertical="top"/>
    </xf>
    <xf numFmtId="49" fontId="11" fillId="5" borderId="15" xfId="0" applyNumberFormat="1" applyFont="1" applyFill="1" applyBorder="1" applyAlignment="1">
      <alignment horizontal="center" vertical="center" wrapText="1"/>
    </xf>
    <xf numFmtId="49" fontId="11" fillId="5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7" xfId="0" applyFont="1" applyBorder="1" applyAlignment="1">
      <alignment horizontal="center"/>
    </xf>
    <xf numFmtId="2" fontId="12" fillId="0" borderId="8" xfId="4" applyNumberFormat="1" applyFont="1" applyFill="1" applyBorder="1" applyAlignment="1">
      <alignment horizontal="center" wrapText="1"/>
    </xf>
    <xf numFmtId="165" fontId="12" fillId="0" borderId="8" xfId="4" applyNumberFormat="1" applyFont="1" applyFill="1" applyBorder="1" applyAlignment="1">
      <alignment horizontal="center" wrapText="1"/>
    </xf>
    <xf numFmtId="165" fontId="11" fillId="0" borderId="8" xfId="4" applyNumberFormat="1" applyFont="1" applyFill="1" applyBorder="1" applyAlignment="1">
      <alignment horizontal="center" wrapText="1"/>
    </xf>
    <xf numFmtId="2" fontId="12" fillId="0" borderId="8" xfId="4" quotePrefix="1" applyNumberFormat="1" applyFont="1" applyFill="1" applyBorder="1" applyAlignment="1">
      <alignment horizontal="center" wrapText="1"/>
    </xf>
    <xf numFmtId="2" fontId="12" fillId="0" borderId="9" xfId="4" quotePrefix="1" applyNumberFormat="1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2" fontId="12" fillId="0" borderId="0" xfId="4" applyNumberFormat="1" applyFont="1" applyFill="1" applyBorder="1" applyAlignment="1">
      <alignment horizontal="center" wrapText="1"/>
    </xf>
    <xf numFmtId="165" fontId="12" fillId="0" borderId="0" xfId="4" applyNumberFormat="1" applyFont="1" applyFill="1" applyBorder="1" applyAlignment="1">
      <alignment horizontal="center" wrapText="1"/>
    </xf>
    <xf numFmtId="165" fontId="11" fillId="0" borderId="0" xfId="4" applyNumberFormat="1" applyFont="1" applyFill="1" applyBorder="1" applyAlignment="1">
      <alignment horizontal="center" wrapText="1"/>
    </xf>
    <xf numFmtId="2" fontId="12" fillId="0" borderId="0" xfId="4" quotePrefix="1" applyNumberFormat="1" applyFont="1" applyFill="1" applyBorder="1" applyAlignment="1">
      <alignment horizontal="center" wrapText="1"/>
    </xf>
    <xf numFmtId="2" fontId="12" fillId="0" borderId="11" xfId="4" quotePrefix="1" applyNumberFormat="1" applyFont="1" applyFill="1" applyBorder="1" applyAlignment="1">
      <alignment horizontal="center" wrapText="1"/>
    </xf>
    <xf numFmtId="165" fontId="11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Border="1" applyAlignment="1">
      <alignment wrapText="1"/>
    </xf>
    <xf numFmtId="0" fontId="11" fillId="0" borderId="82" xfId="0" applyFont="1" applyBorder="1" applyAlignment="1">
      <alignment horizontal="center"/>
    </xf>
    <xf numFmtId="2" fontId="12" fillId="0" borderId="81" xfId="4" applyNumberFormat="1" applyFont="1" applyFill="1" applyBorder="1" applyAlignment="1">
      <alignment horizontal="center" wrapText="1"/>
    </xf>
    <xf numFmtId="165" fontId="12" fillId="0" borderId="81" xfId="4" applyNumberFormat="1" applyFont="1" applyFill="1" applyBorder="1" applyAlignment="1">
      <alignment horizontal="center" wrapText="1"/>
    </xf>
    <xf numFmtId="165" fontId="11" fillId="0" borderId="81" xfId="4" applyNumberFormat="1" applyFont="1" applyFill="1" applyBorder="1" applyAlignment="1">
      <alignment horizontal="center" vertical="center" wrapText="1"/>
    </xf>
    <xf numFmtId="2" fontId="12" fillId="0" borderId="81" xfId="4" quotePrefix="1" applyNumberFormat="1" applyFont="1" applyFill="1" applyBorder="1" applyAlignment="1">
      <alignment horizontal="center" wrapText="1"/>
    </xf>
    <xf numFmtId="2" fontId="12" fillId="0" borderId="83" xfId="4" quotePrefix="1" applyNumberFormat="1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2" fontId="12" fillId="0" borderId="13" xfId="4" applyNumberFormat="1" applyFont="1" applyFill="1" applyBorder="1" applyAlignment="1">
      <alignment horizontal="center" wrapText="1"/>
    </xf>
    <xf numFmtId="165" fontId="12" fillId="0" borderId="13" xfId="4" applyNumberFormat="1" applyFont="1" applyFill="1" applyBorder="1" applyAlignment="1">
      <alignment horizontal="center" wrapText="1"/>
    </xf>
    <xf numFmtId="2" fontId="12" fillId="0" borderId="13" xfId="4" quotePrefix="1" applyNumberFormat="1" applyFont="1" applyFill="1" applyBorder="1" applyAlignment="1">
      <alignment horizontal="center" wrapText="1"/>
    </xf>
    <xf numFmtId="2" fontId="12" fillId="0" borderId="14" xfId="4" quotePrefix="1" applyNumberFormat="1" applyFont="1" applyFill="1" applyBorder="1" applyAlignment="1">
      <alignment horizontal="center" wrapText="1"/>
    </xf>
    <xf numFmtId="49" fontId="11" fillId="5" borderId="7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2" fontId="12" fillId="0" borderId="0" xfId="4" applyNumberFormat="1" applyFont="1" applyFill="1" applyBorder="1" applyAlignment="1">
      <alignment horizontal="center" vertical="center" wrapText="1"/>
    </xf>
    <xf numFmtId="2" fontId="12" fillId="0" borderId="81" xfId="4" applyNumberFormat="1" applyFont="1" applyFill="1" applyBorder="1" applyAlignment="1">
      <alignment horizontal="center" vertical="center" wrapText="1"/>
    </xf>
    <xf numFmtId="165" fontId="11" fillId="0" borderId="13" xfId="4" applyNumberFormat="1" applyFont="1" applyFill="1" applyBorder="1" applyAlignment="1">
      <alignment horizontal="center" vertical="center" wrapText="1"/>
    </xf>
    <xf numFmtId="165" fontId="11" fillId="0" borderId="81" xfId="4" applyNumberFormat="1" applyFont="1" applyFill="1" applyBorder="1" applyAlignment="1">
      <alignment horizontal="center" wrapText="1"/>
    </xf>
    <xf numFmtId="8" fontId="24" fillId="0" borderId="34" xfId="6" applyNumberFormat="1" applyFont="1" applyFill="1" applyBorder="1" applyAlignment="1">
      <alignment horizontal="center"/>
    </xf>
    <xf numFmtId="8" fontId="24" fillId="0" borderId="40" xfId="6" applyNumberFormat="1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 vertical="center"/>
    </xf>
    <xf numFmtId="8" fontId="1" fillId="0" borderId="52" xfId="0" applyNumberFormat="1" applyFont="1" applyFill="1" applyBorder="1" applyAlignment="1">
      <alignment horizontal="center" vertical="top"/>
    </xf>
    <xf numFmtId="8" fontId="1" fillId="0" borderId="53" xfId="0" applyNumberFormat="1" applyFont="1" applyFill="1" applyBorder="1" applyAlignment="1">
      <alignment horizontal="center" vertical="top"/>
    </xf>
    <xf numFmtId="8" fontId="1" fillId="0" borderId="55" xfId="0" applyNumberFormat="1" applyFont="1" applyFill="1" applyBorder="1" applyAlignment="1">
      <alignment horizontal="center" vertical="top"/>
    </xf>
    <xf numFmtId="8" fontId="1" fillId="0" borderId="56" xfId="0" applyNumberFormat="1" applyFont="1" applyFill="1" applyBorder="1" applyAlignment="1">
      <alignment horizontal="center" vertical="top"/>
    </xf>
    <xf numFmtId="8" fontId="1" fillId="0" borderId="58" xfId="0" applyNumberFormat="1" applyFont="1" applyFill="1" applyBorder="1" applyAlignment="1">
      <alignment horizontal="center" vertical="top"/>
    </xf>
    <xf numFmtId="8" fontId="1" fillId="0" borderId="59" xfId="0" applyNumberFormat="1" applyFont="1" applyFill="1" applyBorder="1" applyAlignment="1">
      <alignment horizontal="center" vertical="top"/>
    </xf>
    <xf numFmtId="8" fontId="9" fillId="0" borderId="62" xfId="115" applyNumberFormat="1" applyFont="1" applyFill="1" applyBorder="1" applyAlignment="1">
      <alignment horizontal="center"/>
    </xf>
    <xf numFmtId="169" fontId="24" fillId="0" borderId="31" xfId="53" applyNumberFormat="1" applyFont="1" applyBorder="1"/>
    <xf numFmtId="169" fontId="24" fillId="0" borderId="32" xfId="53" applyNumberFormat="1" applyFont="1" applyBorder="1"/>
    <xf numFmtId="0" fontId="24" fillId="0" borderId="0" xfId="6" applyFont="1" applyAlignment="1">
      <alignment horizontal="center"/>
    </xf>
    <xf numFmtId="43" fontId="1" fillId="0" borderId="80" xfId="38" applyFont="1" applyBorder="1"/>
    <xf numFmtId="169" fontId="24" fillId="0" borderId="75" xfId="53" applyNumberFormat="1" applyFont="1" applyFill="1" applyBorder="1"/>
    <xf numFmtId="169" fontId="24" fillId="0" borderId="31" xfId="53" applyNumberFormat="1" applyFont="1" applyFill="1" applyBorder="1"/>
    <xf numFmtId="44" fontId="1" fillId="0" borderId="61" xfId="54" applyFont="1" applyBorder="1"/>
    <xf numFmtId="44" fontId="1" fillId="0" borderId="37" xfId="54" applyFont="1" applyBorder="1"/>
    <xf numFmtId="44" fontId="1" fillId="0" borderId="37" xfId="54" applyFont="1" applyFill="1" applyBorder="1"/>
    <xf numFmtId="44" fontId="1" fillId="0" borderId="62" xfId="54" applyFont="1" applyBorder="1"/>
    <xf numFmtId="44" fontId="24" fillId="0" borderId="0" xfId="1" applyFont="1"/>
    <xf numFmtId="10" fontId="24" fillId="0" borderId="0" xfId="0" applyNumberFormat="1" applyFont="1"/>
    <xf numFmtId="0" fontId="0" fillId="0" borderId="0" xfId="0" applyAlignment="1">
      <alignment horizontal="center" wrapText="1"/>
    </xf>
    <xf numFmtId="0" fontId="52" fillId="0" borderId="7" xfId="0" applyFont="1" applyBorder="1"/>
    <xf numFmtId="0" fontId="53" fillId="0" borderId="8" xfId="0" applyFont="1" applyBorder="1" applyAlignment="1">
      <alignment horizontal="center"/>
    </xf>
    <xf numFmtId="0" fontId="53" fillId="0" borderId="8" xfId="0" applyFont="1" applyBorder="1" applyAlignment="1">
      <alignment horizontal="center" wrapText="1"/>
    </xf>
    <xf numFmtId="0" fontId="53" fillId="0" borderId="9" xfId="0" applyFont="1" applyBorder="1"/>
    <xf numFmtId="0" fontId="52" fillId="0" borderId="10" xfId="0" applyFont="1" applyBorder="1"/>
    <xf numFmtId="0" fontId="53" fillId="0" borderId="0" xfId="0" applyFont="1" applyBorder="1" applyAlignment="1">
      <alignment horizontal="center"/>
    </xf>
    <xf numFmtId="0" fontId="53" fillId="0" borderId="0" xfId="0" applyFont="1" applyBorder="1"/>
    <xf numFmtId="0" fontId="53" fillId="0" borderId="11" xfId="0" applyFont="1" applyBorder="1"/>
    <xf numFmtId="0" fontId="24" fillId="0" borderId="10" xfId="0" applyFont="1" applyBorder="1"/>
    <xf numFmtId="10" fontId="9" fillId="0" borderId="63" xfId="0" applyNumberFormat="1" applyFont="1" applyFill="1" applyBorder="1" applyAlignment="1">
      <alignment horizontal="center"/>
    </xf>
    <xf numFmtId="172" fontId="9" fillId="0" borderId="78" xfId="0" applyNumberFormat="1" applyFont="1" applyBorder="1" applyAlignment="1">
      <alignment horizontal="center"/>
    </xf>
    <xf numFmtId="172" fontId="9" fillId="0" borderId="78" xfId="0" applyNumberFormat="1" applyFont="1" applyFill="1" applyBorder="1" applyAlignment="1">
      <alignment horizontal="center"/>
    </xf>
    <xf numFmtId="172" fontId="9" fillId="0" borderId="63" xfId="0" applyNumberFormat="1" applyFont="1" applyBorder="1" applyAlignment="1">
      <alignment horizontal="center"/>
    </xf>
    <xf numFmtId="172" fontId="9" fillId="0" borderId="63" xfId="0" applyNumberFormat="1" applyFont="1" applyFill="1" applyBorder="1" applyAlignment="1">
      <alignment horizontal="center"/>
    </xf>
    <xf numFmtId="5" fontId="9" fillId="0" borderId="63" xfId="1" applyNumberFormat="1" applyFont="1" applyFill="1" applyBorder="1" applyAlignment="1">
      <alignment horizontal="center"/>
    </xf>
    <xf numFmtId="5" fontId="9" fillId="0" borderId="61" xfId="1" applyNumberFormat="1" applyFont="1" applyFill="1" applyBorder="1" applyAlignment="1">
      <alignment horizontal="center"/>
    </xf>
    <xf numFmtId="0" fontId="21" fillId="0" borderId="56" xfId="0" applyFont="1" applyBorder="1" applyAlignment="1"/>
    <xf numFmtId="0" fontId="21" fillId="0" borderId="10" xfId="0" applyFont="1" applyBorder="1" applyAlignment="1">
      <alignment horizontal="right"/>
    </xf>
    <xf numFmtId="172" fontId="9" fillId="0" borderId="27" xfId="0" applyNumberFormat="1" applyFont="1" applyBorder="1" applyAlignment="1">
      <alignment horizontal="center"/>
    </xf>
    <xf numFmtId="172" fontId="9" fillId="0" borderId="27" xfId="0" applyNumberFormat="1" applyFont="1" applyFill="1" applyBorder="1" applyAlignment="1">
      <alignment horizontal="center"/>
    </xf>
    <xf numFmtId="10" fontId="21" fillId="0" borderId="37" xfId="0" applyNumberFormat="1" applyFont="1" applyBorder="1" applyAlignment="1">
      <alignment horizontal="center"/>
    </xf>
    <xf numFmtId="37" fontId="9" fillId="0" borderId="27" xfId="240" applyNumberFormat="1" applyFont="1" applyBorder="1" applyAlignment="1">
      <alignment horizontal="center"/>
    </xf>
    <xf numFmtId="37" fontId="9" fillId="0" borderId="27" xfId="240" applyNumberFormat="1" applyFont="1" applyFill="1" applyBorder="1" applyAlignment="1">
      <alignment horizontal="center"/>
    </xf>
    <xf numFmtId="10" fontId="24" fillId="0" borderId="37" xfId="0" applyNumberFormat="1" applyFont="1" applyBorder="1" applyAlignment="1">
      <alignment horizontal="center"/>
    </xf>
    <xf numFmtId="0" fontId="24" fillId="0" borderId="56" xfId="0" applyFont="1" applyBorder="1" applyAlignment="1"/>
    <xf numFmtId="170" fontId="21" fillId="0" borderId="27" xfId="0" applyNumberFormat="1" applyFont="1" applyFill="1" applyBorder="1" applyAlignment="1">
      <alignment horizontal="center"/>
    </xf>
    <xf numFmtId="0" fontId="24" fillId="0" borderId="37" xfId="0" applyFont="1" applyFill="1" applyBorder="1" applyAlignment="1"/>
    <xf numFmtId="0" fontId="24" fillId="0" borderId="56" xfId="0" applyFont="1" applyFill="1" applyBorder="1" applyAlignment="1"/>
    <xf numFmtId="0" fontId="0" fillId="0" borderId="82" xfId="0" applyBorder="1"/>
    <xf numFmtId="0" fontId="0" fillId="0" borderId="81" xfId="0" applyBorder="1" applyAlignment="1">
      <alignment horizontal="center"/>
    </xf>
    <xf numFmtId="0" fontId="0" fillId="0" borderId="81" xfId="0" applyBorder="1" applyAlignment="1">
      <alignment horizontal="center" wrapText="1"/>
    </xf>
    <xf numFmtId="0" fontId="0" fillId="0" borderId="81" xfId="0" applyBorder="1"/>
    <xf numFmtId="0" fontId="0" fillId="0" borderId="83" xfId="0" applyBorder="1"/>
    <xf numFmtId="0" fontId="0" fillId="0" borderId="0" xfId="0" applyAlignment="1">
      <alignment wrapText="1"/>
    </xf>
    <xf numFmtId="0" fontId="24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11" fillId="30" borderId="7" xfId="241" applyFont="1" applyFill="1" applyBorder="1"/>
    <xf numFmtId="0" fontId="11" fillId="30" borderId="8" xfId="241" applyFont="1" applyFill="1" applyBorder="1"/>
    <xf numFmtId="0" fontId="11" fillId="30" borderId="8" xfId="241" applyFont="1" applyFill="1" applyBorder="1" applyAlignment="1">
      <alignment horizontal="center"/>
    </xf>
    <xf numFmtId="164" fontId="11" fillId="30" borderId="9" xfId="241" applyNumberFormat="1" applyFont="1" applyFill="1" applyBorder="1" applyAlignment="1">
      <alignment horizontal="center"/>
    </xf>
    <xf numFmtId="0" fontId="12" fillId="30" borderId="10" xfId="241" applyFont="1" applyFill="1" applyBorder="1"/>
    <xf numFmtId="0" fontId="12" fillId="30" borderId="0" xfId="241" applyFont="1" applyFill="1" applyBorder="1" applyAlignment="1">
      <alignment horizontal="right"/>
    </xf>
    <xf numFmtId="0" fontId="12" fillId="30" borderId="11" xfId="241" applyFont="1" applyFill="1" applyBorder="1" applyAlignment="1">
      <alignment horizontal="center"/>
    </xf>
    <xf numFmtId="0" fontId="12" fillId="30" borderId="86" xfId="241" applyFont="1" applyFill="1" applyBorder="1"/>
    <xf numFmtId="0" fontId="12" fillId="30" borderId="31" xfId="241" applyFont="1" applyFill="1" applyBorder="1" applyAlignment="1">
      <alignment horizontal="right"/>
    </xf>
    <xf numFmtId="1" fontId="12" fillId="30" borderId="84" xfId="241" applyNumberFormat="1" applyFont="1" applyFill="1" applyBorder="1" applyAlignment="1">
      <alignment horizontal="center"/>
    </xf>
    <xf numFmtId="0" fontId="12" fillId="30" borderId="86" xfId="241" applyFont="1" applyFill="1" applyBorder="1" applyAlignment="1">
      <alignment horizontal="left"/>
    </xf>
    <xf numFmtId="0" fontId="55" fillId="30" borderId="31" xfId="241" applyFont="1" applyFill="1" applyBorder="1" applyAlignment="1">
      <alignment horizontal="right"/>
    </xf>
    <xf numFmtId="0" fontId="12" fillId="30" borderId="84" xfId="241" applyFont="1" applyFill="1" applyBorder="1" applyAlignment="1">
      <alignment horizontal="center"/>
    </xf>
    <xf numFmtId="0" fontId="12" fillId="30" borderId="0" xfId="241" applyFont="1" applyFill="1" applyBorder="1"/>
    <xf numFmtId="1" fontId="12" fillId="30" borderId="11" xfId="241" applyNumberFormat="1" applyFont="1" applyFill="1" applyBorder="1" applyAlignment="1">
      <alignment horizontal="center"/>
    </xf>
    <xf numFmtId="0" fontId="12" fillId="30" borderId="82" xfId="241" applyFont="1" applyFill="1" applyBorder="1"/>
    <xf numFmtId="0" fontId="12" fillId="30" borderId="81" xfId="241" applyFont="1" applyFill="1" applyBorder="1"/>
    <xf numFmtId="0" fontId="12" fillId="30" borderId="81" xfId="241" applyFont="1" applyFill="1" applyBorder="1" applyAlignment="1">
      <alignment horizontal="right"/>
    </xf>
    <xf numFmtId="1" fontId="12" fillId="30" borderId="83" xfId="241" applyNumberFormat="1" applyFont="1" applyFill="1" applyBorder="1" applyAlignment="1">
      <alignment horizontal="center"/>
    </xf>
    <xf numFmtId="0" fontId="12" fillId="30" borderId="83" xfId="24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0" applyNumberFormat="1" applyFill="1" applyBorder="1" applyAlignment="1">
      <alignment horizontal="center"/>
    </xf>
    <xf numFmtId="174" fontId="0" fillId="0" borderId="0" xfId="0" applyNumberFormat="1" applyFill="1" applyAlignment="1">
      <alignment horizontal="center"/>
    </xf>
    <xf numFmtId="0" fontId="51" fillId="0" borderId="0" xfId="0" applyFont="1"/>
    <xf numFmtId="44" fontId="51" fillId="0" borderId="0" xfId="1" applyFont="1" applyBorder="1"/>
    <xf numFmtId="44" fontId="24" fillId="0" borderId="0" xfId="1" applyFont="1" applyFill="1"/>
    <xf numFmtId="0" fontId="24" fillId="0" borderId="0" xfId="0" applyFont="1" applyFill="1"/>
    <xf numFmtId="44" fontId="51" fillId="0" borderId="0" xfId="0" applyNumberFormat="1" applyFont="1"/>
    <xf numFmtId="164" fontId="11" fillId="3" borderId="21" xfId="3" applyNumberFormat="1" applyFont="1" applyFill="1" applyBorder="1" applyAlignment="1">
      <alignment horizontal="center" wrapText="1"/>
    </xf>
    <xf numFmtId="0" fontId="62" fillId="29" borderId="0" xfId="0" applyFont="1" applyFill="1"/>
    <xf numFmtId="44" fontId="62" fillId="29" borderId="0" xfId="1" applyFont="1" applyFill="1"/>
    <xf numFmtId="10" fontId="62" fillId="29" borderId="0" xfId="0" applyNumberFormat="1" applyFont="1" applyFill="1"/>
    <xf numFmtId="44" fontId="62" fillId="29" borderId="0" xfId="1" applyNumberFormat="1" applyFont="1" applyFill="1"/>
    <xf numFmtId="14" fontId="54" fillId="29" borderId="0" xfId="0" applyNumberFormat="1" applyFont="1" applyFill="1" applyBorder="1" applyAlignment="1">
      <alignment horizontal="center" wrapText="1"/>
    </xf>
    <xf numFmtId="14" fontId="54" fillId="29" borderId="0" xfId="0" applyNumberFormat="1" applyFont="1" applyFill="1" applyBorder="1" applyAlignment="1">
      <alignment horizontal="left"/>
    </xf>
    <xf numFmtId="14" fontId="63" fillId="29" borderId="0" xfId="0" applyNumberFormat="1" applyFont="1" applyFill="1" applyBorder="1" applyAlignment="1">
      <alignment horizontal="left"/>
    </xf>
    <xf numFmtId="0" fontId="53" fillId="0" borderId="0" xfId="0" applyFont="1" applyBorder="1" applyAlignment="1"/>
    <xf numFmtId="0" fontId="53" fillId="0" borderId="11" xfId="0" applyFont="1" applyBorder="1" applyAlignment="1"/>
    <xf numFmtId="0" fontId="21" fillId="0" borderId="54" xfId="0" applyFont="1" applyBorder="1" applyAlignment="1">
      <alignment horizontal="right"/>
    </xf>
    <xf numFmtId="0" fontId="21" fillId="0" borderId="91" xfId="0" applyFont="1" applyBorder="1" applyAlignment="1">
      <alignment horizontal="right"/>
    </xf>
    <xf numFmtId="0" fontId="21" fillId="0" borderId="54" xfId="0" applyFont="1" applyFill="1" applyBorder="1" applyAlignment="1">
      <alignment horizontal="right"/>
    </xf>
    <xf numFmtId="0" fontId="21" fillId="0" borderId="15" xfId="0" applyFont="1" applyFill="1" applyBorder="1" applyAlignment="1">
      <alignment horizontal="right"/>
    </xf>
    <xf numFmtId="172" fontId="21" fillId="0" borderId="92" xfId="0" applyNumberFormat="1" applyFont="1" applyFill="1" applyBorder="1" applyAlignment="1">
      <alignment horizontal="center"/>
    </xf>
    <xf numFmtId="172" fontId="21" fillId="0" borderId="93" xfId="0" applyNumberFormat="1" applyFont="1" applyFill="1" applyBorder="1" applyAlignment="1">
      <alignment horizontal="center"/>
    </xf>
    <xf numFmtId="172" fontId="21" fillId="0" borderId="60" xfId="0" applyNumberFormat="1" applyFont="1" applyFill="1" applyBorder="1" applyAlignment="1">
      <alignment horizontal="center"/>
    </xf>
    <xf numFmtId="172" fontId="21" fillId="0" borderId="94" xfId="0" applyNumberFormat="1" applyFont="1" applyBorder="1" applyAlignment="1">
      <alignment horizontal="center"/>
    </xf>
    <xf numFmtId="10" fontId="9" fillId="0" borderId="36" xfId="0" applyNumberFormat="1" applyFont="1" applyFill="1" applyBorder="1" applyAlignment="1">
      <alignment horizontal="center"/>
    </xf>
    <xf numFmtId="10" fontId="9" fillId="0" borderId="95" xfId="0" applyNumberFormat="1" applyFont="1" applyBorder="1" applyAlignment="1">
      <alignment horizontal="center"/>
    </xf>
    <xf numFmtId="172" fontId="9" fillId="0" borderId="85" xfId="0" applyNumberFormat="1" applyFont="1" applyFill="1" applyBorder="1" applyAlignment="1">
      <alignment horizontal="center"/>
    </xf>
    <xf numFmtId="172" fontId="9" fillId="0" borderId="96" xfId="0" applyNumberFormat="1" applyFont="1" applyBorder="1" applyAlignment="1">
      <alignment horizontal="center"/>
    </xf>
    <xf numFmtId="172" fontId="9" fillId="0" borderId="36" xfId="0" applyNumberFormat="1" applyFont="1" applyBorder="1" applyAlignment="1">
      <alignment horizontal="center"/>
    </xf>
    <xf numFmtId="172" fontId="9" fillId="0" borderId="95" xfId="0" applyNumberFormat="1" applyFont="1" applyBorder="1" applyAlignment="1">
      <alignment horizontal="center"/>
    </xf>
    <xf numFmtId="5" fontId="9" fillId="0" borderId="36" xfId="1" applyNumberFormat="1" applyFont="1" applyFill="1" applyBorder="1" applyAlignment="1">
      <alignment horizontal="center"/>
    </xf>
    <xf numFmtId="5" fontId="9" fillId="0" borderId="95" xfId="1" applyNumberFormat="1" applyFont="1" applyFill="1" applyBorder="1" applyAlignment="1">
      <alignment horizontal="center"/>
    </xf>
    <xf numFmtId="172" fontId="9" fillId="0" borderId="85" xfId="0" applyNumberFormat="1" applyFont="1" applyBorder="1" applyAlignment="1">
      <alignment horizontal="center"/>
    </xf>
    <xf numFmtId="0" fontId="64" fillId="0" borderId="0" xfId="0" applyFont="1" applyBorder="1" applyAlignment="1"/>
    <xf numFmtId="10" fontId="0" fillId="0" borderId="0" xfId="2" applyNumberFormat="1" applyFont="1" applyAlignment="1">
      <alignment horizontal="center" wrapText="1"/>
    </xf>
    <xf numFmtId="0" fontId="21" fillId="0" borderId="0" xfId="0" applyFont="1" applyBorder="1" applyAlignment="1">
      <alignment wrapText="1"/>
    </xf>
    <xf numFmtId="0" fontId="23" fillId="0" borderId="0" xfId="7" applyFont="1" applyBorder="1" applyAlignment="1">
      <alignment horizontal="center" vertical="center"/>
    </xf>
    <xf numFmtId="0" fontId="22" fillId="0" borderId="0" xfId="7" applyFont="1" applyBorder="1" applyAlignment="1"/>
    <xf numFmtId="0" fontId="22" fillId="0" borderId="0" xfId="7" applyFont="1" applyBorder="1" applyAlignment="1">
      <alignment wrapText="1"/>
    </xf>
    <xf numFmtId="164" fontId="11" fillId="0" borderId="0" xfId="3" applyNumberFormat="1" applyFont="1" applyFill="1" applyBorder="1" applyAlignment="1">
      <alignment wrapText="1"/>
    </xf>
    <xf numFmtId="44" fontId="23" fillId="0" borderId="0" xfId="1" applyFont="1" applyBorder="1" applyAlignment="1">
      <alignment vertical="center"/>
    </xf>
    <xf numFmtId="0" fontId="23" fillId="0" borderId="0" xfId="7" applyFont="1" applyBorder="1" applyAlignment="1">
      <alignment vertical="center"/>
    </xf>
    <xf numFmtId="164" fontId="16" fillId="0" borderId="82" xfId="0" applyNumberFormat="1" applyFont="1" applyFill="1" applyBorder="1" applyAlignment="1">
      <alignment horizontal="center"/>
    </xf>
    <xf numFmtId="164" fontId="16" fillId="0" borderId="81" xfId="0" applyNumberFormat="1" applyFont="1" applyFill="1" applyBorder="1" applyAlignment="1">
      <alignment horizontal="center"/>
    </xf>
    <xf numFmtId="164" fontId="16" fillId="0" borderId="83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wrapText="1"/>
    </xf>
    <xf numFmtId="164" fontId="16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 wrapText="1"/>
    </xf>
    <xf numFmtId="0" fontId="21" fillId="5" borderId="27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27" xfId="0" applyFont="1" applyFill="1" applyBorder="1" applyAlignment="1">
      <alignment horizontal="center" wrapText="1"/>
    </xf>
    <xf numFmtId="0" fontId="21" fillId="5" borderId="15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2" fillId="30" borderId="0" xfId="241" applyFont="1" applyFill="1" applyBorder="1" applyAlignment="1">
      <alignment horizontal="center"/>
    </xf>
    <xf numFmtId="1" fontId="12" fillId="30" borderId="31" xfId="24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240" applyFont="1" applyFill="1" applyBorder="1" applyAlignment="1">
      <alignment horizontal="center" vertical="top" wrapText="1"/>
    </xf>
    <xf numFmtId="168" fontId="11" fillId="0" borderId="0" xfId="2" applyNumberFormat="1" applyFont="1" applyFill="1" applyBorder="1" applyAlignment="1">
      <alignment vertical="top" wrapText="1"/>
    </xf>
    <xf numFmtId="0" fontId="11" fillId="0" borderId="31" xfId="0" applyFont="1" applyBorder="1" applyAlignment="1">
      <alignment horizontal="center" wrapText="1"/>
    </xf>
    <xf numFmtId="164" fontId="11" fillId="0" borderId="31" xfId="3" applyNumberFormat="1" applyFont="1" applyFill="1" applyBorder="1" applyAlignment="1">
      <alignment horizontal="center" wrapText="1"/>
    </xf>
    <xf numFmtId="167" fontId="12" fillId="0" borderId="76" xfId="3" applyNumberFormat="1" applyFont="1" applyFill="1" applyBorder="1" applyAlignment="1">
      <alignment horizontal="center" wrapText="1"/>
    </xf>
    <xf numFmtId="43" fontId="12" fillId="0" borderId="80" xfId="240" applyFont="1" applyFill="1" applyBorder="1" applyAlignment="1">
      <alignment horizontal="center" wrapText="1"/>
    </xf>
    <xf numFmtId="43" fontId="12" fillId="0" borderId="77" xfId="240" applyFont="1" applyFill="1" applyBorder="1" applyAlignment="1">
      <alignment horizontal="center" wrapText="1"/>
    </xf>
    <xf numFmtId="167" fontId="12" fillId="0" borderId="79" xfId="3" applyNumberFormat="1" applyFont="1" applyFill="1" applyBorder="1" applyAlignment="1">
      <alignment horizontal="center" vertical="top" wrapText="1"/>
    </xf>
    <xf numFmtId="43" fontId="12" fillId="0" borderId="30" xfId="240" applyFont="1" applyFill="1" applyBorder="1" applyAlignment="1">
      <alignment horizontal="center" vertical="top" wrapText="1"/>
    </xf>
    <xf numFmtId="43" fontId="12" fillId="0" borderId="97" xfId="240" applyFont="1" applyFill="1" applyBorder="1" applyAlignment="1">
      <alignment horizontal="center" vertical="top" wrapText="1"/>
    </xf>
    <xf numFmtId="167" fontId="11" fillId="0" borderId="75" xfId="3" applyNumberFormat="1" applyFont="1" applyFill="1" applyBorder="1" applyAlignment="1">
      <alignment vertical="top" wrapText="1"/>
    </xf>
    <xf numFmtId="167" fontId="11" fillId="0" borderId="31" xfId="3" applyNumberFormat="1" applyFont="1" applyFill="1" applyBorder="1" applyAlignment="1">
      <alignment vertical="top" wrapText="1"/>
    </xf>
    <xf numFmtId="43" fontId="12" fillId="0" borderId="32" xfId="240" applyFont="1" applyFill="1" applyBorder="1" applyAlignment="1">
      <alignment vertical="top" wrapText="1"/>
    </xf>
    <xf numFmtId="165" fontId="11" fillId="0" borderId="15" xfId="3" applyNumberFormat="1" applyFont="1" applyFill="1" applyBorder="1" applyAlignment="1">
      <alignment horizontal="center" wrapText="1"/>
    </xf>
    <xf numFmtId="165" fontId="11" fillId="0" borderId="16" xfId="3" applyNumberFormat="1" applyFont="1" applyFill="1" applyBorder="1" applyAlignment="1">
      <alignment horizontal="center" wrapText="1"/>
    </xf>
    <xf numFmtId="165" fontId="11" fillId="0" borderId="17" xfId="3" applyNumberFormat="1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64" fontId="11" fillId="3" borderId="21" xfId="3" applyNumberFormat="1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8" fontId="21" fillId="0" borderId="26" xfId="6" applyNumberFormat="1" applyFont="1" applyFill="1" applyBorder="1" applyAlignment="1">
      <alignment horizontal="center" vertical="center"/>
    </xf>
    <xf numFmtId="8" fontId="21" fillId="0" borderId="28" xfId="6" applyNumberFormat="1" applyFont="1" applyFill="1" applyBorder="1" applyAlignment="1">
      <alignment horizontal="center" vertical="center"/>
    </xf>
    <xf numFmtId="0" fontId="47" fillId="0" borderId="0" xfId="6" applyFont="1" applyAlignment="1">
      <alignment horizontal="left"/>
    </xf>
    <xf numFmtId="8" fontId="21" fillId="0" borderId="26" xfId="6" applyNumberFormat="1" applyFont="1" applyBorder="1" applyAlignment="1">
      <alignment horizontal="center" vertical="center"/>
    </xf>
    <xf numFmtId="8" fontId="21" fillId="0" borderId="28" xfId="6" applyNumberFormat="1" applyFont="1" applyBorder="1" applyAlignment="1">
      <alignment horizontal="center" vertical="center"/>
    </xf>
    <xf numFmtId="0" fontId="24" fillId="0" borderId="60" xfId="6" applyFont="1" applyBorder="1" applyAlignment="1">
      <alignment horizontal="center"/>
    </xf>
    <xf numFmtId="0" fontId="24" fillId="0" borderId="51" xfId="6" applyFont="1" applyBorder="1" applyAlignment="1">
      <alignment horizontal="center"/>
    </xf>
    <xf numFmtId="0" fontId="24" fillId="0" borderId="53" xfId="6" applyFont="1" applyBorder="1" applyAlignment="1">
      <alignment horizontal="center"/>
    </xf>
    <xf numFmtId="0" fontId="24" fillId="0" borderId="61" xfId="6" applyFont="1" applyBorder="1" applyAlignment="1">
      <alignment horizontal="center"/>
    </xf>
    <xf numFmtId="0" fontId="24" fillId="0" borderId="37" xfId="6" applyFont="1" applyBorder="1" applyAlignment="1">
      <alignment horizontal="center"/>
    </xf>
    <xf numFmtId="0" fontId="24" fillId="0" borderId="62" xfId="6" applyFont="1" applyBorder="1" applyAlignment="1">
      <alignment horizontal="center"/>
    </xf>
    <xf numFmtId="0" fontId="24" fillId="0" borderId="56" xfId="6" applyFont="1" applyBorder="1" applyAlignment="1">
      <alignment horizontal="center"/>
    </xf>
    <xf numFmtId="0" fontId="51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1" fillId="0" borderId="37" xfId="0" applyFont="1" applyBorder="1" applyAlignment="1"/>
    <xf numFmtId="0" fontId="21" fillId="0" borderId="56" xfId="0" applyFont="1" applyBorder="1" applyAlignment="1"/>
    <xf numFmtId="0" fontId="53" fillId="0" borderId="8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4" fillId="0" borderId="17" xfId="0" applyFont="1" applyBorder="1" applyAlignment="1"/>
    <xf numFmtId="0" fontId="21" fillId="0" borderId="31" xfId="0" applyFont="1" applyBorder="1" applyAlignment="1"/>
    <xf numFmtId="0" fontId="21" fillId="0" borderId="84" xfId="0" applyFont="1" applyBorder="1" applyAlignment="1"/>
  </cellXfs>
  <cellStyles count="302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Bad 3" xfId="242"/>
    <cellStyle name="Body: normal cell" xfId="243"/>
    <cellStyle name="Calculation 2" xfId="33"/>
    <cellStyle name="Calculation 2 2" xfId="34"/>
    <cellStyle name="Calculation 2 2 2" xfId="35"/>
    <cellStyle name="Calculation 2 3" xfId="36"/>
    <cellStyle name="Check Cell 2" xfId="37"/>
    <cellStyle name="Comma" xfId="240" builtinId="3"/>
    <cellStyle name="Comma [0] 2" xfId="244"/>
    <cellStyle name="Comma 10" xfId="245"/>
    <cellStyle name="Comma 11" xfId="246"/>
    <cellStyle name="Comma 2" xfId="38"/>
    <cellStyle name="Comma 2 2" xfId="39"/>
    <cellStyle name="Comma 2 2 2" xfId="247"/>
    <cellStyle name="Comma 2 3" xfId="248"/>
    <cellStyle name="Comma 3" xfId="40"/>
    <cellStyle name="Comma 3 2" xfId="41"/>
    <cellStyle name="Comma 3 3" xfId="42"/>
    <cellStyle name="Comma 3 4" xfId="43"/>
    <cellStyle name="Comma 4" xfId="44"/>
    <cellStyle name="Comma 4 2" xfId="45"/>
    <cellStyle name="Comma 5" xfId="46"/>
    <cellStyle name="Comma 5 2" xfId="47"/>
    <cellStyle name="Comma 5 3" xfId="48"/>
    <cellStyle name="Comma 6" xfId="49"/>
    <cellStyle name="Comma 6 2" xfId="50"/>
    <cellStyle name="Comma 7" xfId="51"/>
    <cellStyle name="Comma 7 2" xfId="249"/>
    <cellStyle name="Comma 8" xfId="52"/>
    <cellStyle name="Comma 9" xfId="250"/>
    <cellStyle name="Currency" xfId="1" builtinId="4"/>
    <cellStyle name="Currency [0] 2" xfId="53"/>
    <cellStyle name="Currency 10" xfId="54"/>
    <cellStyle name="Currency 11" xfId="55"/>
    <cellStyle name="Currency 12" xfId="56"/>
    <cellStyle name="Currency 13" xfId="57"/>
    <cellStyle name="Currency 14" xfId="58"/>
    <cellStyle name="Currency 15" xfId="59"/>
    <cellStyle name="Currency 16" xfId="60"/>
    <cellStyle name="Currency 17" xfId="61"/>
    <cellStyle name="Currency 18" xfId="62"/>
    <cellStyle name="Currency 19" xfId="63"/>
    <cellStyle name="Currency 2" xfId="64"/>
    <cellStyle name="Currency 2 2" xfId="65"/>
    <cellStyle name="Currency 2 2 2" xfId="66"/>
    <cellStyle name="Currency 2 2 2 2" xfId="251"/>
    <cellStyle name="Currency 2 2 2 3" xfId="67"/>
    <cellStyle name="Currency 2 3" xfId="68"/>
    <cellStyle name="Currency 2 4" xfId="69"/>
    <cellStyle name="Currency 2 4 2" xfId="70"/>
    <cellStyle name="Currency 2 5" xfId="71"/>
    <cellStyle name="Currency 20" xfId="72"/>
    <cellStyle name="Currency 21" xfId="73"/>
    <cellStyle name="Currency 22" xfId="74"/>
    <cellStyle name="Currency 23" xfId="75"/>
    <cellStyle name="Currency 24" xfId="76"/>
    <cellStyle name="Currency 25" xfId="77"/>
    <cellStyle name="Currency 26" xfId="78"/>
    <cellStyle name="Currency 27" xfId="79"/>
    <cellStyle name="Currency 28" xfId="80"/>
    <cellStyle name="Currency 29" xfId="81"/>
    <cellStyle name="Currency 3" xfId="5"/>
    <cellStyle name="Currency 3 2" xfId="82"/>
    <cellStyle name="Currency 3 3" xfId="83"/>
    <cellStyle name="Currency 3 4" xfId="252"/>
    <cellStyle name="Currency 3 5" xfId="253"/>
    <cellStyle name="Currency 30" xfId="84"/>
    <cellStyle name="Currency 31" xfId="85"/>
    <cellStyle name="Currency 32" xfId="86"/>
    <cellStyle name="Currency 33" xfId="87"/>
    <cellStyle name="Currency 34" xfId="88"/>
    <cellStyle name="Currency 35" xfId="89"/>
    <cellStyle name="Currency 36" xfId="90"/>
    <cellStyle name="Currency 37" xfId="91"/>
    <cellStyle name="Currency 38" xfId="92"/>
    <cellStyle name="Currency 39" xfId="93"/>
    <cellStyle name="Currency 4" xfId="94"/>
    <cellStyle name="Currency 4 2" xfId="95"/>
    <cellStyle name="Currency 4 2 2" xfId="96"/>
    <cellStyle name="Currency 4 2 2 2" xfId="97"/>
    <cellStyle name="Currency 4 2 2 3" xfId="98"/>
    <cellStyle name="Currency 4 2 3" xfId="254"/>
    <cellStyle name="Currency 4 3" xfId="99"/>
    <cellStyle name="Currency 4 3 2" xfId="100"/>
    <cellStyle name="Currency 4 3 3" xfId="101"/>
    <cellStyle name="Currency 4 4" xfId="102"/>
    <cellStyle name="Currency 4 5" xfId="255"/>
    <cellStyle name="Currency 40" xfId="103"/>
    <cellStyle name="Currency 41" xfId="104"/>
    <cellStyle name="Currency 42" xfId="105"/>
    <cellStyle name="Currency 43" xfId="106"/>
    <cellStyle name="Currency 44" xfId="107"/>
    <cellStyle name="Currency 45" xfId="108"/>
    <cellStyle name="Currency 46" xfId="109"/>
    <cellStyle name="Currency 5" xfId="110"/>
    <cellStyle name="Currency 5 2" xfId="111"/>
    <cellStyle name="Currency 5 2 2" xfId="256"/>
    <cellStyle name="Currency 5 3" xfId="112"/>
    <cellStyle name="Currency 5 3 2" xfId="257"/>
    <cellStyle name="Currency 5 3 3" xfId="258"/>
    <cellStyle name="Currency 5 4" xfId="113"/>
    <cellStyle name="Currency 5 5" xfId="114"/>
    <cellStyle name="Currency 5 6" xfId="259"/>
    <cellStyle name="Currency 6" xfId="115"/>
    <cellStyle name="Currency 6 2" xfId="116"/>
    <cellStyle name="Currency 6 3" xfId="117"/>
    <cellStyle name="Currency 7" xfId="118"/>
    <cellStyle name="Currency 7 2" xfId="119"/>
    <cellStyle name="Currency 7 3" xfId="120"/>
    <cellStyle name="Currency 8" xfId="121"/>
    <cellStyle name="Currency 8 2" xfId="122"/>
    <cellStyle name="Currency 9" xfId="123"/>
    <cellStyle name="Explanatory Text 2" xfId="124"/>
    <cellStyle name="Explanatory Text 2 2" xfId="125"/>
    <cellStyle name="Explanatory Text 2 3" xfId="126"/>
    <cellStyle name="Font: Calibri, 9pt regular" xfId="260"/>
    <cellStyle name="Footnotes: top row" xfId="261"/>
    <cellStyle name="Good 2" xfId="127"/>
    <cellStyle name="Header: bottom row" xfId="262"/>
    <cellStyle name="Heading 1 2" xfId="128"/>
    <cellStyle name="Heading 1 2 2" xfId="129"/>
    <cellStyle name="Heading 1 2 3" xfId="130"/>
    <cellStyle name="Heading 2 2" xfId="131"/>
    <cellStyle name="Heading 2 2 2" xfId="132"/>
    <cellStyle name="Heading 2 2 3" xfId="133"/>
    <cellStyle name="Heading 3 2" xfId="134"/>
    <cellStyle name="Heading 3 2 2" xfId="135"/>
    <cellStyle name="Heading 3 2 3" xfId="136"/>
    <cellStyle name="Heading 4 2" xfId="137"/>
    <cellStyle name="Heading 4 2 2" xfId="138"/>
    <cellStyle name="Heading 4 2 3" xfId="139"/>
    <cellStyle name="Hyperlink 2" xfId="263"/>
    <cellStyle name="Input 2" xfId="140"/>
    <cellStyle name="Input 2 2" xfId="141"/>
    <cellStyle name="Input 2 2 2" xfId="142"/>
    <cellStyle name="Input 2 3" xfId="143"/>
    <cellStyle name="Linked Cell 2" xfId="144"/>
    <cellStyle name="Linked Cell 2 2" xfId="145"/>
    <cellStyle name="Linked Cell 2 3" xfId="146"/>
    <cellStyle name="Neutral 2" xfId="147"/>
    <cellStyle name="Normal" xfId="0" builtinId="0"/>
    <cellStyle name="Normal 10" xfId="148"/>
    <cellStyle name="Normal 10 2" xfId="264"/>
    <cellStyle name="Normal 10 3" xfId="265"/>
    <cellStyle name="Normal 10 3 2" xfId="266"/>
    <cellStyle name="Normal 11" xfId="149"/>
    <cellStyle name="Normal 11 2" xfId="267"/>
    <cellStyle name="Normal 11 2 2" xfId="268"/>
    <cellStyle name="Normal 12" xfId="150"/>
    <cellStyle name="Normal 13" xfId="151"/>
    <cellStyle name="Normal 13 2" xfId="269"/>
    <cellStyle name="Normal 14" xfId="152"/>
    <cellStyle name="Normal 14 2" xfId="270"/>
    <cellStyle name="Normal 15" xfId="153"/>
    <cellStyle name="Normal 16" xfId="4"/>
    <cellStyle name="Normal 17" xfId="271"/>
    <cellStyle name="Normal 17 2" xfId="272"/>
    <cellStyle name="Normal 18" xfId="273"/>
    <cellStyle name="Normal 19" xfId="274"/>
    <cellStyle name="Normal 2" xfId="6"/>
    <cellStyle name="Normal 2 2" xfId="154"/>
    <cellStyle name="Normal 2 2 2" xfId="155"/>
    <cellStyle name="Normal 2 2 3" xfId="156"/>
    <cellStyle name="Normal 2 3" xfId="157"/>
    <cellStyle name="Normal 2 3 2" xfId="275"/>
    <cellStyle name="Normal 2 4" xfId="158"/>
    <cellStyle name="Normal 2 4 2" xfId="276"/>
    <cellStyle name="Normal 2 4 3" xfId="277"/>
    <cellStyle name="Normal 2 5" xfId="159"/>
    <cellStyle name="Normal 2 5 2" xfId="278"/>
    <cellStyle name="Normal 20" xfId="279"/>
    <cellStyle name="Normal 21" xfId="280"/>
    <cellStyle name="Normal 22" xfId="281"/>
    <cellStyle name="Normal 3" xfId="160"/>
    <cellStyle name="Normal 3 2" xfId="161"/>
    <cellStyle name="Normal 3 2 2" xfId="162"/>
    <cellStyle name="Normal 3 2 3" xfId="163"/>
    <cellStyle name="Normal 3 2 4" xfId="164"/>
    <cellStyle name="Normal 3 3" xfId="165"/>
    <cellStyle name="Normal 3 3 2" xfId="282"/>
    <cellStyle name="Normal 3 4" xfId="166"/>
    <cellStyle name="Normal 3 4 2" xfId="283"/>
    <cellStyle name="Normal 3 5" xfId="167"/>
    <cellStyle name="Normal 3 9" xfId="284"/>
    <cellStyle name="Normal 4" xfId="168"/>
    <cellStyle name="Normal 4 2" xfId="169"/>
    <cellStyle name="Normal 4 2 2" xfId="170"/>
    <cellStyle name="Normal 4 2 2 2" xfId="285"/>
    <cellStyle name="Normal 4 2 3" xfId="286"/>
    <cellStyle name="Normal 4 2 3 2" xfId="287"/>
    <cellStyle name="Normal 4 3" xfId="171"/>
    <cellStyle name="Normal 4 3 2" xfId="172"/>
    <cellStyle name="Normal 4 3 3" xfId="173"/>
    <cellStyle name="Normal 4 4" xfId="174"/>
    <cellStyle name="Normal 5" xfId="175"/>
    <cellStyle name="Normal 5 2" xfId="176"/>
    <cellStyle name="Normal 6" xfId="177"/>
    <cellStyle name="Normal 6 2" xfId="178"/>
    <cellStyle name="Normal 6 2 2" xfId="179"/>
    <cellStyle name="Normal 6 2 2 2" xfId="288"/>
    <cellStyle name="Normal 6 2 3" xfId="180"/>
    <cellStyle name="Normal 6 2 4" xfId="181"/>
    <cellStyle name="Normal 6 3" xfId="182"/>
    <cellStyle name="Normal 6 4" xfId="183"/>
    <cellStyle name="Normal 7" xfId="184"/>
    <cellStyle name="Normal 7 2" xfId="185"/>
    <cellStyle name="Normal 7 3" xfId="289"/>
    <cellStyle name="Normal 8" xfId="3"/>
    <cellStyle name="Normal 8 2" xfId="186"/>
    <cellStyle name="Normal 8 2 2" xfId="241"/>
    <cellStyle name="Normal 8 3" xfId="187"/>
    <cellStyle name="Normal 8 4" xfId="188"/>
    <cellStyle name="Normal 8 5" xfId="290"/>
    <cellStyle name="Normal 9" xfId="189"/>
    <cellStyle name="Normal 9 2" xfId="190"/>
    <cellStyle name="Normal 9 2 2" xfId="291"/>
    <cellStyle name="Normal 9 2 3" xfId="292"/>
    <cellStyle name="Normal 9 3" xfId="191"/>
    <cellStyle name="Normal_Rates Estimate" xfId="7"/>
    <cellStyle name="Note 2" xfId="192"/>
    <cellStyle name="Note 2 2" xfId="193"/>
    <cellStyle name="Note 2 3" xfId="194"/>
    <cellStyle name="Output 2" xfId="195"/>
    <cellStyle name="Output 2 2" xfId="196"/>
    <cellStyle name="Output 2 2 2" xfId="197"/>
    <cellStyle name="Output 2 3" xfId="198"/>
    <cellStyle name="Parent row" xfId="293"/>
    <cellStyle name="Percent" xfId="2" builtinId="5"/>
    <cellStyle name="Percent 10" xfId="199"/>
    <cellStyle name="Percent 10 2" xfId="294"/>
    <cellStyle name="Percent 11" xfId="200"/>
    <cellStyle name="Percent 2" xfId="201"/>
    <cellStyle name="Percent 2 2" xfId="202"/>
    <cellStyle name="Percent 2 2 2" xfId="203"/>
    <cellStyle name="Percent 2 2 3" xfId="295"/>
    <cellStyle name="Percent 2 3" xfId="296"/>
    <cellStyle name="Percent 2 4" xfId="297"/>
    <cellStyle name="Percent 2 5" xfId="298"/>
    <cellStyle name="Percent 3" xfId="204"/>
    <cellStyle name="Percent 3 2" xfId="205"/>
    <cellStyle name="Percent 3 2 2" xfId="206"/>
    <cellStyle name="Percent 3 2 3" xfId="207"/>
    <cellStyle name="Percent 3 3" xfId="299"/>
    <cellStyle name="Percent 4" xfId="208"/>
    <cellStyle name="Percent 4 2" xfId="209"/>
    <cellStyle name="Percent 4 2 2" xfId="210"/>
    <cellStyle name="Percent 4 2 3" xfId="211"/>
    <cellStyle name="Percent 4 3" xfId="212"/>
    <cellStyle name="Percent 5" xfId="213"/>
    <cellStyle name="Percent 5 2" xfId="214"/>
    <cellStyle name="Percent 5 2 2" xfId="300"/>
    <cellStyle name="Percent 5 3" xfId="215"/>
    <cellStyle name="Percent 5 4" xfId="216"/>
    <cellStyle name="Percent 5 5" xfId="217"/>
    <cellStyle name="Percent 6" xfId="218"/>
    <cellStyle name="Percent 6 2" xfId="219"/>
    <cellStyle name="Percent 6 3" xfId="220"/>
    <cellStyle name="Percent 6 4" xfId="221"/>
    <cellStyle name="Percent 7" xfId="222"/>
    <cellStyle name="Percent 7 2" xfId="223"/>
    <cellStyle name="Percent 7 3" xfId="224"/>
    <cellStyle name="Percent 7 4" xfId="225"/>
    <cellStyle name="Percent 8" xfId="226"/>
    <cellStyle name="Percent 8 2" xfId="227"/>
    <cellStyle name="Percent 8 3" xfId="228"/>
    <cellStyle name="Percent 9" xfId="229"/>
    <cellStyle name="Percent 9 2" xfId="230"/>
    <cellStyle name="Table title" xfId="301"/>
    <cellStyle name="Title 2" xfId="231"/>
    <cellStyle name="Title 2 2" xfId="232"/>
    <cellStyle name="Title 2 3" xfId="233"/>
    <cellStyle name="Total 2" xfId="234"/>
    <cellStyle name="Total 2 2" xfId="235"/>
    <cellStyle name="Total 2 3" xfId="236"/>
    <cellStyle name="Warning Text 2" xfId="237"/>
    <cellStyle name="Warning Text 2 2" xfId="238"/>
    <cellStyle name="Warning Text 2 3" xfId="2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Developmental%20and%20Support%20Services-%20CMR%20424/FY21/FY21%20Workbook%20101%20CMR%204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HabSupRates 3285 v1"/>
      <sheetName val="Chart"/>
      <sheetName val="CorpRepPayee 3274 Models"/>
      <sheetName val="TAP 2222 Model"/>
      <sheetName val="Rate Chart"/>
      <sheetName val="Spring2017 CAF"/>
      <sheetName val="RatesForReg"/>
      <sheetName val="DayHabSupRates 3285 (V2)"/>
      <sheetName val="Fiscal Impact"/>
      <sheetName val="CAF 2019 Fall"/>
      <sheetName val="DayHab 3285 add ons"/>
      <sheetName val="Kara ALTR Add on Rates"/>
    </sheetNames>
    <sheetDataSet>
      <sheetData sheetId="0"/>
      <sheetData sheetId="1">
        <row r="4">
          <cell r="C4">
            <v>32198.400000000001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BZ25">
            <v>1.7780248869661817E-2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F125"/>
  <sheetViews>
    <sheetView tabSelected="1" topLeftCell="A2" zoomScale="110" zoomScaleNormal="110" workbookViewId="0">
      <selection activeCell="G10" sqref="G10"/>
    </sheetView>
  </sheetViews>
  <sheetFormatPr defaultColWidth="9.140625" defaultRowHeight="12"/>
  <cols>
    <col min="1" max="1" width="2.140625" style="237" customWidth="1"/>
    <col min="2" max="2" width="12.85546875" style="237" customWidth="1"/>
    <col min="3" max="3" width="10.42578125" style="237" bestFit="1" customWidth="1"/>
    <col min="4" max="4" width="10.85546875" style="237" bestFit="1" customWidth="1"/>
    <col min="5" max="5" width="13.5703125" style="237" bestFit="1" customWidth="1"/>
    <col min="6" max="6" width="12.42578125" style="237" customWidth="1"/>
    <col min="7" max="7" width="15.7109375" style="237" customWidth="1"/>
    <col min="8" max="8" width="14.85546875" style="237" customWidth="1"/>
    <col min="9" max="9" width="11.5703125" style="237" bestFit="1" customWidth="1"/>
    <col min="10" max="10" width="10" style="237" bestFit="1" customWidth="1"/>
    <col min="11" max="11" width="10.7109375" style="237" bestFit="1" customWidth="1"/>
    <col min="12" max="12" width="13.42578125" style="237" customWidth="1"/>
    <col min="13" max="13" width="13.85546875" style="237" bestFit="1" customWidth="1"/>
    <col min="14" max="14" width="12.85546875" style="237" customWidth="1"/>
    <col min="15" max="15" width="10.42578125" style="237" bestFit="1" customWidth="1"/>
    <col min="16" max="16" width="13" style="237" bestFit="1" customWidth="1"/>
    <col min="17" max="17" width="13.7109375" style="237" bestFit="1" customWidth="1"/>
    <col min="18" max="18" width="12.42578125" style="237" customWidth="1"/>
    <col min="19" max="19" width="13.42578125" style="237" customWidth="1"/>
    <col min="20" max="20" width="11.28515625" style="237" customWidth="1"/>
    <col min="21" max="21" width="11.5703125" style="237" bestFit="1" customWidth="1"/>
    <col min="22" max="22" width="10" style="237" bestFit="1" customWidth="1"/>
    <col min="23" max="23" width="10.7109375" style="237" bestFit="1" customWidth="1"/>
    <col min="24" max="24" width="13.42578125" style="237" customWidth="1"/>
    <col min="25" max="28" width="14.5703125" style="237" bestFit="1" customWidth="1"/>
    <col min="29" max="16384" width="9.140625" style="237"/>
  </cols>
  <sheetData>
    <row r="1" spans="2:32" ht="9.75" customHeight="1" thickBot="1">
      <c r="P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</row>
    <row r="2" spans="2:32">
      <c r="B2" s="253"/>
      <c r="C2" s="2" t="s">
        <v>0</v>
      </c>
      <c r="D2" s="2" t="s">
        <v>1</v>
      </c>
      <c r="E2" s="3" t="s">
        <v>64</v>
      </c>
      <c r="F2" s="3" t="s">
        <v>63</v>
      </c>
      <c r="G2" s="3" t="s">
        <v>5</v>
      </c>
      <c r="H2" s="3" t="s">
        <v>6</v>
      </c>
      <c r="I2" s="4" t="s">
        <v>7</v>
      </c>
      <c r="J2" s="254" t="s">
        <v>12</v>
      </c>
      <c r="K2" s="255" t="s">
        <v>516</v>
      </c>
      <c r="M2" s="5"/>
      <c r="P2" s="256"/>
      <c r="Q2" s="256"/>
      <c r="R2" s="256"/>
      <c r="S2" s="256"/>
      <c r="T2" s="256"/>
      <c r="U2" s="256"/>
      <c r="V2" s="252"/>
      <c r="W2" s="252"/>
      <c r="X2" s="252"/>
      <c r="Y2" s="252"/>
      <c r="Z2" s="252"/>
      <c r="AA2" s="252"/>
      <c r="AB2" s="252"/>
      <c r="AC2" s="252"/>
    </row>
    <row r="3" spans="2:32" ht="36">
      <c r="B3" s="6" t="s">
        <v>211</v>
      </c>
      <c r="C3" s="231">
        <v>51651.66</v>
      </c>
      <c r="D3" s="231">
        <v>41516.800000000003</v>
      </c>
      <c r="E3" s="231">
        <v>32198.400000000001</v>
      </c>
      <c r="F3" s="231">
        <v>29640</v>
      </c>
      <c r="G3" s="231">
        <f>E3</f>
        <v>32198.400000000001</v>
      </c>
      <c r="H3" s="231">
        <f>F3</f>
        <v>29640</v>
      </c>
      <c r="I3" s="232">
        <f>E3</f>
        <v>32198.400000000001</v>
      </c>
      <c r="J3" s="233">
        <v>60923</v>
      </c>
      <c r="K3" s="232">
        <v>195380</v>
      </c>
      <c r="M3" s="5"/>
      <c r="V3" s="252"/>
      <c r="W3" s="252"/>
      <c r="X3" s="252"/>
      <c r="Y3" s="252"/>
      <c r="Z3" s="252"/>
      <c r="AA3" s="252"/>
      <c r="AB3" s="252"/>
      <c r="AC3" s="252"/>
    </row>
    <row r="4" spans="2:32" ht="26.25" customHeight="1" thickBot="1">
      <c r="B4" s="182" t="s">
        <v>10</v>
      </c>
      <c r="C4" s="234">
        <v>51651.66</v>
      </c>
      <c r="D4" s="234">
        <v>41516.800000000003</v>
      </c>
      <c r="E4" s="234">
        <f>'ALTR Add on Rates '!C6</f>
        <v>33316</v>
      </c>
      <c r="F4" s="234">
        <v>29640</v>
      </c>
      <c r="G4" s="234">
        <f>E4</f>
        <v>33316</v>
      </c>
      <c r="H4" s="234">
        <f>F4</f>
        <v>29640</v>
      </c>
      <c r="I4" s="235">
        <f>E3</f>
        <v>32198.400000000001</v>
      </c>
      <c r="J4" s="236">
        <v>60923</v>
      </c>
      <c r="K4" s="235">
        <f>K3</f>
        <v>195380</v>
      </c>
      <c r="N4" s="257"/>
      <c r="O4" s="257"/>
      <c r="P4" s="258"/>
      <c r="Q4" s="259"/>
      <c r="R4" s="257"/>
      <c r="S4" s="257"/>
      <c r="T4" s="257"/>
      <c r="U4" s="257"/>
      <c r="W4" s="252"/>
      <c r="X4" s="252"/>
      <c r="Y4" s="252"/>
      <c r="Z4" s="252"/>
      <c r="AA4" s="252"/>
      <c r="AB4" s="252"/>
      <c r="AC4" s="252"/>
    </row>
    <row r="5" spans="2:32" ht="12.6" customHeight="1" thickBot="1">
      <c r="B5" s="15"/>
      <c r="C5" s="47"/>
      <c r="D5" s="47"/>
      <c r="E5" s="48"/>
      <c r="F5" s="48"/>
      <c r="G5" s="48"/>
      <c r="H5" s="48"/>
      <c r="I5" s="48"/>
      <c r="J5" s="48"/>
      <c r="M5" s="257"/>
      <c r="N5" s="260"/>
      <c r="P5" s="261"/>
      <c r="Q5" s="259"/>
      <c r="R5" s="257"/>
      <c r="S5" s="257"/>
      <c r="T5" s="257"/>
      <c r="U5" s="257"/>
      <c r="V5" s="257"/>
      <c r="W5" s="257"/>
      <c r="X5" s="257"/>
      <c r="Z5" s="252"/>
      <c r="AA5" s="252"/>
      <c r="AB5" s="252"/>
      <c r="AC5" s="252"/>
      <c r="AD5" s="252"/>
      <c r="AE5" s="252"/>
      <c r="AF5" s="252"/>
    </row>
    <row r="6" spans="2:32" ht="26.25" customHeight="1">
      <c r="B6" s="49"/>
      <c r="C6" s="50" t="s">
        <v>11</v>
      </c>
      <c r="D6" s="50" t="s">
        <v>12</v>
      </c>
      <c r="E6" s="51" t="s">
        <v>13</v>
      </c>
      <c r="F6" s="231"/>
      <c r="G6" s="494" t="s">
        <v>550</v>
      </c>
      <c r="H6" s="494" t="s">
        <v>540</v>
      </c>
      <c r="I6" s="495" t="s">
        <v>541</v>
      </c>
      <c r="J6" s="231"/>
      <c r="M6" s="260"/>
      <c r="N6" s="257"/>
      <c r="P6" s="262"/>
      <c r="Q6" s="262"/>
      <c r="R6" s="257"/>
      <c r="S6" s="257"/>
      <c r="T6" s="257"/>
      <c r="U6" s="257"/>
      <c r="V6" s="257"/>
      <c r="W6" s="257"/>
      <c r="X6" s="257"/>
      <c r="Z6" s="252"/>
      <c r="AA6" s="252"/>
      <c r="AB6" s="252"/>
      <c r="AC6" s="252"/>
      <c r="AD6" s="252"/>
      <c r="AE6" s="252"/>
      <c r="AF6" s="252"/>
    </row>
    <row r="7" spans="2:32" ht="26.25" customHeight="1" thickBot="1">
      <c r="B7" s="238" t="s">
        <v>14</v>
      </c>
      <c r="C7" s="239">
        <f>'Add-Ons old'!K932</f>
        <v>60.36</v>
      </c>
      <c r="D7" s="239">
        <f>'Add-Ons old'!K934</f>
        <v>42.34</v>
      </c>
      <c r="E7" s="240">
        <f>'Add-Ons old'!K938</f>
        <v>135.78</v>
      </c>
      <c r="F7" s="231"/>
      <c r="G7" s="496" t="s">
        <v>551</v>
      </c>
      <c r="H7" s="497">
        <v>23</v>
      </c>
      <c r="I7" s="498">
        <f>H7*8</f>
        <v>184</v>
      </c>
      <c r="J7" s="241"/>
      <c r="M7" s="257"/>
      <c r="N7" s="257"/>
      <c r="Q7" s="257"/>
      <c r="R7" s="257"/>
      <c r="S7" s="257"/>
      <c r="T7" s="257"/>
      <c r="U7" s="257"/>
      <c r="V7" s="257"/>
      <c r="W7" s="257"/>
      <c r="X7" s="257"/>
      <c r="Z7" s="252"/>
      <c r="AA7" s="252"/>
      <c r="AB7" s="252"/>
      <c r="AC7" s="252"/>
      <c r="AD7" s="252"/>
      <c r="AE7" s="252"/>
      <c r="AF7" s="252"/>
    </row>
    <row r="8" spans="2:32" ht="11.45" customHeight="1">
      <c r="B8" s="242"/>
      <c r="C8" s="243"/>
      <c r="D8" s="243"/>
      <c r="E8" s="243"/>
      <c r="F8" s="231"/>
      <c r="G8" s="499" t="s">
        <v>552</v>
      </c>
      <c r="H8" s="492">
        <v>10</v>
      </c>
      <c r="I8" s="500">
        <f>H8*8</f>
        <v>80</v>
      </c>
      <c r="J8" s="7"/>
      <c r="M8" s="257"/>
      <c r="N8" s="257"/>
      <c r="Q8" s="257"/>
      <c r="R8" s="257"/>
      <c r="S8" s="257"/>
      <c r="T8" s="257"/>
      <c r="U8" s="257"/>
      <c r="V8" s="257"/>
      <c r="W8" s="257"/>
      <c r="X8" s="257"/>
      <c r="Z8" s="252"/>
      <c r="AA8" s="252"/>
      <c r="AB8" s="252"/>
      <c r="AC8" s="252"/>
      <c r="AD8" s="252"/>
      <c r="AE8" s="252"/>
      <c r="AF8" s="252"/>
    </row>
    <row r="9" spans="2:32" ht="11.45" customHeight="1" thickBot="1">
      <c r="B9" s="470"/>
      <c r="C9" s="5"/>
      <c r="D9" s="243"/>
      <c r="E9" s="243"/>
      <c r="F9" s="231"/>
      <c r="G9" s="499" t="s">
        <v>553</v>
      </c>
      <c r="H9" s="492">
        <v>7</v>
      </c>
      <c r="I9" s="501">
        <f>H9*8</f>
        <v>56</v>
      </c>
      <c r="J9" s="7"/>
      <c r="M9" s="257"/>
      <c r="N9" s="257"/>
      <c r="Q9" s="257"/>
      <c r="R9" s="257"/>
      <c r="S9" s="257"/>
      <c r="T9" s="257"/>
      <c r="U9" s="257"/>
      <c r="V9" s="257"/>
      <c r="W9" s="257"/>
      <c r="X9" s="257"/>
      <c r="Z9" s="252"/>
      <c r="AA9" s="252"/>
      <c r="AB9" s="252"/>
      <c r="AC9" s="252"/>
      <c r="AD9" s="252"/>
      <c r="AE9" s="252"/>
      <c r="AF9" s="252"/>
    </row>
    <row r="10" spans="2:32" ht="14.45" customHeight="1" thickTop="1" thickBot="1">
      <c r="B10" s="470"/>
      <c r="C10" s="5"/>
      <c r="D10" s="243"/>
      <c r="E10" s="243"/>
      <c r="F10" s="231"/>
      <c r="G10" s="502"/>
      <c r="H10" s="503" t="s">
        <v>554</v>
      </c>
      <c r="I10" s="504">
        <f>SUM(I7:I9)</f>
        <v>320</v>
      </c>
      <c r="J10" s="7"/>
      <c r="M10" s="257"/>
      <c r="N10" s="257"/>
      <c r="Q10" s="257"/>
      <c r="R10" s="257"/>
      <c r="S10" s="257"/>
      <c r="T10" s="257"/>
      <c r="U10" s="257"/>
      <c r="V10" s="257"/>
      <c r="W10" s="257"/>
      <c r="X10" s="257"/>
      <c r="Z10" s="252"/>
      <c r="AA10" s="252"/>
      <c r="AB10" s="252"/>
      <c r="AC10" s="252"/>
      <c r="AD10" s="252"/>
      <c r="AE10" s="252"/>
      <c r="AF10" s="252"/>
    </row>
    <row r="11" spans="2:32" ht="26.25" customHeight="1" thickBot="1">
      <c r="B11" s="8" t="s">
        <v>15</v>
      </c>
      <c r="C11" s="244">
        <v>0.154</v>
      </c>
      <c r="D11" s="243"/>
      <c r="E11" s="243"/>
      <c r="F11" s="231"/>
      <c r="G11" s="7"/>
      <c r="H11" s="7" t="s">
        <v>555</v>
      </c>
      <c r="I11" s="493">
        <f>I10/2080</f>
        <v>0.15384615384615385</v>
      </c>
      <c r="J11" s="7"/>
      <c r="M11" s="257"/>
      <c r="N11" s="257"/>
      <c r="Q11" s="257"/>
      <c r="R11" s="257"/>
      <c r="S11" s="257"/>
      <c r="T11" s="257"/>
      <c r="U11" s="257"/>
      <c r="V11" s="257"/>
      <c r="W11" s="257"/>
      <c r="X11" s="257"/>
      <c r="Z11" s="252"/>
      <c r="AA11" s="252"/>
      <c r="AB11" s="252"/>
      <c r="AC11" s="252"/>
      <c r="AD11" s="252"/>
      <c r="AE11" s="252"/>
      <c r="AF11" s="252"/>
    </row>
    <row r="12" spans="2:32" ht="26.25" hidden="1" customHeight="1" thickBot="1">
      <c r="B12" s="9"/>
      <c r="C12" s="263"/>
      <c r="D12" s="243"/>
      <c r="E12" s="243"/>
      <c r="F12" s="511" t="s">
        <v>16</v>
      </c>
      <c r="G12" s="511"/>
      <c r="H12" s="511"/>
      <c r="I12" s="511"/>
      <c r="J12" s="511"/>
      <c r="M12" s="257"/>
      <c r="N12" s="257"/>
      <c r="Q12" s="257"/>
      <c r="R12" s="257"/>
      <c r="S12" s="257"/>
      <c r="T12" s="257"/>
      <c r="U12" s="257"/>
      <c r="V12" s="257"/>
      <c r="W12" s="257"/>
      <c r="X12" s="257"/>
      <c r="Z12" s="252"/>
      <c r="AA12" s="252"/>
      <c r="AB12" s="252"/>
      <c r="AC12" s="252"/>
      <c r="AD12" s="252"/>
      <c r="AE12" s="252"/>
      <c r="AF12" s="252"/>
    </row>
    <row r="13" spans="2:32" ht="26.25" hidden="1" customHeight="1" thickTop="1">
      <c r="B13" s="264"/>
      <c r="C13" s="10" t="s">
        <v>0</v>
      </c>
      <c r="D13" s="10" t="s">
        <v>1</v>
      </c>
      <c r="E13" s="11" t="s">
        <v>2</v>
      </c>
      <c r="F13" s="11" t="s">
        <v>3</v>
      </c>
      <c r="G13" s="11" t="s">
        <v>4</v>
      </c>
      <c r="H13" s="11" t="s">
        <v>5</v>
      </c>
      <c r="I13" s="11" t="s">
        <v>6</v>
      </c>
      <c r="J13" s="12" t="s">
        <v>7</v>
      </c>
      <c r="M13" s="257"/>
      <c r="N13" s="257"/>
      <c r="Q13" s="257"/>
      <c r="R13" s="257"/>
      <c r="S13" s="257"/>
      <c r="T13" s="257"/>
      <c r="U13" s="257"/>
      <c r="V13" s="257"/>
      <c r="W13" s="257"/>
      <c r="X13" s="257"/>
      <c r="Z13" s="252"/>
      <c r="AA13" s="252"/>
      <c r="AB13" s="252"/>
      <c r="AC13" s="252"/>
      <c r="AD13" s="252"/>
      <c r="AE13" s="252"/>
      <c r="AF13" s="252"/>
    </row>
    <row r="14" spans="2:32" ht="26.25" hidden="1" customHeight="1">
      <c r="B14" s="13" t="s">
        <v>8</v>
      </c>
      <c r="C14" s="265">
        <v>50445.892655369818</v>
      </c>
      <c r="D14" s="265">
        <v>42376.933152077996</v>
      </c>
      <c r="E14" s="265">
        <v>28483</v>
      </c>
      <c r="F14" s="265">
        <v>24317.225192974998</v>
      </c>
      <c r="G14" s="265">
        <v>25546.235845058291</v>
      </c>
      <c r="H14" s="265">
        <v>24865.66</v>
      </c>
      <c r="I14" s="265">
        <v>24317.225192974998</v>
      </c>
      <c r="J14" s="266">
        <v>28382.201551491886</v>
      </c>
      <c r="M14" s="257"/>
      <c r="N14" s="257"/>
      <c r="Q14" s="257"/>
      <c r="R14" s="257"/>
      <c r="S14" s="257"/>
      <c r="T14" s="257"/>
      <c r="U14" s="257"/>
      <c r="V14" s="257"/>
      <c r="W14" s="257"/>
      <c r="X14" s="257"/>
      <c r="Z14" s="252"/>
      <c r="AA14" s="252"/>
      <c r="AB14" s="252"/>
      <c r="AC14" s="252"/>
      <c r="AD14" s="252"/>
      <c r="AE14" s="252"/>
      <c r="AF14" s="252"/>
    </row>
    <row r="15" spans="2:32" ht="26.25" hidden="1" customHeight="1" thickBot="1">
      <c r="B15" s="14" t="s">
        <v>10</v>
      </c>
      <c r="C15" s="437">
        <v>50445.892655369818</v>
      </c>
      <c r="D15" s="437">
        <v>42376.933152077996</v>
      </c>
      <c r="E15" s="437">
        <v>30472</v>
      </c>
      <c r="F15" s="437">
        <v>24317.225192974998</v>
      </c>
      <c r="G15" s="437">
        <v>27494.188172027021</v>
      </c>
      <c r="H15" s="437">
        <v>26602.05</v>
      </c>
      <c r="I15" s="437">
        <v>24317.225192974998</v>
      </c>
      <c r="J15" s="267">
        <v>30363.540688911486</v>
      </c>
      <c r="M15" s="257"/>
      <c r="N15" s="257"/>
      <c r="Q15" s="257"/>
      <c r="R15" s="257"/>
      <c r="S15" s="257"/>
      <c r="T15" s="257"/>
      <c r="U15" s="257"/>
      <c r="V15" s="257"/>
      <c r="W15" s="257"/>
      <c r="X15" s="257"/>
      <c r="Z15" s="252"/>
      <c r="AA15" s="252"/>
      <c r="AB15" s="252"/>
      <c r="AC15" s="252"/>
      <c r="AD15" s="252"/>
      <c r="AE15" s="252"/>
      <c r="AF15" s="252"/>
    </row>
    <row r="16" spans="2:32" ht="13.9" customHeight="1">
      <c r="B16" s="9"/>
      <c r="C16" s="263"/>
      <c r="D16" s="243"/>
      <c r="E16" s="243"/>
      <c r="F16" s="231"/>
      <c r="G16" s="231"/>
      <c r="H16" s="231"/>
      <c r="I16" s="231"/>
      <c r="J16" s="231"/>
      <c r="M16" s="257"/>
      <c r="N16" s="257"/>
      <c r="Q16" s="257"/>
      <c r="R16" s="257"/>
      <c r="S16" s="257"/>
      <c r="T16" s="257"/>
      <c r="U16" s="257"/>
      <c r="V16" s="257"/>
      <c r="W16" s="257"/>
      <c r="X16" s="257"/>
      <c r="Z16" s="252"/>
      <c r="AA16" s="252"/>
      <c r="AB16" s="252"/>
      <c r="AC16" s="252"/>
      <c r="AD16" s="252"/>
      <c r="AE16" s="252"/>
      <c r="AF16" s="252"/>
    </row>
    <row r="17" spans="2:32" ht="13.9" customHeight="1" thickBot="1">
      <c r="B17" s="15"/>
      <c r="C17" s="231"/>
      <c r="D17" s="231"/>
      <c r="E17" s="231"/>
      <c r="F17" s="231"/>
      <c r="G17" s="231"/>
      <c r="H17" s="231"/>
      <c r="I17" s="231"/>
      <c r="J17" s="231"/>
      <c r="L17" s="257"/>
      <c r="Z17" s="252"/>
      <c r="AA17" s="252"/>
      <c r="AB17" s="252"/>
      <c r="AC17" s="252"/>
      <c r="AD17" s="252"/>
      <c r="AE17" s="252"/>
      <c r="AF17" s="252"/>
    </row>
    <row r="18" spans="2:32" ht="26.25" customHeight="1" thickBot="1">
      <c r="B18" s="512" t="s">
        <v>17</v>
      </c>
      <c r="C18" s="513"/>
      <c r="D18" s="513"/>
      <c r="E18" s="513"/>
      <c r="F18" s="513"/>
      <c r="G18" s="513"/>
      <c r="H18" s="513"/>
      <c r="I18" s="513"/>
      <c r="J18" s="514"/>
      <c r="K18" s="268"/>
      <c r="L18" s="257"/>
      <c r="Z18" s="252"/>
      <c r="AA18" s="252"/>
      <c r="AB18" s="252"/>
      <c r="AC18" s="252"/>
      <c r="AD18" s="252"/>
      <c r="AE18" s="252"/>
      <c r="AF18" s="252"/>
    </row>
    <row r="19" spans="2:32" ht="34.5" customHeight="1" thickBot="1">
      <c r="B19" s="269" t="s">
        <v>18</v>
      </c>
      <c r="C19" s="270" t="s">
        <v>9</v>
      </c>
      <c r="D19" s="16" t="s">
        <v>19</v>
      </c>
      <c r="E19" s="17" t="s">
        <v>20</v>
      </c>
      <c r="F19" s="17" t="s">
        <v>21</v>
      </c>
      <c r="G19" s="17" t="s">
        <v>22</v>
      </c>
      <c r="H19" s="17" t="s">
        <v>23</v>
      </c>
      <c r="I19" s="17" t="s">
        <v>21</v>
      </c>
      <c r="J19" s="228"/>
      <c r="K19" s="271" t="s">
        <v>24</v>
      </c>
      <c r="L19" s="272" t="s">
        <v>25</v>
      </c>
      <c r="M19" s="272" t="s">
        <v>26</v>
      </c>
      <c r="N19" s="273" t="s">
        <v>27</v>
      </c>
      <c r="O19" s="274"/>
      <c r="P19" s="274"/>
      <c r="Q19" s="274"/>
      <c r="R19" s="274"/>
      <c r="S19" s="274"/>
      <c r="Z19" s="252"/>
      <c r="AA19" s="252"/>
      <c r="AB19" s="252"/>
      <c r="AC19" s="252"/>
      <c r="AD19" s="252"/>
      <c r="AE19" s="252"/>
      <c r="AF19" s="252"/>
    </row>
    <row r="20" spans="2:32" ht="34.5" customHeight="1">
      <c r="B20" s="275" t="s">
        <v>28</v>
      </c>
      <c r="C20" s="276">
        <f>E4</f>
        <v>33316</v>
      </c>
      <c r="D20" s="18">
        <v>80</v>
      </c>
      <c r="E20" s="19">
        <v>0</v>
      </c>
      <c r="F20" s="19">
        <f>D20+E20</f>
        <v>80</v>
      </c>
      <c r="G20" s="19">
        <v>15</v>
      </c>
      <c r="H20" s="19">
        <v>5</v>
      </c>
      <c r="I20" s="19">
        <f>G20+H20</f>
        <v>20</v>
      </c>
      <c r="J20" s="229">
        <f>F20+I20</f>
        <v>100</v>
      </c>
      <c r="K20" s="277">
        <f>(($C$20*D20)+($C$21*E20))/F20</f>
        <v>33316</v>
      </c>
      <c r="L20" s="278">
        <f>(($C$22*G20)+($C$23*H20))/I20</f>
        <v>64802.400000000001</v>
      </c>
      <c r="M20" s="279">
        <f>((K20*F20)+(L20*I20))/J20</f>
        <v>39613.279999999999</v>
      </c>
      <c r="N20" s="280">
        <f>M20*0.873</f>
        <v>34582.39344</v>
      </c>
      <c r="O20" s="281"/>
      <c r="P20" s="281"/>
      <c r="Q20" s="281"/>
      <c r="R20" s="281"/>
      <c r="S20" s="281"/>
      <c r="Z20" s="252"/>
      <c r="AA20" s="252"/>
      <c r="AB20" s="252"/>
      <c r="AC20" s="252"/>
      <c r="AD20" s="252"/>
      <c r="AE20" s="252"/>
      <c r="AF20" s="252"/>
    </row>
    <row r="21" spans="2:32" ht="34.5" customHeight="1">
      <c r="B21" s="20" t="s">
        <v>29</v>
      </c>
      <c r="C21" s="282">
        <v>34452</v>
      </c>
      <c r="D21" s="18">
        <v>63</v>
      </c>
      <c r="E21" s="19">
        <v>7</v>
      </c>
      <c r="F21" s="19">
        <f t="shared" ref="F21:F22" si="0">D21+E21</f>
        <v>70</v>
      </c>
      <c r="G21" s="19">
        <v>22.5</v>
      </c>
      <c r="H21" s="19">
        <v>7.5</v>
      </c>
      <c r="I21" s="19">
        <f t="shared" ref="I21:I22" si="1">G21+H21</f>
        <v>30</v>
      </c>
      <c r="J21" s="229">
        <f t="shared" ref="J21:J22" si="2">F21+I21</f>
        <v>100</v>
      </c>
      <c r="K21" s="277">
        <f>(($C$20*D21)+($C$21*E21))/F21</f>
        <v>33429.599999999999</v>
      </c>
      <c r="L21" s="278">
        <f>(($C$22*G21)+($C$23*H21))/I21</f>
        <v>64802.400000000001</v>
      </c>
      <c r="M21" s="279">
        <f>((K21*F21)+(L21*I21))/J21</f>
        <v>42841.440000000002</v>
      </c>
      <c r="N21" s="280">
        <f>M21*0.873</f>
        <v>37400.577120000002</v>
      </c>
      <c r="O21" s="281"/>
      <c r="P21" s="281"/>
      <c r="Q21" s="281"/>
      <c r="R21" s="281"/>
      <c r="S21" s="281"/>
      <c r="Z21" s="252"/>
      <c r="AA21" s="252"/>
      <c r="AB21" s="252"/>
      <c r="AC21" s="252"/>
      <c r="AD21" s="252"/>
      <c r="AE21" s="252"/>
      <c r="AF21" s="252"/>
    </row>
    <row r="22" spans="2:32" ht="34.5" customHeight="1">
      <c r="B22" s="20" t="s">
        <v>30</v>
      </c>
      <c r="C22" s="282">
        <v>57449.599999999999</v>
      </c>
      <c r="D22" s="18">
        <v>48</v>
      </c>
      <c r="E22" s="19">
        <v>12</v>
      </c>
      <c r="F22" s="19">
        <f t="shared" si="0"/>
        <v>60</v>
      </c>
      <c r="G22" s="19">
        <v>27</v>
      </c>
      <c r="H22" s="19">
        <v>13</v>
      </c>
      <c r="I22" s="19">
        <f t="shared" si="1"/>
        <v>40</v>
      </c>
      <c r="J22" s="229">
        <f t="shared" si="2"/>
        <v>100</v>
      </c>
      <c r="K22" s="277">
        <f>(($C$20*D22)+($C$21*E22))/F22</f>
        <v>33543.199999999997</v>
      </c>
      <c r="L22" s="278">
        <f>(($C$22*G22)+($C$23*H22))/I22</f>
        <v>67008.240000000005</v>
      </c>
      <c r="M22" s="279">
        <f>((K22*F22)+(L22*I22))/J22</f>
        <v>46929.215999999993</v>
      </c>
      <c r="N22" s="280">
        <f>M22*0.873</f>
        <v>40969.20556799999</v>
      </c>
      <c r="O22" s="281"/>
      <c r="P22" s="281"/>
      <c r="Q22" s="281"/>
      <c r="R22" s="281"/>
      <c r="S22" s="281"/>
      <c r="Z22" s="252"/>
      <c r="AA22" s="252"/>
      <c r="AB22" s="252"/>
      <c r="AC22" s="252"/>
      <c r="AD22" s="252"/>
      <c r="AE22" s="252"/>
      <c r="AF22" s="252"/>
    </row>
    <row r="23" spans="2:32" ht="34.5" customHeight="1" thickBot="1">
      <c r="B23" s="283" t="s">
        <v>31</v>
      </c>
      <c r="C23" s="284">
        <v>86860.800000000003</v>
      </c>
      <c r="D23" s="21"/>
      <c r="E23" s="22"/>
      <c r="F23" s="22"/>
      <c r="G23" s="22"/>
      <c r="H23" s="22"/>
      <c r="I23" s="22"/>
      <c r="J23" s="230"/>
      <c r="K23" s="285"/>
      <c r="L23" s="286"/>
      <c r="M23" s="287"/>
      <c r="N23" s="288"/>
      <c r="O23" s="281"/>
      <c r="P23" s="281"/>
      <c r="Q23" s="289"/>
      <c r="R23" s="281"/>
      <c r="S23" s="281"/>
      <c r="Z23" s="252"/>
      <c r="AA23" s="252"/>
      <c r="AB23" s="252"/>
      <c r="AC23" s="252"/>
      <c r="AD23" s="252"/>
      <c r="AE23" s="252"/>
      <c r="AF23" s="252"/>
    </row>
    <row r="24" spans="2:32" ht="34.5" customHeight="1" thickBot="1">
      <c r="B24" s="290"/>
      <c r="C24" s="291"/>
      <c r="D24" s="19"/>
      <c r="E24" s="19"/>
      <c r="F24" s="19"/>
      <c r="G24" s="19"/>
      <c r="H24" s="19"/>
      <c r="I24" s="19"/>
      <c r="J24" s="23"/>
      <c r="K24" s="292"/>
      <c r="L24" s="293"/>
      <c r="M24" s="294"/>
      <c r="N24" s="294"/>
      <c r="O24" s="281"/>
      <c r="P24" s="281"/>
      <c r="Q24" s="289"/>
      <c r="R24" s="281"/>
      <c r="S24" s="281"/>
      <c r="Z24" s="252"/>
      <c r="AA24" s="252"/>
      <c r="AB24" s="252"/>
      <c r="AC24" s="252"/>
      <c r="AD24" s="252"/>
      <c r="AE24" s="252"/>
      <c r="AF24" s="252"/>
    </row>
    <row r="25" spans="2:32" ht="26.25" customHeight="1">
      <c r="B25" s="24" t="s">
        <v>32</v>
      </c>
      <c r="C25" s="25" t="s">
        <v>33</v>
      </c>
      <c r="D25" s="25" t="s">
        <v>34</v>
      </c>
      <c r="E25" s="25" t="s">
        <v>35</v>
      </c>
      <c r="F25" s="25" t="s">
        <v>36</v>
      </c>
      <c r="G25" s="26" t="s">
        <v>37</v>
      </c>
      <c r="H25" s="476"/>
      <c r="I25" s="477"/>
      <c r="L25" s="515" t="s">
        <v>43</v>
      </c>
      <c r="M25" s="29" t="s">
        <v>44</v>
      </c>
      <c r="N25" s="30" t="s">
        <v>45</v>
      </c>
      <c r="AA25" s="252"/>
      <c r="AB25" s="252"/>
      <c r="AC25" s="252"/>
      <c r="AD25" s="252"/>
      <c r="AE25" s="252"/>
      <c r="AF25" s="252"/>
    </row>
    <row r="26" spans="2:32" ht="15.75" thickBot="1">
      <c r="B26" s="473">
        <f>M20</f>
        <v>39613.279999999999</v>
      </c>
      <c r="C26" s="474">
        <f>N20</f>
        <v>34582.39344</v>
      </c>
      <c r="D26" s="474">
        <f>M21</f>
        <v>42841.440000000002</v>
      </c>
      <c r="E26" s="474">
        <f>N21</f>
        <v>37400.577120000002</v>
      </c>
      <c r="F26" s="474">
        <f>M22</f>
        <v>46929.215999999993</v>
      </c>
      <c r="G26" s="475">
        <f>N22</f>
        <v>40969.20556799999</v>
      </c>
      <c r="H26" s="478"/>
      <c r="I26" s="478"/>
      <c r="L26" s="516"/>
      <c r="M26" s="31" t="s">
        <v>47</v>
      </c>
      <c r="N26" s="32" t="s">
        <v>48</v>
      </c>
      <c r="Z26" s="252"/>
    </row>
    <row r="27" spans="2:32" ht="15.75" thickBot="1">
      <c r="B27" s="27"/>
      <c r="C27" s="295"/>
      <c r="D27" s="295"/>
      <c r="E27" s="295"/>
      <c r="F27" s="295"/>
      <c r="G27" s="295"/>
      <c r="H27" s="295"/>
      <c r="I27" s="295"/>
      <c r="J27" s="295"/>
      <c r="L27" s="36" t="s">
        <v>49</v>
      </c>
      <c r="M27" s="151">
        <f>'Vehicle Add-Ons'!B6</f>
        <v>11374.854166666666</v>
      </c>
      <c r="N27" s="37">
        <f>ROUND(M27/365,2)</f>
        <v>31.16</v>
      </c>
      <c r="Z27" s="252"/>
      <c r="AA27" s="252"/>
      <c r="AB27" s="252"/>
      <c r="AC27" s="252"/>
      <c r="AD27" s="252"/>
      <c r="AE27" s="252"/>
      <c r="AF27" s="252"/>
    </row>
    <row r="28" spans="2:32" s="297" customFormat="1" ht="24.75" customHeight="1" thickBot="1">
      <c r="B28" s="152" t="s">
        <v>38</v>
      </c>
      <c r="C28" s="57" t="s">
        <v>39</v>
      </c>
      <c r="D28" s="57" t="s">
        <v>270</v>
      </c>
      <c r="E28" s="57" t="s">
        <v>271</v>
      </c>
      <c r="F28" s="58"/>
      <c r="G28" s="58" t="s">
        <v>40</v>
      </c>
      <c r="H28" s="58" t="s">
        <v>41</v>
      </c>
      <c r="I28" s="59" t="s">
        <v>42</v>
      </c>
      <c r="J28" s="296" t="s">
        <v>233</v>
      </c>
      <c r="L28" s="38" t="s">
        <v>50</v>
      </c>
      <c r="M28" s="150">
        <f>'Vehicle Add-Ons'!B7</f>
        <v>15472.178595890411</v>
      </c>
      <c r="N28" s="37">
        <f>ROUND(M28/365,2)</f>
        <v>42.39</v>
      </c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</row>
    <row r="29" spans="2:32" s="298" customFormat="1" ht="12" customHeight="1" thickBot="1">
      <c r="B29" s="153" t="s">
        <v>284</v>
      </c>
      <c r="C29" s="245">
        <v>0.22309999999999999</v>
      </c>
      <c r="D29" s="246">
        <v>2233.8000000000002</v>
      </c>
      <c r="E29" s="246">
        <v>6471.45</v>
      </c>
      <c r="F29" s="246"/>
      <c r="G29" s="245">
        <v>0.12</v>
      </c>
      <c r="H29" s="247">
        <v>0.95</v>
      </c>
      <c r="I29" s="248">
        <v>1.78E-2</v>
      </c>
      <c r="J29" s="249">
        <v>3.7000000000000002E-3</v>
      </c>
      <c r="L29" s="38" t="s">
        <v>51</v>
      </c>
      <c r="M29" s="150">
        <f>'Vehicle Add-Ons'!B8</f>
        <v>17820.45943877551</v>
      </c>
      <c r="N29" s="37">
        <f>ROUND(M29/365,2)</f>
        <v>48.82</v>
      </c>
      <c r="O29" s="479"/>
      <c r="P29" s="480"/>
      <c r="Q29" s="481"/>
      <c r="R29" s="479"/>
      <c r="S29" s="479"/>
      <c r="U29" s="252"/>
      <c r="V29" s="252"/>
      <c r="W29" s="252"/>
      <c r="X29" s="252"/>
      <c r="Y29" s="252"/>
      <c r="AB29" s="252"/>
      <c r="AC29" s="252"/>
      <c r="AD29" s="252"/>
      <c r="AE29" s="252"/>
      <c r="AF29" s="252"/>
    </row>
    <row r="30" spans="2:32" s="298" customFormat="1" ht="12" customHeight="1" thickBot="1">
      <c r="B30" s="153" t="s">
        <v>303</v>
      </c>
      <c r="C30" s="250"/>
      <c r="D30" s="246">
        <v>992.8</v>
      </c>
      <c r="E30" s="246">
        <v>2876.2</v>
      </c>
      <c r="F30" s="246"/>
      <c r="G30" s="245"/>
      <c r="H30" s="247"/>
      <c r="I30" s="245"/>
      <c r="J30" s="251"/>
      <c r="L30" s="39" t="s">
        <v>52</v>
      </c>
      <c r="M30" s="40">
        <f>'Vehicle Add-Ons'!B9</f>
        <v>22750</v>
      </c>
      <c r="N30" s="37">
        <f>ROUND(M30/365,2)</f>
        <v>62.33</v>
      </c>
      <c r="O30" s="479"/>
      <c r="P30" s="480"/>
      <c r="Q30" s="481"/>
      <c r="R30" s="479"/>
      <c r="S30" s="479"/>
      <c r="U30" s="252"/>
      <c r="V30" s="252"/>
      <c r="W30" s="252"/>
      <c r="X30" s="252"/>
      <c r="Y30" s="252"/>
      <c r="AB30" s="252"/>
      <c r="AC30" s="252"/>
      <c r="AD30" s="252"/>
      <c r="AE30" s="252"/>
      <c r="AF30" s="252"/>
    </row>
    <row r="31" spans="2:32" s="298" customFormat="1" ht="12" customHeight="1" thickBot="1">
      <c r="B31" s="164" t="s">
        <v>302</v>
      </c>
      <c r="C31" s="245"/>
      <c r="D31" s="246">
        <v>496.4</v>
      </c>
      <c r="E31" s="246">
        <v>1438.1</v>
      </c>
      <c r="F31" s="246"/>
      <c r="G31" s="245"/>
      <c r="H31" s="247"/>
      <c r="I31" s="245"/>
      <c r="J31" s="251"/>
      <c r="L31" s="41" t="s">
        <v>53</v>
      </c>
      <c r="M31" s="304"/>
      <c r="N31" s="305" t="s">
        <v>45</v>
      </c>
      <c r="O31" s="479"/>
      <c r="P31" s="480"/>
      <c r="Q31" s="231"/>
      <c r="R31" s="479"/>
      <c r="S31" s="479"/>
      <c r="U31" s="252"/>
      <c r="V31" s="252"/>
      <c r="W31" s="252"/>
      <c r="X31" s="252"/>
      <c r="Y31" s="252"/>
      <c r="AB31" s="252"/>
      <c r="AC31" s="252"/>
      <c r="AD31" s="252"/>
      <c r="AE31" s="252"/>
      <c r="AF31" s="252"/>
    </row>
    <row r="32" spans="2:32" ht="15">
      <c r="B32" s="299"/>
      <c r="C32" s="299"/>
      <c r="D32" s="299"/>
      <c r="E32" s="300"/>
      <c r="F32" s="300"/>
      <c r="G32" s="28"/>
      <c r="H32" s="28"/>
      <c r="I32" s="28"/>
      <c r="J32" s="28"/>
      <c r="K32" s="299"/>
      <c r="L32" s="42" t="s">
        <v>54</v>
      </c>
      <c r="M32" s="274"/>
      <c r="N32" s="306">
        <f>N28-N27</f>
        <v>11.23</v>
      </c>
      <c r="O32" s="325"/>
      <c r="P32" s="274"/>
      <c r="Q32" s="274"/>
      <c r="R32" s="274"/>
      <c r="S32" s="274"/>
      <c r="T32" s="301"/>
      <c r="U32" s="301"/>
      <c r="V32" s="301"/>
      <c r="W32" s="301"/>
      <c r="X32" s="302"/>
      <c r="Y32" s="303"/>
      <c r="AD32" s="252"/>
      <c r="AE32" s="252"/>
      <c r="AF32" s="252"/>
    </row>
    <row r="33" spans="2:32" ht="15">
      <c r="B33" s="466"/>
      <c r="C33" s="466"/>
      <c r="D33" s="466"/>
      <c r="E33" s="466"/>
      <c r="F33" s="466"/>
      <c r="G33" s="28"/>
      <c r="K33" s="299"/>
      <c r="L33" s="42" t="s">
        <v>55</v>
      </c>
      <c r="M33" s="274"/>
      <c r="N33" s="306">
        <f>N29-N27</f>
        <v>17.66</v>
      </c>
      <c r="O33" s="325"/>
      <c r="P33" s="274"/>
      <c r="Q33" s="274"/>
      <c r="R33" s="274"/>
      <c r="S33" s="274"/>
      <c r="T33" s="301"/>
      <c r="U33" s="301"/>
      <c r="V33" s="301"/>
      <c r="W33" s="301"/>
      <c r="X33" s="302"/>
      <c r="Y33" s="303"/>
      <c r="AD33" s="252"/>
      <c r="AE33" s="252"/>
      <c r="AF33" s="252"/>
    </row>
    <row r="34" spans="2:32" ht="15">
      <c r="B34" s="468"/>
      <c r="C34" s="468"/>
      <c r="D34" s="468"/>
      <c r="E34" s="34"/>
      <c r="F34" s="34"/>
      <c r="G34" s="28"/>
      <c r="K34" s="299"/>
      <c r="L34" s="42" t="s">
        <v>56</v>
      </c>
      <c r="M34" s="274"/>
      <c r="N34" s="306">
        <f>N30-N27</f>
        <v>31.169999999999998</v>
      </c>
      <c r="O34" s="325"/>
      <c r="P34" s="274"/>
      <c r="Q34" s="274"/>
      <c r="R34" s="274"/>
      <c r="S34" s="274"/>
      <c r="T34" s="301"/>
      <c r="U34" s="301"/>
      <c r="V34" s="301"/>
      <c r="W34" s="301"/>
      <c r="X34" s="302"/>
      <c r="Y34" s="303"/>
      <c r="AD34" s="252"/>
      <c r="AE34" s="252"/>
      <c r="AF34" s="252"/>
    </row>
    <row r="35" spans="2:32" ht="15">
      <c r="B35" s="33"/>
      <c r="C35" s="33"/>
      <c r="D35" s="34"/>
      <c r="E35" s="35"/>
      <c r="F35" s="467"/>
      <c r="G35" s="28"/>
      <c r="K35" s="299"/>
      <c r="L35" s="42" t="s">
        <v>57</v>
      </c>
      <c r="M35" s="274"/>
      <c r="N35" s="306">
        <f>N29-N28</f>
        <v>6.43</v>
      </c>
      <c r="O35" s="252"/>
      <c r="T35" s="301"/>
      <c r="U35" s="301"/>
      <c r="V35" s="301"/>
      <c r="W35" s="301"/>
      <c r="X35" s="302"/>
      <c r="Y35" s="303"/>
      <c r="AD35" s="252"/>
      <c r="AE35" s="252"/>
      <c r="AF35" s="252"/>
    </row>
    <row r="36" spans="2:32" ht="15">
      <c r="B36" s="33"/>
      <c r="C36" s="33"/>
      <c r="D36" s="34"/>
      <c r="E36" s="35"/>
      <c r="F36" s="467"/>
      <c r="G36" s="28"/>
      <c r="K36" s="299"/>
      <c r="L36" s="42" t="s">
        <v>58</v>
      </c>
      <c r="M36" s="274"/>
      <c r="N36" s="306">
        <f>N30-N28</f>
        <v>19.939999999999998</v>
      </c>
      <c r="O36" s="252"/>
      <c r="T36" s="301"/>
      <c r="U36" s="301"/>
      <c r="V36" s="301"/>
      <c r="W36" s="301"/>
      <c r="X36" s="302"/>
      <c r="Y36" s="303"/>
      <c r="AD36" s="252"/>
      <c r="AE36" s="252"/>
      <c r="AF36" s="252"/>
    </row>
    <row r="37" spans="2:32" ht="15.75" thickBot="1">
      <c r="B37" s="33"/>
      <c r="C37" s="33"/>
      <c r="D37" s="34"/>
      <c r="E37" s="35"/>
      <c r="F37" s="467"/>
      <c r="G37" s="28"/>
      <c r="K37" s="299"/>
      <c r="L37" s="45" t="s">
        <v>59</v>
      </c>
      <c r="M37" s="307"/>
      <c r="N37" s="308">
        <f>N30-N29</f>
        <v>13.509999999999998</v>
      </c>
      <c r="O37" s="252"/>
      <c r="T37" s="301"/>
      <c r="U37" s="301"/>
      <c r="V37" s="301"/>
      <c r="W37" s="301"/>
      <c r="X37" s="302"/>
      <c r="Y37" s="303"/>
      <c r="AD37" s="252"/>
      <c r="AE37" s="252"/>
      <c r="AF37" s="252"/>
    </row>
    <row r="38" spans="2:32" ht="15">
      <c r="B38" s="33"/>
      <c r="C38" s="33"/>
      <c r="D38" s="34"/>
      <c r="E38" s="35"/>
      <c r="F38" s="467"/>
      <c r="G38" s="28"/>
      <c r="K38" s="299"/>
      <c r="N38" s="252"/>
      <c r="O38" s="252"/>
      <c r="T38" s="301"/>
      <c r="U38" s="301"/>
      <c r="V38" s="301"/>
      <c r="W38" s="301"/>
      <c r="X38" s="302"/>
      <c r="Y38" s="303"/>
      <c r="AD38" s="252"/>
      <c r="AE38" s="252"/>
      <c r="AF38" s="252"/>
    </row>
    <row r="39" spans="2:32" ht="15">
      <c r="B39" s="33"/>
      <c r="C39" s="33"/>
      <c r="D39" s="34"/>
      <c r="E39" s="35"/>
      <c r="F39" s="467"/>
      <c r="G39" s="28"/>
      <c r="K39" s="299"/>
      <c r="N39" s="252"/>
      <c r="O39" s="252"/>
      <c r="T39" s="301"/>
      <c r="U39" s="301"/>
      <c r="V39" s="301"/>
      <c r="W39" s="301"/>
      <c r="X39" s="302"/>
      <c r="Y39" s="303"/>
      <c r="AD39" s="252"/>
      <c r="AE39" s="252"/>
      <c r="AF39" s="252"/>
    </row>
    <row r="40" spans="2:32" ht="15">
      <c r="B40" s="33"/>
      <c r="C40" s="33"/>
      <c r="D40" s="34"/>
      <c r="E40" s="35"/>
      <c r="F40" s="467"/>
      <c r="G40" s="28"/>
      <c r="K40" s="299"/>
      <c r="N40" s="252"/>
      <c r="O40" s="252"/>
      <c r="T40" s="301"/>
      <c r="U40" s="301"/>
      <c r="V40" s="301"/>
      <c r="W40" s="301"/>
      <c r="X40" s="302"/>
      <c r="Y40" s="303"/>
      <c r="AD40" s="252"/>
      <c r="AE40" s="252"/>
      <c r="AF40" s="252"/>
    </row>
    <row r="41" spans="2:32" ht="15">
      <c r="B41" s="33"/>
      <c r="C41" s="33"/>
      <c r="D41" s="34"/>
      <c r="E41" s="35"/>
      <c r="F41" s="467"/>
      <c r="G41" s="28"/>
      <c r="K41" s="299"/>
      <c r="N41" s="252"/>
      <c r="O41" s="252"/>
      <c r="T41" s="301"/>
      <c r="U41" s="301"/>
      <c r="V41" s="301"/>
      <c r="W41" s="301"/>
      <c r="X41" s="302"/>
      <c r="Y41" s="303"/>
      <c r="AD41" s="252"/>
      <c r="AE41" s="252"/>
      <c r="AF41" s="252"/>
    </row>
    <row r="42" spans="2:32" ht="15">
      <c r="B42" s="33"/>
      <c r="C42" s="33"/>
      <c r="D42" s="34"/>
      <c r="E42" s="35"/>
      <c r="F42" s="467"/>
      <c r="G42" s="28"/>
      <c r="K42" s="299"/>
      <c r="N42" s="252"/>
      <c r="O42" s="252"/>
      <c r="T42" s="301"/>
      <c r="U42" s="301"/>
      <c r="V42" s="301"/>
      <c r="W42" s="301"/>
      <c r="X42" s="302"/>
      <c r="Y42" s="303"/>
      <c r="AD42" s="252"/>
      <c r="AE42" s="252"/>
      <c r="AF42" s="252"/>
    </row>
    <row r="43" spans="2:32" ht="15">
      <c r="B43" s="469"/>
      <c r="C43" s="469"/>
      <c r="D43" s="469"/>
      <c r="E43" s="471"/>
      <c r="F43" s="472"/>
      <c r="G43" s="28"/>
      <c r="K43" s="299"/>
      <c r="N43" s="252"/>
      <c r="O43" s="252"/>
      <c r="T43" s="301"/>
      <c r="U43" s="301"/>
      <c r="V43" s="301"/>
      <c r="W43" s="301"/>
      <c r="X43" s="302"/>
      <c r="Y43" s="303"/>
      <c r="AD43" s="252"/>
      <c r="AE43" s="252"/>
      <c r="AF43" s="252"/>
    </row>
    <row r="44" spans="2:32" ht="15">
      <c r="B44" s="469"/>
      <c r="C44" s="469"/>
      <c r="D44" s="469"/>
      <c r="E44" s="471"/>
      <c r="F44" s="472"/>
      <c r="G44" s="28"/>
      <c r="K44" s="299"/>
      <c r="N44" s="252"/>
      <c r="O44" s="252"/>
      <c r="T44" s="301"/>
      <c r="U44" s="301"/>
      <c r="V44" s="301"/>
      <c r="W44" s="301"/>
      <c r="X44" s="302"/>
      <c r="Y44" s="303"/>
      <c r="AD44" s="252"/>
      <c r="AE44" s="252"/>
      <c r="AF44" s="252"/>
    </row>
    <row r="45" spans="2:32" ht="15">
      <c r="B45" s="43"/>
      <c r="C45" s="43"/>
      <c r="D45" s="44"/>
      <c r="E45" s="43"/>
      <c r="F45" s="43"/>
      <c r="G45" s="28"/>
      <c r="K45" s="299"/>
      <c r="N45" s="252"/>
      <c r="O45" s="252"/>
      <c r="T45" s="301"/>
      <c r="U45" s="301"/>
      <c r="V45" s="301"/>
      <c r="W45" s="301"/>
      <c r="X45" s="302"/>
      <c r="Y45" s="303"/>
      <c r="AD45" s="252"/>
      <c r="AE45" s="252"/>
      <c r="AF45" s="252"/>
    </row>
    <row r="46" spans="2:32" ht="15">
      <c r="B46" s="33"/>
      <c r="C46" s="43"/>
      <c r="D46" s="44"/>
      <c r="E46" s="43"/>
      <c r="F46" s="43"/>
      <c r="G46" s="28"/>
      <c r="H46" s="28"/>
      <c r="I46" s="28"/>
      <c r="J46" s="28"/>
      <c r="K46" s="299"/>
      <c r="N46" s="252"/>
      <c r="O46" s="252"/>
      <c r="T46" s="301"/>
      <c r="U46" s="301"/>
      <c r="V46" s="301"/>
      <c r="W46" s="301"/>
      <c r="X46" s="302"/>
      <c r="Y46" s="303"/>
      <c r="AD46" s="252"/>
      <c r="AE46" s="252"/>
      <c r="AF46" s="252"/>
    </row>
    <row r="47" spans="2:32" ht="15">
      <c r="B47" s="33"/>
      <c r="C47" s="43"/>
      <c r="D47" s="44"/>
      <c r="E47" s="46"/>
      <c r="F47" s="467"/>
      <c r="G47" s="28"/>
      <c r="H47" s="28"/>
      <c r="I47" s="28"/>
      <c r="J47" s="28"/>
      <c r="K47" s="299"/>
      <c r="N47" s="252"/>
      <c r="O47" s="252"/>
      <c r="T47" s="301"/>
      <c r="U47" s="301"/>
      <c r="V47" s="301"/>
      <c r="W47" s="301"/>
      <c r="X47" s="302"/>
      <c r="Y47" s="303"/>
      <c r="AD47" s="252"/>
      <c r="AE47" s="252"/>
      <c r="AF47" s="252"/>
    </row>
    <row r="48" spans="2:32" ht="15">
      <c r="B48" s="33"/>
      <c r="C48" s="43"/>
      <c r="D48" s="44"/>
      <c r="E48" s="46"/>
      <c r="F48" s="467"/>
      <c r="G48" s="28"/>
      <c r="H48" s="28"/>
      <c r="I48" s="28"/>
      <c r="J48" s="28"/>
      <c r="K48" s="299"/>
      <c r="N48" s="252"/>
      <c r="O48" s="252"/>
      <c r="T48" s="301"/>
      <c r="U48" s="301"/>
      <c r="V48" s="301"/>
      <c r="W48" s="301"/>
      <c r="X48" s="302"/>
      <c r="Y48" s="303"/>
      <c r="AD48" s="252"/>
      <c r="AE48" s="252"/>
      <c r="AF48" s="252"/>
    </row>
    <row r="49" spans="2:32" ht="15">
      <c r="B49" s="33"/>
      <c r="C49" s="43"/>
      <c r="D49" s="44"/>
      <c r="E49" s="46"/>
      <c r="F49" s="467"/>
      <c r="G49" s="28"/>
      <c r="H49" s="28"/>
      <c r="I49" s="28"/>
      <c r="J49" s="28"/>
      <c r="K49" s="299"/>
      <c r="N49" s="252"/>
      <c r="O49" s="252"/>
      <c r="T49" s="301"/>
      <c r="U49" s="301"/>
      <c r="V49" s="301"/>
      <c r="W49" s="301"/>
      <c r="X49" s="302"/>
      <c r="Y49" s="303"/>
      <c r="AD49" s="252"/>
      <c r="AE49" s="252"/>
      <c r="AF49" s="252"/>
    </row>
    <row r="50" spans="2:32" ht="15">
      <c r="B50" s="33"/>
      <c r="C50" s="43"/>
      <c r="D50" s="44"/>
      <c r="E50" s="46"/>
      <c r="F50" s="467"/>
      <c r="G50" s="28"/>
      <c r="H50" s="28"/>
      <c r="I50" s="28"/>
      <c r="J50" s="28"/>
      <c r="K50" s="299"/>
      <c r="N50" s="252"/>
      <c r="O50" s="252"/>
      <c r="T50" s="301"/>
      <c r="U50" s="301"/>
      <c r="V50" s="301"/>
      <c r="W50" s="301"/>
      <c r="X50" s="302"/>
      <c r="Y50" s="303"/>
      <c r="AD50" s="252"/>
      <c r="AE50" s="252"/>
      <c r="AF50" s="252"/>
    </row>
    <row r="51" spans="2:32" ht="15">
      <c r="B51" s="33"/>
      <c r="C51" s="43"/>
      <c r="D51" s="44"/>
      <c r="E51" s="43"/>
      <c r="F51" s="43"/>
      <c r="G51" s="28"/>
      <c r="H51" s="28"/>
      <c r="I51" s="28"/>
      <c r="J51" s="28"/>
      <c r="K51" s="299"/>
      <c r="N51" s="252"/>
      <c r="O51" s="252"/>
      <c r="T51" s="301"/>
      <c r="U51" s="301"/>
      <c r="V51" s="301"/>
      <c r="W51" s="301"/>
      <c r="X51" s="302"/>
      <c r="Y51" s="303"/>
      <c r="AD51" s="252"/>
      <c r="AE51" s="252"/>
      <c r="AF51" s="252"/>
    </row>
    <row r="52" spans="2:32" ht="15">
      <c r="B52" s="33"/>
      <c r="C52" s="43"/>
      <c r="D52" s="44"/>
      <c r="E52" s="43"/>
      <c r="F52" s="43"/>
      <c r="G52" s="28"/>
      <c r="H52" s="28"/>
      <c r="I52" s="28"/>
      <c r="J52" s="28"/>
      <c r="K52" s="299"/>
      <c r="N52" s="252"/>
      <c r="O52" s="252"/>
      <c r="T52" s="301"/>
      <c r="U52" s="301"/>
      <c r="V52" s="301"/>
      <c r="W52" s="301"/>
      <c r="X52" s="302"/>
      <c r="Y52" s="303"/>
      <c r="AD52" s="252"/>
      <c r="AE52" s="252"/>
      <c r="AF52" s="252"/>
    </row>
    <row r="53" spans="2:32" ht="15">
      <c r="B53" s="33"/>
      <c r="C53" s="43"/>
      <c r="D53" s="44"/>
      <c r="E53" s="46"/>
      <c r="F53" s="467"/>
      <c r="G53" s="28"/>
      <c r="H53" s="28"/>
      <c r="I53" s="28"/>
      <c r="J53" s="28"/>
      <c r="K53" s="299"/>
      <c r="N53" s="252"/>
      <c r="O53" s="252"/>
      <c r="T53" s="301"/>
      <c r="U53" s="301"/>
      <c r="V53" s="301"/>
      <c r="W53" s="301"/>
      <c r="X53" s="302"/>
      <c r="Y53" s="303"/>
      <c r="AD53" s="252"/>
      <c r="AE53" s="252"/>
      <c r="AF53" s="252"/>
    </row>
    <row r="54" spans="2:32" ht="15">
      <c r="B54" s="33"/>
      <c r="C54" s="43"/>
      <c r="D54" s="44"/>
      <c r="E54" s="46"/>
      <c r="F54" s="467"/>
      <c r="G54" s="28"/>
      <c r="H54" s="28"/>
      <c r="I54" s="28"/>
      <c r="J54" s="28"/>
      <c r="K54" s="299"/>
      <c r="N54" s="252"/>
      <c r="O54" s="252"/>
      <c r="T54" s="301"/>
      <c r="U54" s="301"/>
      <c r="V54" s="301"/>
      <c r="W54" s="301"/>
      <c r="X54" s="302"/>
      <c r="Y54" s="303"/>
      <c r="AD54" s="252"/>
      <c r="AE54" s="252"/>
      <c r="AF54" s="252"/>
    </row>
    <row r="55" spans="2:32" ht="15">
      <c r="B55" s="33"/>
      <c r="C55" s="43"/>
      <c r="D55" s="44"/>
      <c r="E55" s="46"/>
      <c r="F55" s="467"/>
      <c r="G55" s="28"/>
      <c r="H55" s="28"/>
      <c r="I55" s="28"/>
      <c r="J55" s="28"/>
      <c r="K55" s="299"/>
      <c r="N55" s="252"/>
      <c r="O55" s="252"/>
      <c r="T55" s="301"/>
      <c r="U55" s="301"/>
      <c r="V55" s="301"/>
      <c r="W55" s="301"/>
      <c r="X55" s="302"/>
      <c r="Y55" s="303"/>
      <c r="AD55" s="252"/>
      <c r="AE55" s="252"/>
      <c r="AF55" s="252"/>
    </row>
    <row r="56" spans="2:32" ht="15">
      <c r="B56" s="33"/>
      <c r="C56" s="43"/>
      <c r="D56" s="44"/>
      <c r="E56" s="46"/>
      <c r="F56" s="467"/>
      <c r="G56" s="28"/>
      <c r="H56" s="28"/>
      <c r="I56" s="28"/>
      <c r="J56" s="28"/>
      <c r="K56" s="299"/>
      <c r="N56" s="252"/>
      <c r="O56" s="252"/>
      <c r="T56" s="301"/>
      <c r="U56" s="301"/>
      <c r="V56" s="301"/>
      <c r="W56" s="301"/>
      <c r="X56" s="302"/>
      <c r="Y56" s="303"/>
      <c r="AD56" s="252"/>
      <c r="AE56" s="252"/>
      <c r="AF56" s="252"/>
    </row>
    <row r="57" spans="2:32" ht="15">
      <c r="B57" s="33"/>
      <c r="C57" s="43"/>
      <c r="D57" s="44"/>
      <c r="E57" s="46"/>
      <c r="F57" s="467"/>
      <c r="G57" s="28"/>
      <c r="H57" s="28"/>
      <c r="I57" s="28"/>
      <c r="J57" s="28"/>
      <c r="K57" s="299"/>
      <c r="N57" s="252"/>
      <c r="O57" s="252"/>
      <c r="T57" s="301"/>
      <c r="U57" s="301"/>
      <c r="V57" s="301"/>
      <c r="W57" s="301"/>
      <c r="X57" s="302"/>
      <c r="Y57" s="303"/>
      <c r="AD57" s="252"/>
      <c r="AE57" s="252"/>
      <c r="AF57" s="252"/>
    </row>
    <row r="58" spans="2:32" ht="15">
      <c r="B58" s="33"/>
      <c r="C58" s="43"/>
      <c r="D58" s="44"/>
      <c r="E58" s="46"/>
      <c r="F58" s="467"/>
      <c r="G58" s="28"/>
      <c r="H58" s="28"/>
      <c r="I58" s="28"/>
      <c r="J58" s="28"/>
      <c r="K58" s="299"/>
      <c r="N58" s="252"/>
      <c r="O58" s="252"/>
      <c r="T58" s="301"/>
      <c r="U58" s="301"/>
      <c r="V58" s="301"/>
      <c r="W58" s="301"/>
      <c r="X58" s="302"/>
      <c r="Y58" s="303"/>
      <c r="AD58" s="252"/>
      <c r="AE58" s="252"/>
      <c r="AF58" s="252"/>
    </row>
    <row r="59" spans="2:32" ht="15.75" thickBot="1">
      <c r="B59" s="299"/>
      <c r="C59" s="299"/>
      <c r="D59" s="299"/>
      <c r="E59" s="300"/>
      <c r="F59" s="300"/>
      <c r="G59" s="28"/>
      <c r="H59" s="28"/>
      <c r="I59" s="28"/>
      <c r="J59" s="28"/>
      <c r="K59" s="299"/>
      <c r="N59" s="252"/>
      <c r="O59" s="252"/>
      <c r="T59" s="301"/>
      <c r="U59" s="301"/>
      <c r="V59" s="301"/>
      <c r="W59" s="301"/>
      <c r="X59" s="302"/>
      <c r="Y59" s="303"/>
      <c r="AD59" s="252"/>
      <c r="AE59" s="252"/>
      <c r="AF59" s="252"/>
    </row>
    <row r="60" spans="2:32" ht="14.25" customHeight="1" thickBot="1">
      <c r="B60" s="505" t="s">
        <v>280</v>
      </c>
      <c r="C60" s="506"/>
      <c r="D60" s="506"/>
      <c r="E60" s="506"/>
      <c r="F60" s="506"/>
      <c r="G60" s="506"/>
      <c r="H60" s="506"/>
      <c r="I60" s="506"/>
      <c r="J60" s="506"/>
      <c r="K60" s="506"/>
      <c r="L60" s="507"/>
      <c r="N60" s="508" t="s">
        <v>518</v>
      </c>
      <c r="O60" s="509"/>
      <c r="P60" s="509"/>
      <c r="Q60" s="509"/>
      <c r="R60" s="509"/>
      <c r="S60" s="509"/>
      <c r="T60" s="509"/>
      <c r="U60" s="509"/>
      <c r="V60" s="509"/>
      <c r="W60" s="509"/>
      <c r="X60" s="510"/>
      <c r="AD60" s="252"/>
      <c r="AE60" s="252"/>
      <c r="AF60" s="252"/>
    </row>
    <row r="61" spans="2:32" s="298" customFormat="1" ht="43.5" customHeight="1" thickBot="1">
      <c r="B61" s="309" t="s">
        <v>291</v>
      </c>
      <c r="C61" s="310" t="s">
        <v>210</v>
      </c>
      <c r="D61" s="54" t="s">
        <v>1</v>
      </c>
      <c r="E61" s="52" t="s">
        <v>64</v>
      </c>
      <c r="F61" s="52" t="s">
        <v>63</v>
      </c>
      <c r="G61" s="52" t="s">
        <v>5</v>
      </c>
      <c r="H61" s="52" t="s">
        <v>6</v>
      </c>
      <c r="I61" s="52" t="s">
        <v>7</v>
      </c>
      <c r="J61" s="53" t="s">
        <v>60</v>
      </c>
      <c r="K61" s="53" t="s">
        <v>11</v>
      </c>
      <c r="L61" s="55" t="s">
        <v>12</v>
      </c>
      <c r="M61" s="311"/>
      <c r="N61" s="309" t="s">
        <v>291</v>
      </c>
      <c r="O61" s="310" t="s">
        <v>210</v>
      </c>
      <c r="P61" s="54" t="s">
        <v>1</v>
      </c>
      <c r="Q61" s="52" t="s">
        <v>64</v>
      </c>
      <c r="R61" s="52" t="s">
        <v>63</v>
      </c>
      <c r="S61" s="52" t="s">
        <v>5</v>
      </c>
      <c r="T61" s="52" t="s">
        <v>6</v>
      </c>
      <c r="U61" s="52" t="s">
        <v>7</v>
      </c>
      <c r="V61" s="53" t="s">
        <v>60</v>
      </c>
      <c r="W61" s="53" t="s">
        <v>11</v>
      </c>
      <c r="X61" s="55" t="s">
        <v>12</v>
      </c>
      <c r="AB61" s="252"/>
      <c r="AC61" s="252"/>
      <c r="AD61" s="252"/>
    </row>
    <row r="62" spans="2:32">
      <c r="B62" s="312" t="s">
        <v>65</v>
      </c>
      <c r="C62" s="313">
        <v>0.41</v>
      </c>
      <c r="D62" s="313">
        <v>1</v>
      </c>
      <c r="E62" s="314">
        <f t="shared" ref="E62:E93" si="3">J62-F62</f>
        <v>2.1</v>
      </c>
      <c r="F62" s="313">
        <v>1.4</v>
      </c>
      <c r="G62" s="313">
        <f>ROUND(J62*$C$11,2)</f>
        <v>0.54</v>
      </c>
      <c r="H62" s="313">
        <f>ROUND(F62*$C$11,2)</f>
        <v>0.22</v>
      </c>
      <c r="I62" s="313">
        <v>0.12</v>
      </c>
      <c r="J62" s="315">
        <v>3.5</v>
      </c>
      <c r="K62" s="316">
        <v>1</v>
      </c>
      <c r="L62" s="317">
        <v>1</v>
      </c>
      <c r="M62" s="252"/>
      <c r="N62" s="312" t="s">
        <v>65</v>
      </c>
      <c r="O62" s="313">
        <v>0.18</v>
      </c>
      <c r="P62" s="313">
        <v>0.66</v>
      </c>
      <c r="Q62" s="314">
        <f t="shared" ref="Q62:Q111" si="4">V62-R62</f>
        <v>2.1</v>
      </c>
      <c r="R62" s="313">
        <v>1.4</v>
      </c>
      <c r="S62" s="313">
        <f>ROUND(V62*$C$11,2)</f>
        <v>0.54</v>
      </c>
      <c r="T62" s="313">
        <f>ROUND(R62*$C$11,2)</f>
        <v>0.22</v>
      </c>
      <c r="U62" s="313">
        <v>0.12</v>
      </c>
      <c r="V62" s="315">
        <v>3.5</v>
      </c>
      <c r="W62" s="316">
        <v>1</v>
      </c>
      <c r="X62" s="317">
        <v>1</v>
      </c>
      <c r="AB62" s="252"/>
      <c r="AC62" s="252"/>
      <c r="AD62" s="252"/>
    </row>
    <row r="63" spans="2:32" ht="12.75">
      <c r="B63" s="318" t="s">
        <v>66</v>
      </c>
      <c r="C63" s="319">
        <v>0.41</v>
      </c>
      <c r="D63" s="319">
        <v>1</v>
      </c>
      <c r="E63" s="320">
        <f t="shared" si="3"/>
        <v>2.6</v>
      </c>
      <c r="F63" s="319">
        <v>1.4</v>
      </c>
      <c r="G63" s="319">
        <f t="shared" ref="G63:G111" si="5">ROUND(J63*$C$11,2)</f>
        <v>0.62</v>
      </c>
      <c r="H63" s="319">
        <f t="shared" ref="H63:H111" si="6">ROUND(F63*$C$11,2)</f>
        <v>0.22</v>
      </c>
      <c r="I63" s="319">
        <v>0.12</v>
      </c>
      <c r="J63" s="321">
        <v>4</v>
      </c>
      <c r="K63" s="322">
        <v>1</v>
      </c>
      <c r="L63" s="323">
        <v>1</v>
      </c>
      <c r="M63" s="252"/>
      <c r="N63" s="318" t="s">
        <v>66</v>
      </c>
      <c r="O63" s="319">
        <v>0.18</v>
      </c>
      <c r="P63" s="319">
        <v>0.66</v>
      </c>
      <c r="Q63" s="320">
        <f t="shared" si="4"/>
        <v>2.6</v>
      </c>
      <c r="R63" s="319">
        <v>1.4</v>
      </c>
      <c r="S63" s="319">
        <f t="shared" ref="S63:S111" si="7">ROUND(V63*$C$11,2)</f>
        <v>0.62</v>
      </c>
      <c r="T63" s="319">
        <f t="shared" ref="T63:T111" si="8">ROUND(R63*$C$11,2)</f>
        <v>0.22</v>
      </c>
      <c r="U63" s="319">
        <v>0.12</v>
      </c>
      <c r="V63" s="321">
        <v>4</v>
      </c>
      <c r="W63" s="322">
        <v>1</v>
      </c>
      <c r="X63" s="323">
        <v>1</v>
      </c>
      <c r="AA63" s="303"/>
      <c r="AB63" s="252"/>
      <c r="AC63" s="252"/>
      <c r="AD63" s="252"/>
    </row>
    <row r="64" spans="2:32" ht="12.75">
      <c r="B64" s="318" t="s">
        <v>67</v>
      </c>
      <c r="C64" s="319">
        <v>0.41</v>
      </c>
      <c r="D64" s="319">
        <v>1</v>
      </c>
      <c r="E64" s="320">
        <f t="shared" si="3"/>
        <v>3.1</v>
      </c>
      <c r="F64" s="319">
        <v>1.4</v>
      </c>
      <c r="G64" s="319">
        <f t="shared" si="5"/>
        <v>0.69</v>
      </c>
      <c r="H64" s="319">
        <f t="shared" si="6"/>
        <v>0.22</v>
      </c>
      <c r="I64" s="319">
        <v>0.12</v>
      </c>
      <c r="J64" s="321">
        <v>4.5</v>
      </c>
      <c r="K64" s="322">
        <v>1</v>
      </c>
      <c r="L64" s="323">
        <v>1</v>
      </c>
      <c r="M64" s="252"/>
      <c r="N64" s="318" t="s">
        <v>67</v>
      </c>
      <c r="O64" s="319">
        <v>0.18</v>
      </c>
      <c r="P64" s="319">
        <v>0.66</v>
      </c>
      <c r="Q64" s="320">
        <f t="shared" si="4"/>
        <v>3.1</v>
      </c>
      <c r="R64" s="319">
        <v>1.4</v>
      </c>
      <c r="S64" s="319">
        <f t="shared" si="7"/>
        <v>0.69</v>
      </c>
      <c r="T64" s="319">
        <f t="shared" si="8"/>
        <v>0.22</v>
      </c>
      <c r="U64" s="319">
        <v>0.12</v>
      </c>
      <c r="V64" s="321">
        <v>4.5</v>
      </c>
      <c r="W64" s="322">
        <v>1</v>
      </c>
      <c r="X64" s="323">
        <v>1</v>
      </c>
      <c r="AA64" s="303"/>
      <c r="AB64" s="252"/>
      <c r="AC64" s="252"/>
      <c r="AD64" s="252"/>
    </row>
    <row r="65" spans="2:30" ht="12.75">
      <c r="B65" s="318" t="s">
        <v>68</v>
      </c>
      <c r="C65" s="319">
        <v>0.41</v>
      </c>
      <c r="D65" s="319">
        <v>1</v>
      </c>
      <c r="E65" s="320">
        <f t="shared" si="3"/>
        <v>3.6</v>
      </c>
      <c r="F65" s="319">
        <v>1.4</v>
      </c>
      <c r="G65" s="319">
        <f t="shared" si="5"/>
        <v>0.77</v>
      </c>
      <c r="H65" s="319">
        <f t="shared" si="6"/>
        <v>0.22</v>
      </c>
      <c r="I65" s="319">
        <v>0.12</v>
      </c>
      <c r="J65" s="321">
        <v>5</v>
      </c>
      <c r="K65" s="322">
        <v>1</v>
      </c>
      <c r="L65" s="323">
        <v>1</v>
      </c>
      <c r="M65" s="252"/>
      <c r="N65" s="318" t="s">
        <v>68</v>
      </c>
      <c r="O65" s="319">
        <v>0.18</v>
      </c>
      <c r="P65" s="319">
        <v>0.66</v>
      </c>
      <c r="Q65" s="320">
        <f t="shared" si="4"/>
        <v>3.6</v>
      </c>
      <c r="R65" s="319">
        <v>1.4</v>
      </c>
      <c r="S65" s="319">
        <f t="shared" si="7"/>
        <v>0.77</v>
      </c>
      <c r="T65" s="319">
        <f t="shared" si="8"/>
        <v>0.22</v>
      </c>
      <c r="U65" s="319">
        <v>0.12</v>
      </c>
      <c r="V65" s="321">
        <v>5</v>
      </c>
      <c r="W65" s="322">
        <v>1</v>
      </c>
      <c r="X65" s="323">
        <v>1</v>
      </c>
      <c r="Y65" s="303"/>
      <c r="Z65" s="303"/>
      <c r="AA65" s="303"/>
      <c r="AB65" s="252"/>
      <c r="AC65" s="252"/>
      <c r="AD65" s="252"/>
    </row>
    <row r="66" spans="2:30" ht="12.75">
      <c r="B66" s="318" t="s">
        <v>69</v>
      </c>
      <c r="C66" s="319">
        <v>0.41</v>
      </c>
      <c r="D66" s="319">
        <v>1</v>
      </c>
      <c r="E66" s="320">
        <f t="shared" si="3"/>
        <v>4.0999999999999996</v>
      </c>
      <c r="F66" s="319">
        <v>1.4</v>
      </c>
      <c r="G66" s="319">
        <f t="shared" si="5"/>
        <v>0.85</v>
      </c>
      <c r="H66" s="319">
        <f t="shared" si="6"/>
        <v>0.22</v>
      </c>
      <c r="I66" s="319">
        <v>0.12</v>
      </c>
      <c r="J66" s="321">
        <v>5.5</v>
      </c>
      <c r="K66" s="322">
        <v>1</v>
      </c>
      <c r="L66" s="323">
        <v>1</v>
      </c>
      <c r="M66" s="252"/>
      <c r="N66" s="318" t="s">
        <v>69</v>
      </c>
      <c r="O66" s="319">
        <v>0.18</v>
      </c>
      <c r="P66" s="319">
        <v>0.66</v>
      </c>
      <c r="Q66" s="320">
        <f t="shared" si="4"/>
        <v>4.0999999999999996</v>
      </c>
      <c r="R66" s="319">
        <v>1.4</v>
      </c>
      <c r="S66" s="319">
        <f t="shared" si="7"/>
        <v>0.85</v>
      </c>
      <c r="T66" s="319">
        <f t="shared" si="8"/>
        <v>0.22</v>
      </c>
      <c r="U66" s="319">
        <v>0.12</v>
      </c>
      <c r="V66" s="321">
        <v>5.5</v>
      </c>
      <c r="W66" s="322">
        <v>1</v>
      </c>
      <c r="X66" s="323">
        <v>1</v>
      </c>
      <c r="Y66" s="303"/>
      <c r="Z66" s="303"/>
      <c r="AA66" s="252"/>
      <c r="AB66" s="252"/>
      <c r="AC66" s="252"/>
    </row>
    <row r="67" spans="2:30" ht="12.75">
      <c r="B67" s="318" t="s">
        <v>212</v>
      </c>
      <c r="C67" s="319">
        <v>0.41</v>
      </c>
      <c r="D67" s="319">
        <v>1</v>
      </c>
      <c r="E67" s="320">
        <f t="shared" si="3"/>
        <v>4.5999999999999996</v>
      </c>
      <c r="F67" s="319">
        <v>1.4</v>
      </c>
      <c r="G67" s="319">
        <f t="shared" si="5"/>
        <v>0.92</v>
      </c>
      <c r="H67" s="319">
        <f t="shared" si="6"/>
        <v>0.22</v>
      </c>
      <c r="I67" s="319">
        <v>0.12</v>
      </c>
      <c r="J67" s="321">
        <v>6</v>
      </c>
      <c r="K67" s="322">
        <v>1</v>
      </c>
      <c r="L67" s="323">
        <v>1</v>
      </c>
      <c r="M67" s="252"/>
      <c r="N67" s="318" t="s">
        <v>212</v>
      </c>
      <c r="O67" s="319">
        <v>0.18</v>
      </c>
      <c r="P67" s="319">
        <v>0.66</v>
      </c>
      <c r="Q67" s="320">
        <f t="shared" si="4"/>
        <v>4.5999999999999996</v>
      </c>
      <c r="R67" s="319">
        <v>1.4</v>
      </c>
      <c r="S67" s="319">
        <f t="shared" si="7"/>
        <v>0.92</v>
      </c>
      <c r="T67" s="319">
        <f t="shared" si="8"/>
        <v>0.22</v>
      </c>
      <c r="U67" s="319">
        <v>0.12</v>
      </c>
      <c r="V67" s="321">
        <v>6</v>
      </c>
      <c r="W67" s="322">
        <v>1</v>
      </c>
      <c r="X67" s="323">
        <v>1</v>
      </c>
      <c r="Y67" s="303"/>
      <c r="Z67" s="303"/>
      <c r="AA67" s="252"/>
      <c r="AB67" s="252"/>
      <c r="AC67" s="252"/>
    </row>
    <row r="68" spans="2:30">
      <c r="B68" s="318" t="s">
        <v>70</v>
      </c>
      <c r="C68" s="319">
        <v>0.41</v>
      </c>
      <c r="D68" s="319">
        <v>1</v>
      </c>
      <c r="E68" s="320">
        <f t="shared" si="3"/>
        <v>5.0999999999999996</v>
      </c>
      <c r="F68" s="319">
        <v>1.4</v>
      </c>
      <c r="G68" s="319">
        <f t="shared" si="5"/>
        <v>1</v>
      </c>
      <c r="H68" s="319">
        <f t="shared" si="6"/>
        <v>0.22</v>
      </c>
      <c r="I68" s="319">
        <v>0.12</v>
      </c>
      <c r="J68" s="321">
        <v>6.5</v>
      </c>
      <c r="K68" s="322">
        <v>1</v>
      </c>
      <c r="L68" s="323">
        <v>1</v>
      </c>
      <c r="M68" s="252"/>
      <c r="N68" s="318" t="s">
        <v>70</v>
      </c>
      <c r="O68" s="319">
        <v>0.18</v>
      </c>
      <c r="P68" s="319">
        <v>0.66</v>
      </c>
      <c r="Q68" s="320">
        <f t="shared" si="4"/>
        <v>5.0999999999999996</v>
      </c>
      <c r="R68" s="319">
        <v>1.4</v>
      </c>
      <c r="S68" s="319">
        <f t="shared" si="7"/>
        <v>1</v>
      </c>
      <c r="T68" s="319">
        <f t="shared" si="8"/>
        <v>0.22</v>
      </c>
      <c r="U68" s="319">
        <v>0.12</v>
      </c>
      <c r="V68" s="321">
        <v>6.5</v>
      </c>
      <c r="W68" s="322">
        <v>1</v>
      </c>
      <c r="X68" s="323">
        <v>1</v>
      </c>
      <c r="Y68" s="252"/>
      <c r="Z68" s="252"/>
      <c r="AA68" s="252"/>
      <c r="AB68" s="252"/>
      <c r="AC68" s="252"/>
    </row>
    <row r="69" spans="2:30">
      <c r="B69" s="318" t="s">
        <v>71</v>
      </c>
      <c r="C69" s="319">
        <v>0.41</v>
      </c>
      <c r="D69" s="319">
        <v>1</v>
      </c>
      <c r="E69" s="320">
        <f t="shared" si="3"/>
        <v>5.6</v>
      </c>
      <c r="F69" s="319">
        <v>1.4</v>
      </c>
      <c r="G69" s="319">
        <f t="shared" si="5"/>
        <v>1.08</v>
      </c>
      <c r="H69" s="319">
        <f t="shared" si="6"/>
        <v>0.22</v>
      </c>
      <c r="I69" s="319">
        <v>0.12</v>
      </c>
      <c r="J69" s="321">
        <v>7</v>
      </c>
      <c r="K69" s="322">
        <v>1</v>
      </c>
      <c r="L69" s="323">
        <v>1</v>
      </c>
      <c r="M69" s="252"/>
      <c r="N69" s="318" t="s">
        <v>71</v>
      </c>
      <c r="O69" s="319">
        <v>0.18</v>
      </c>
      <c r="P69" s="319">
        <v>0.66</v>
      </c>
      <c r="Q69" s="320">
        <f t="shared" si="4"/>
        <v>5.6</v>
      </c>
      <c r="R69" s="319">
        <v>1.4</v>
      </c>
      <c r="S69" s="319">
        <f t="shared" si="7"/>
        <v>1.08</v>
      </c>
      <c r="T69" s="319">
        <f t="shared" si="8"/>
        <v>0.22</v>
      </c>
      <c r="U69" s="319">
        <v>0.12</v>
      </c>
      <c r="V69" s="321">
        <v>7</v>
      </c>
      <c r="W69" s="322">
        <v>1</v>
      </c>
      <c r="X69" s="323">
        <v>1</v>
      </c>
      <c r="Y69" s="252"/>
      <c r="Z69" s="252"/>
      <c r="AA69" s="252"/>
      <c r="AB69" s="252"/>
      <c r="AC69" s="252"/>
    </row>
    <row r="70" spans="2:30">
      <c r="B70" s="318" t="s">
        <v>72</v>
      </c>
      <c r="C70" s="319">
        <v>0.41</v>
      </c>
      <c r="D70" s="319">
        <v>1</v>
      </c>
      <c r="E70" s="320">
        <f t="shared" si="3"/>
        <v>6.1</v>
      </c>
      <c r="F70" s="319">
        <v>1.4</v>
      </c>
      <c r="G70" s="319">
        <f t="shared" si="5"/>
        <v>1.1599999999999999</v>
      </c>
      <c r="H70" s="319">
        <f t="shared" si="6"/>
        <v>0.22</v>
      </c>
      <c r="I70" s="319">
        <v>0.12</v>
      </c>
      <c r="J70" s="321">
        <v>7.5</v>
      </c>
      <c r="K70" s="322">
        <v>1</v>
      </c>
      <c r="L70" s="323">
        <v>1</v>
      </c>
      <c r="N70" s="318" t="s">
        <v>72</v>
      </c>
      <c r="O70" s="319">
        <v>0.18</v>
      </c>
      <c r="P70" s="319">
        <v>0.66</v>
      </c>
      <c r="Q70" s="320">
        <f t="shared" si="4"/>
        <v>6.1</v>
      </c>
      <c r="R70" s="319">
        <v>1.4</v>
      </c>
      <c r="S70" s="319">
        <f t="shared" si="7"/>
        <v>1.1599999999999999</v>
      </c>
      <c r="T70" s="319">
        <f t="shared" si="8"/>
        <v>0.22</v>
      </c>
      <c r="U70" s="319">
        <v>0.12</v>
      </c>
      <c r="V70" s="321">
        <v>7.5</v>
      </c>
      <c r="W70" s="322">
        <v>1</v>
      </c>
      <c r="X70" s="323">
        <v>1</v>
      </c>
      <c r="Y70" s="252"/>
      <c r="Z70" s="252"/>
      <c r="AA70" s="252"/>
      <c r="AB70" s="252"/>
      <c r="AC70" s="252"/>
    </row>
    <row r="71" spans="2:30">
      <c r="B71" s="318" t="s">
        <v>73</v>
      </c>
      <c r="C71" s="319">
        <v>0.41</v>
      </c>
      <c r="D71" s="319">
        <v>1</v>
      </c>
      <c r="E71" s="320">
        <f t="shared" si="3"/>
        <v>6.6</v>
      </c>
      <c r="F71" s="319">
        <v>1.4</v>
      </c>
      <c r="G71" s="319">
        <f t="shared" si="5"/>
        <v>1.23</v>
      </c>
      <c r="H71" s="319">
        <f t="shared" si="6"/>
        <v>0.22</v>
      </c>
      <c r="I71" s="319">
        <v>0.12</v>
      </c>
      <c r="J71" s="321">
        <v>8</v>
      </c>
      <c r="K71" s="322">
        <v>1</v>
      </c>
      <c r="L71" s="323">
        <v>1</v>
      </c>
      <c r="M71" s="252"/>
      <c r="N71" s="318" t="s">
        <v>73</v>
      </c>
      <c r="O71" s="319">
        <v>0.18</v>
      </c>
      <c r="P71" s="319">
        <v>0.66</v>
      </c>
      <c r="Q71" s="320">
        <f t="shared" si="4"/>
        <v>6.6</v>
      </c>
      <c r="R71" s="319">
        <v>1.4</v>
      </c>
      <c r="S71" s="319">
        <f t="shared" si="7"/>
        <v>1.23</v>
      </c>
      <c r="T71" s="319">
        <f t="shared" si="8"/>
        <v>0.22</v>
      </c>
      <c r="U71" s="319">
        <v>0.12</v>
      </c>
      <c r="V71" s="321">
        <v>8</v>
      </c>
      <c r="W71" s="322">
        <v>1</v>
      </c>
      <c r="X71" s="323">
        <v>1</v>
      </c>
    </row>
    <row r="72" spans="2:30">
      <c r="B72" s="318" t="s">
        <v>74</v>
      </c>
      <c r="C72" s="319">
        <v>0.41</v>
      </c>
      <c r="D72" s="319">
        <v>1</v>
      </c>
      <c r="E72" s="320">
        <f t="shared" si="3"/>
        <v>7.1</v>
      </c>
      <c r="F72" s="319">
        <v>1.4</v>
      </c>
      <c r="G72" s="319">
        <f t="shared" si="5"/>
        <v>1.31</v>
      </c>
      <c r="H72" s="319">
        <f t="shared" si="6"/>
        <v>0.22</v>
      </c>
      <c r="I72" s="319">
        <v>0.12</v>
      </c>
      <c r="J72" s="321">
        <v>8.5</v>
      </c>
      <c r="K72" s="322">
        <v>1</v>
      </c>
      <c r="L72" s="323">
        <v>1</v>
      </c>
      <c r="M72" s="252"/>
      <c r="N72" s="318" t="s">
        <v>74</v>
      </c>
      <c r="O72" s="319">
        <v>0.18</v>
      </c>
      <c r="P72" s="319">
        <v>0.66</v>
      </c>
      <c r="Q72" s="320">
        <f t="shared" si="4"/>
        <v>7.1</v>
      </c>
      <c r="R72" s="319">
        <v>1.4</v>
      </c>
      <c r="S72" s="319">
        <f t="shared" si="7"/>
        <v>1.31</v>
      </c>
      <c r="T72" s="319">
        <f t="shared" si="8"/>
        <v>0.22</v>
      </c>
      <c r="U72" s="319">
        <v>0.12</v>
      </c>
      <c r="V72" s="321">
        <v>8.5</v>
      </c>
      <c r="W72" s="322">
        <v>1</v>
      </c>
      <c r="X72" s="323">
        <v>1</v>
      </c>
    </row>
    <row r="73" spans="2:30">
      <c r="B73" s="318" t="s">
        <v>75</v>
      </c>
      <c r="C73" s="319">
        <v>0.41</v>
      </c>
      <c r="D73" s="319">
        <v>1</v>
      </c>
      <c r="E73" s="320">
        <f t="shared" si="3"/>
        <v>7.6</v>
      </c>
      <c r="F73" s="319">
        <v>1.4</v>
      </c>
      <c r="G73" s="319">
        <f t="shared" si="5"/>
        <v>1.39</v>
      </c>
      <c r="H73" s="319">
        <f t="shared" si="6"/>
        <v>0.22</v>
      </c>
      <c r="I73" s="319">
        <v>0.12</v>
      </c>
      <c r="J73" s="321">
        <v>9</v>
      </c>
      <c r="K73" s="322">
        <v>1</v>
      </c>
      <c r="L73" s="323">
        <v>1</v>
      </c>
      <c r="M73" s="252"/>
      <c r="N73" s="318" t="s">
        <v>75</v>
      </c>
      <c r="O73" s="319">
        <v>0.18</v>
      </c>
      <c r="P73" s="319">
        <v>0.66</v>
      </c>
      <c r="Q73" s="320">
        <f t="shared" si="4"/>
        <v>7.6</v>
      </c>
      <c r="R73" s="319">
        <v>1.4</v>
      </c>
      <c r="S73" s="319">
        <f t="shared" si="7"/>
        <v>1.39</v>
      </c>
      <c r="T73" s="319">
        <f t="shared" si="8"/>
        <v>0.22</v>
      </c>
      <c r="U73" s="319">
        <v>0.12</v>
      </c>
      <c r="V73" s="321">
        <v>9</v>
      </c>
      <c r="W73" s="322">
        <v>1</v>
      </c>
      <c r="X73" s="323">
        <v>1</v>
      </c>
    </row>
    <row r="74" spans="2:30">
      <c r="B74" s="318" t="s">
        <v>76</v>
      </c>
      <c r="C74" s="319">
        <v>0.41</v>
      </c>
      <c r="D74" s="319">
        <v>1</v>
      </c>
      <c r="E74" s="320">
        <f t="shared" si="3"/>
        <v>8.1</v>
      </c>
      <c r="F74" s="319">
        <v>1.4</v>
      </c>
      <c r="G74" s="319">
        <f t="shared" si="5"/>
        <v>1.46</v>
      </c>
      <c r="H74" s="319">
        <f t="shared" si="6"/>
        <v>0.22</v>
      </c>
      <c r="I74" s="319">
        <v>0.12</v>
      </c>
      <c r="J74" s="321">
        <v>9.5</v>
      </c>
      <c r="K74" s="322">
        <v>1</v>
      </c>
      <c r="L74" s="323">
        <v>1</v>
      </c>
      <c r="M74" s="252"/>
      <c r="N74" s="318" t="s">
        <v>76</v>
      </c>
      <c r="O74" s="319">
        <v>0.18</v>
      </c>
      <c r="P74" s="319">
        <v>0.66</v>
      </c>
      <c r="Q74" s="320">
        <f t="shared" si="4"/>
        <v>8.1</v>
      </c>
      <c r="R74" s="319">
        <v>1.4</v>
      </c>
      <c r="S74" s="319">
        <f t="shared" si="7"/>
        <v>1.46</v>
      </c>
      <c r="T74" s="319">
        <f t="shared" si="8"/>
        <v>0.22</v>
      </c>
      <c r="U74" s="319">
        <v>0.12</v>
      </c>
      <c r="V74" s="321">
        <v>9.5</v>
      </c>
      <c r="W74" s="322">
        <v>1</v>
      </c>
      <c r="X74" s="323">
        <v>1</v>
      </c>
    </row>
    <row r="75" spans="2:30">
      <c r="B75" s="318" t="s">
        <v>77</v>
      </c>
      <c r="C75" s="319">
        <v>0.41</v>
      </c>
      <c r="D75" s="319">
        <v>1</v>
      </c>
      <c r="E75" s="320">
        <f t="shared" si="3"/>
        <v>8.6</v>
      </c>
      <c r="F75" s="319">
        <v>1.4</v>
      </c>
      <c r="G75" s="319">
        <f t="shared" si="5"/>
        <v>1.54</v>
      </c>
      <c r="H75" s="319">
        <f t="shared" si="6"/>
        <v>0.22</v>
      </c>
      <c r="I75" s="319">
        <v>0.12</v>
      </c>
      <c r="J75" s="321">
        <v>10</v>
      </c>
      <c r="K75" s="322">
        <v>1</v>
      </c>
      <c r="L75" s="323">
        <v>1</v>
      </c>
      <c r="M75" s="252"/>
      <c r="N75" s="318" t="s">
        <v>77</v>
      </c>
      <c r="O75" s="319">
        <v>0.18</v>
      </c>
      <c r="P75" s="319">
        <v>0.66</v>
      </c>
      <c r="Q75" s="320">
        <f t="shared" si="4"/>
        <v>8.6</v>
      </c>
      <c r="R75" s="319">
        <v>1.4</v>
      </c>
      <c r="S75" s="319">
        <f t="shared" si="7"/>
        <v>1.54</v>
      </c>
      <c r="T75" s="319">
        <f t="shared" si="8"/>
        <v>0.22</v>
      </c>
      <c r="U75" s="319">
        <v>0.12</v>
      </c>
      <c r="V75" s="321">
        <v>10</v>
      </c>
      <c r="W75" s="322">
        <v>1</v>
      </c>
      <c r="X75" s="323">
        <v>1</v>
      </c>
    </row>
    <row r="76" spans="2:30">
      <c r="B76" s="318" t="s">
        <v>78</v>
      </c>
      <c r="C76" s="319">
        <v>0.41</v>
      </c>
      <c r="D76" s="319">
        <v>1</v>
      </c>
      <c r="E76" s="320">
        <f t="shared" si="3"/>
        <v>9.1</v>
      </c>
      <c r="F76" s="319">
        <v>1.4</v>
      </c>
      <c r="G76" s="319">
        <f t="shared" si="5"/>
        <v>1.62</v>
      </c>
      <c r="H76" s="319">
        <f t="shared" si="6"/>
        <v>0.22</v>
      </c>
      <c r="I76" s="319">
        <v>0.12</v>
      </c>
      <c r="J76" s="324">
        <v>10.5</v>
      </c>
      <c r="K76" s="322">
        <v>1</v>
      </c>
      <c r="L76" s="323">
        <v>1</v>
      </c>
      <c r="M76" s="252"/>
      <c r="N76" s="318" t="s">
        <v>78</v>
      </c>
      <c r="O76" s="319">
        <v>0.18</v>
      </c>
      <c r="P76" s="319">
        <v>0.66</v>
      </c>
      <c r="Q76" s="320">
        <f t="shared" si="4"/>
        <v>9.1</v>
      </c>
      <c r="R76" s="319">
        <v>1.4</v>
      </c>
      <c r="S76" s="319">
        <f t="shared" si="7"/>
        <v>1.62</v>
      </c>
      <c r="T76" s="319">
        <f t="shared" si="8"/>
        <v>0.22</v>
      </c>
      <c r="U76" s="319">
        <v>0.12</v>
      </c>
      <c r="V76" s="324">
        <v>10.5</v>
      </c>
      <c r="W76" s="322">
        <v>1</v>
      </c>
      <c r="X76" s="323">
        <v>1</v>
      </c>
    </row>
    <row r="77" spans="2:30">
      <c r="B77" s="318" t="s">
        <v>79</v>
      </c>
      <c r="C77" s="319">
        <v>0.41</v>
      </c>
      <c r="D77" s="319">
        <v>1</v>
      </c>
      <c r="E77" s="320">
        <f t="shared" si="3"/>
        <v>9.6</v>
      </c>
      <c r="F77" s="319">
        <v>1.4</v>
      </c>
      <c r="G77" s="319">
        <f t="shared" si="5"/>
        <v>1.69</v>
      </c>
      <c r="H77" s="319">
        <f t="shared" si="6"/>
        <v>0.22</v>
      </c>
      <c r="I77" s="319">
        <v>0.12</v>
      </c>
      <c r="J77" s="324">
        <v>11</v>
      </c>
      <c r="K77" s="322">
        <v>1</v>
      </c>
      <c r="L77" s="323">
        <v>1</v>
      </c>
      <c r="M77" s="252"/>
      <c r="N77" s="318" t="s">
        <v>79</v>
      </c>
      <c r="O77" s="319">
        <v>0.18</v>
      </c>
      <c r="P77" s="319">
        <v>0.66</v>
      </c>
      <c r="Q77" s="320">
        <f t="shared" si="4"/>
        <v>9.6</v>
      </c>
      <c r="R77" s="319">
        <v>1.4</v>
      </c>
      <c r="S77" s="319">
        <f t="shared" si="7"/>
        <v>1.69</v>
      </c>
      <c r="T77" s="319">
        <f t="shared" si="8"/>
        <v>0.22</v>
      </c>
      <c r="U77" s="319">
        <v>0.12</v>
      </c>
      <c r="V77" s="324">
        <v>11</v>
      </c>
      <c r="W77" s="322">
        <v>1</v>
      </c>
      <c r="X77" s="323">
        <v>1</v>
      </c>
    </row>
    <row r="78" spans="2:30">
      <c r="B78" s="318" t="s">
        <v>80</v>
      </c>
      <c r="C78" s="319">
        <v>0.41</v>
      </c>
      <c r="D78" s="319">
        <v>1</v>
      </c>
      <c r="E78" s="320">
        <f t="shared" si="3"/>
        <v>10.1</v>
      </c>
      <c r="F78" s="319">
        <v>1.4</v>
      </c>
      <c r="G78" s="319">
        <f t="shared" si="5"/>
        <v>1.77</v>
      </c>
      <c r="H78" s="319">
        <f t="shared" si="6"/>
        <v>0.22</v>
      </c>
      <c r="I78" s="319">
        <v>0.12</v>
      </c>
      <c r="J78" s="324">
        <v>11.5</v>
      </c>
      <c r="K78" s="322">
        <v>1</v>
      </c>
      <c r="L78" s="323">
        <v>1</v>
      </c>
      <c r="M78" s="252"/>
      <c r="N78" s="318" t="s">
        <v>80</v>
      </c>
      <c r="O78" s="319">
        <v>0.18</v>
      </c>
      <c r="P78" s="319">
        <v>0.66</v>
      </c>
      <c r="Q78" s="320">
        <f t="shared" si="4"/>
        <v>10.1</v>
      </c>
      <c r="R78" s="319">
        <v>1.4</v>
      </c>
      <c r="S78" s="319">
        <f t="shared" si="7"/>
        <v>1.77</v>
      </c>
      <c r="T78" s="319">
        <f t="shared" si="8"/>
        <v>0.22</v>
      </c>
      <c r="U78" s="319">
        <v>0.12</v>
      </c>
      <c r="V78" s="324">
        <v>11.5</v>
      </c>
      <c r="W78" s="322">
        <v>1</v>
      </c>
      <c r="X78" s="323">
        <v>1</v>
      </c>
    </row>
    <row r="79" spans="2:30">
      <c r="B79" s="318" t="s">
        <v>81</v>
      </c>
      <c r="C79" s="319">
        <v>0.41</v>
      </c>
      <c r="D79" s="319">
        <v>1</v>
      </c>
      <c r="E79" s="320">
        <f t="shared" si="3"/>
        <v>10.6</v>
      </c>
      <c r="F79" s="319">
        <v>1.4</v>
      </c>
      <c r="G79" s="319">
        <f t="shared" si="5"/>
        <v>1.85</v>
      </c>
      <c r="H79" s="319">
        <f t="shared" si="6"/>
        <v>0.22</v>
      </c>
      <c r="I79" s="319">
        <v>0.12</v>
      </c>
      <c r="J79" s="324">
        <v>12</v>
      </c>
      <c r="K79" s="322">
        <v>1</v>
      </c>
      <c r="L79" s="323">
        <v>1</v>
      </c>
      <c r="M79" s="252"/>
      <c r="N79" s="318" t="s">
        <v>81</v>
      </c>
      <c r="O79" s="319">
        <v>0.18</v>
      </c>
      <c r="P79" s="319">
        <v>0.66</v>
      </c>
      <c r="Q79" s="320">
        <f t="shared" si="4"/>
        <v>10.6</v>
      </c>
      <c r="R79" s="319">
        <v>1.4</v>
      </c>
      <c r="S79" s="319">
        <f t="shared" si="7"/>
        <v>1.85</v>
      </c>
      <c r="T79" s="319">
        <f t="shared" si="8"/>
        <v>0.22</v>
      </c>
      <c r="U79" s="319">
        <v>0.12</v>
      </c>
      <c r="V79" s="324">
        <v>12</v>
      </c>
      <c r="W79" s="322">
        <v>1</v>
      </c>
      <c r="X79" s="323">
        <v>1</v>
      </c>
    </row>
    <row r="80" spans="2:30">
      <c r="B80" s="318" t="s">
        <v>82</v>
      </c>
      <c r="C80" s="319">
        <v>0.41</v>
      </c>
      <c r="D80" s="319">
        <v>1</v>
      </c>
      <c r="E80" s="320">
        <f t="shared" si="3"/>
        <v>11.1</v>
      </c>
      <c r="F80" s="319">
        <v>1.4</v>
      </c>
      <c r="G80" s="319">
        <f t="shared" si="5"/>
        <v>1.93</v>
      </c>
      <c r="H80" s="319">
        <f t="shared" si="6"/>
        <v>0.22</v>
      </c>
      <c r="I80" s="319">
        <v>0.12</v>
      </c>
      <c r="J80" s="324">
        <v>12.5</v>
      </c>
      <c r="K80" s="322">
        <v>1</v>
      </c>
      <c r="L80" s="323">
        <v>1</v>
      </c>
      <c r="M80" s="252"/>
      <c r="N80" s="318" t="s">
        <v>82</v>
      </c>
      <c r="O80" s="319">
        <v>0.18</v>
      </c>
      <c r="P80" s="319">
        <v>0.66</v>
      </c>
      <c r="Q80" s="320">
        <f t="shared" si="4"/>
        <v>11.1</v>
      </c>
      <c r="R80" s="319">
        <v>1.4</v>
      </c>
      <c r="S80" s="319">
        <f t="shared" si="7"/>
        <v>1.93</v>
      </c>
      <c r="T80" s="319">
        <f t="shared" si="8"/>
        <v>0.22</v>
      </c>
      <c r="U80" s="319">
        <v>0.12</v>
      </c>
      <c r="V80" s="324">
        <v>12.5</v>
      </c>
      <c r="W80" s="322">
        <v>1</v>
      </c>
      <c r="X80" s="323">
        <v>1</v>
      </c>
    </row>
    <row r="81" spans="2:26">
      <c r="B81" s="318" t="s">
        <v>83</v>
      </c>
      <c r="C81" s="319">
        <v>0.41</v>
      </c>
      <c r="D81" s="319">
        <v>1</v>
      </c>
      <c r="E81" s="320">
        <f t="shared" si="3"/>
        <v>11.6</v>
      </c>
      <c r="F81" s="319">
        <v>1.4</v>
      </c>
      <c r="G81" s="319">
        <f t="shared" si="5"/>
        <v>2</v>
      </c>
      <c r="H81" s="319">
        <f t="shared" si="6"/>
        <v>0.22</v>
      </c>
      <c r="I81" s="319">
        <v>0.12</v>
      </c>
      <c r="J81" s="324">
        <v>13</v>
      </c>
      <c r="K81" s="322">
        <v>1</v>
      </c>
      <c r="L81" s="323">
        <v>1</v>
      </c>
      <c r="M81" s="252"/>
      <c r="N81" s="318" t="s">
        <v>83</v>
      </c>
      <c r="O81" s="319">
        <v>0.18</v>
      </c>
      <c r="P81" s="319">
        <v>0.66</v>
      </c>
      <c r="Q81" s="320">
        <f t="shared" si="4"/>
        <v>11.6</v>
      </c>
      <c r="R81" s="319">
        <v>1.4</v>
      </c>
      <c r="S81" s="319">
        <f t="shared" si="7"/>
        <v>2</v>
      </c>
      <c r="T81" s="319">
        <f t="shared" si="8"/>
        <v>0.22</v>
      </c>
      <c r="U81" s="319">
        <v>0.12</v>
      </c>
      <c r="V81" s="324">
        <v>13</v>
      </c>
      <c r="W81" s="322">
        <v>1</v>
      </c>
      <c r="X81" s="323">
        <v>1</v>
      </c>
    </row>
    <row r="82" spans="2:26">
      <c r="B82" s="318" t="s">
        <v>84</v>
      </c>
      <c r="C82" s="319">
        <v>0.41</v>
      </c>
      <c r="D82" s="319">
        <v>1</v>
      </c>
      <c r="E82" s="320">
        <f t="shared" si="3"/>
        <v>12.1</v>
      </c>
      <c r="F82" s="319">
        <v>1.4</v>
      </c>
      <c r="G82" s="319">
        <f t="shared" si="5"/>
        <v>2.08</v>
      </c>
      <c r="H82" s="319">
        <f t="shared" si="6"/>
        <v>0.22</v>
      </c>
      <c r="I82" s="319">
        <v>0.12</v>
      </c>
      <c r="J82" s="324">
        <v>13.5</v>
      </c>
      <c r="K82" s="322">
        <v>1</v>
      </c>
      <c r="L82" s="323">
        <v>1</v>
      </c>
      <c r="M82" s="252"/>
      <c r="N82" s="318" t="s">
        <v>84</v>
      </c>
      <c r="O82" s="319">
        <v>0.18</v>
      </c>
      <c r="P82" s="319">
        <v>0.66</v>
      </c>
      <c r="Q82" s="320">
        <f t="shared" si="4"/>
        <v>12.1</v>
      </c>
      <c r="R82" s="319">
        <v>1.4</v>
      </c>
      <c r="S82" s="319">
        <f t="shared" si="7"/>
        <v>2.08</v>
      </c>
      <c r="T82" s="319">
        <f t="shared" si="8"/>
        <v>0.22</v>
      </c>
      <c r="U82" s="319">
        <v>0.12</v>
      </c>
      <c r="V82" s="324">
        <v>13.5</v>
      </c>
      <c r="W82" s="322">
        <v>1</v>
      </c>
      <c r="X82" s="323">
        <v>1</v>
      </c>
    </row>
    <row r="83" spans="2:26">
      <c r="B83" s="318" t="s">
        <v>85</v>
      </c>
      <c r="C83" s="319">
        <v>0.41</v>
      </c>
      <c r="D83" s="319">
        <v>1</v>
      </c>
      <c r="E83" s="320">
        <f t="shared" si="3"/>
        <v>12.6</v>
      </c>
      <c r="F83" s="319">
        <v>1.4</v>
      </c>
      <c r="G83" s="319">
        <f t="shared" si="5"/>
        <v>2.16</v>
      </c>
      <c r="H83" s="319">
        <f t="shared" si="6"/>
        <v>0.22</v>
      </c>
      <c r="I83" s="319">
        <v>0.12</v>
      </c>
      <c r="J83" s="324">
        <v>14</v>
      </c>
      <c r="K83" s="322">
        <v>1</v>
      </c>
      <c r="L83" s="323">
        <v>1</v>
      </c>
      <c r="M83" s="252"/>
      <c r="N83" s="318" t="s">
        <v>85</v>
      </c>
      <c r="O83" s="319">
        <v>0.18</v>
      </c>
      <c r="P83" s="319">
        <v>0.66</v>
      </c>
      <c r="Q83" s="320">
        <f t="shared" si="4"/>
        <v>12.6</v>
      </c>
      <c r="R83" s="319">
        <v>1.4</v>
      </c>
      <c r="S83" s="319">
        <f t="shared" si="7"/>
        <v>2.16</v>
      </c>
      <c r="T83" s="319">
        <f t="shared" si="8"/>
        <v>0.22</v>
      </c>
      <c r="U83" s="319">
        <v>0.12</v>
      </c>
      <c r="V83" s="324">
        <v>14</v>
      </c>
      <c r="W83" s="322">
        <v>1</v>
      </c>
      <c r="X83" s="323">
        <v>1</v>
      </c>
    </row>
    <row r="84" spans="2:26">
      <c r="B84" s="318" t="s">
        <v>86</v>
      </c>
      <c r="C84" s="319">
        <v>0.41</v>
      </c>
      <c r="D84" s="319">
        <v>1</v>
      </c>
      <c r="E84" s="320">
        <f t="shared" si="3"/>
        <v>13.1</v>
      </c>
      <c r="F84" s="319">
        <v>1.4</v>
      </c>
      <c r="G84" s="319">
        <f t="shared" si="5"/>
        <v>2.23</v>
      </c>
      <c r="H84" s="319">
        <f t="shared" si="6"/>
        <v>0.22</v>
      </c>
      <c r="I84" s="319">
        <v>0.12</v>
      </c>
      <c r="J84" s="324">
        <v>14.5</v>
      </c>
      <c r="K84" s="322">
        <v>1</v>
      </c>
      <c r="L84" s="323">
        <v>1</v>
      </c>
      <c r="M84" s="252"/>
      <c r="N84" s="318" t="s">
        <v>86</v>
      </c>
      <c r="O84" s="319">
        <v>0.18</v>
      </c>
      <c r="P84" s="319">
        <v>0.66</v>
      </c>
      <c r="Q84" s="320">
        <f t="shared" si="4"/>
        <v>13.1</v>
      </c>
      <c r="R84" s="319">
        <v>1.4</v>
      </c>
      <c r="S84" s="319">
        <f t="shared" si="7"/>
        <v>2.23</v>
      </c>
      <c r="T84" s="319">
        <f t="shared" si="8"/>
        <v>0.22</v>
      </c>
      <c r="U84" s="319">
        <v>0.12</v>
      </c>
      <c r="V84" s="324">
        <v>14.5</v>
      </c>
      <c r="W84" s="322">
        <v>1</v>
      </c>
      <c r="X84" s="323">
        <v>1</v>
      </c>
    </row>
    <row r="85" spans="2:26">
      <c r="B85" s="318" t="s">
        <v>87</v>
      </c>
      <c r="C85" s="319">
        <v>0.41</v>
      </c>
      <c r="D85" s="319">
        <v>1</v>
      </c>
      <c r="E85" s="320">
        <f t="shared" si="3"/>
        <v>13.6</v>
      </c>
      <c r="F85" s="319">
        <v>1.4</v>
      </c>
      <c r="G85" s="319">
        <f t="shared" si="5"/>
        <v>2.31</v>
      </c>
      <c r="H85" s="319">
        <f t="shared" si="6"/>
        <v>0.22</v>
      </c>
      <c r="I85" s="319">
        <v>0.12</v>
      </c>
      <c r="J85" s="324">
        <v>15</v>
      </c>
      <c r="K85" s="322">
        <v>1</v>
      </c>
      <c r="L85" s="323">
        <v>1</v>
      </c>
      <c r="M85" s="252"/>
      <c r="N85" s="318" t="s">
        <v>87</v>
      </c>
      <c r="O85" s="319">
        <v>0.18</v>
      </c>
      <c r="P85" s="319">
        <v>0.66</v>
      </c>
      <c r="Q85" s="320">
        <f t="shared" si="4"/>
        <v>13.6</v>
      </c>
      <c r="R85" s="319">
        <v>1.4</v>
      </c>
      <c r="S85" s="319">
        <f t="shared" si="7"/>
        <v>2.31</v>
      </c>
      <c r="T85" s="319">
        <f t="shared" si="8"/>
        <v>0.22</v>
      </c>
      <c r="U85" s="319">
        <v>0.12</v>
      </c>
      <c r="V85" s="324">
        <v>15</v>
      </c>
      <c r="W85" s="322">
        <v>1</v>
      </c>
      <c r="X85" s="323">
        <v>1</v>
      </c>
    </row>
    <row r="86" spans="2:26">
      <c r="B86" s="318" t="s">
        <v>88</v>
      </c>
      <c r="C86" s="319">
        <v>0.41</v>
      </c>
      <c r="D86" s="319">
        <v>1</v>
      </c>
      <c r="E86" s="320">
        <f t="shared" si="3"/>
        <v>14.1</v>
      </c>
      <c r="F86" s="319">
        <v>1.4</v>
      </c>
      <c r="G86" s="319">
        <f t="shared" si="5"/>
        <v>2.39</v>
      </c>
      <c r="H86" s="319">
        <f t="shared" si="6"/>
        <v>0.22</v>
      </c>
      <c r="I86" s="319">
        <v>0.12</v>
      </c>
      <c r="J86" s="324">
        <v>15.5</v>
      </c>
      <c r="K86" s="322">
        <v>1</v>
      </c>
      <c r="L86" s="323">
        <v>1</v>
      </c>
      <c r="M86" s="252"/>
      <c r="N86" s="318" t="s">
        <v>88</v>
      </c>
      <c r="O86" s="319">
        <v>0.18</v>
      </c>
      <c r="P86" s="319">
        <v>0.66</v>
      </c>
      <c r="Q86" s="320">
        <f t="shared" si="4"/>
        <v>14.1</v>
      </c>
      <c r="R86" s="319">
        <v>1.4</v>
      </c>
      <c r="S86" s="319">
        <f t="shared" si="7"/>
        <v>2.39</v>
      </c>
      <c r="T86" s="319">
        <f t="shared" si="8"/>
        <v>0.22</v>
      </c>
      <c r="U86" s="319">
        <v>0.12</v>
      </c>
      <c r="V86" s="324">
        <v>15.5</v>
      </c>
      <c r="W86" s="322">
        <v>1</v>
      </c>
      <c r="X86" s="323">
        <v>1</v>
      </c>
    </row>
    <row r="87" spans="2:26">
      <c r="B87" s="318" t="s">
        <v>89</v>
      </c>
      <c r="C87" s="319">
        <v>0.41</v>
      </c>
      <c r="D87" s="319">
        <v>1</v>
      </c>
      <c r="E87" s="320">
        <f t="shared" si="3"/>
        <v>2.1</v>
      </c>
      <c r="F87" s="319">
        <v>1.4</v>
      </c>
      <c r="G87" s="319">
        <f t="shared" si="5"/>
        <v>0.54</v>
      </c>
      <c r="H87" s="319">
        <f t="shared" si="6"/>
        <v>0.22</v>
      </c>
      <c r="I87" s="319">
        <v>0.12</v>
      </c>
      <c r="J87" s="321">
        <v>3.5</v>
      </c>
      <c r="K87" s="322">
        <v>2</v>
      </c>
      <c r="L87" s="323">
        <v>3</v>
      </c>
      <c r="M87" s="252"/>
      <c r="N87" s="318" t="s">
        <v>89</v>
      </c>
      <c r="O87" s="319">
        <v>0.18</v>
      </c>
      <c r="P87" s="319">
        <v>0.66</v>
      </c>
      <c r="Q87" s="320">
        <f t="shared" si="4"/>
        <v>2.1</v>
      </c>
      <c r="R87" s="319">
        <v>1.4</v>
      </c>
      <c r="S87" s="319">
        <f t="shared" si="7"/>
        <v>0.54</v>
      </c>
      <c r="T87" s="319">
        <f t="shared" si="8"/>
        <v>0.22</v>
      </c>
      <c r="U87" s="319">
        <v>0.12</v>
      </c>
      <c r="V87" s="321">
        <v>3.5</v>
      </c>
      <c r="W87" s="322">
        <v>1</v>
      </c>
      <c r="X87" s="323">
        <v>3</v>
      </c>
    </row>
    <row r="88" spans="2:26">
      <c r="B88" s="318" t="s">
        <v>90</v>
      </c>
      <c r="C88" s="319">
        <v>0.41</v>
      </c>
      <c r="D88" s="319">
        <v>1</v>
      </c>
      <c r="E88" s="320">
        <f t="shared" si="3"/>
        <v>2.6</v>
      </c>
      <c r="F88" s="319">
        <v>1.4</v>
      </c>
      <c r="G88" s="319">
        <f t="shared" si="5"/>
        <v>0.62</v>
      </c>
      <c r="H88" s="319">
        <f t="shared" si="6"/>
        <v>0.22</v>
      </c>
      <c r="I88" s="319">
        <v>0.12</v>
      </c>
      <c r="J88" s="321">
        <v>4</v>
      </c>
      <c r="K88" s="322">
        <v>2</v>
      </c>
      <c r="L88" s="323">
        <v>3</v>
      </c>
      <c r="M88" s="252"/>
      <c r="N88" s="318" t="s">
        <v>90</v>
      </c>
      <c r="O88" s="319">
        <v>0.18</v>
      </c>
      <c r="P88" s="319">
        <v>0.66</v>
      </c>
      <c r="Q88" s="320">
        <f t="shared" si="4"/>
        <v>2.6</v>
      </c>
      <c r="R88" s="319">
        <v>1.4</v>
      </c>
      <c r="S88" s="319">
        <f t="shared" si="7"/>
        <v>0.62</v>
      </c>
      <c r="T88" s="319">
        <f t="shared" si="8"/>
        <v>0.22</v>
      </c>
      <c r="U88" s="319">
        <v>0.12</v>
      </c>
      <c r="V88" s="321">
        <v>4</v>
      </c>
      <c r="W88" s="322">
        <v>1</v>
      </c>
      <c r="X88" s="323">
        <v>3</v>
      </c>
    </row>
    <row r="89" spans="2:26">
      <c r="B89" s="318" t="s">
        <v>91</v>
      </c>
      <c r="C89" s="319">
        <v>0.41</v>
      </c>
      <c r="D89" s="319">
        <v>1</v>
      </c>
      <c r="E89" s="320">
        <f t="shared" si="3"/>
        <v>3.1</v>
      </c>
      <c r="F89" s="319">
        <v>1.4</v>
      </c>
      <c r="G89" s="319">
        <f t="shared" si="5"/>
        <v>0.69</v>
      </c>
      <c r="H89" s="319">
        <f t="shared" si="6"/>
        <v>0.22</v>
      </c>
      <c r="I89" s="319">
        <v>0.12</v>
      </c>
      <c r="J89" s="321">
        <v>4.5</v>
      </c>
      <c r="K89" s="322">
        <v>2</v>
      </c>
      <c r="L89" s="323">
        <v>3</v>
      </c>
      <c r="M89" s="325"/>
      <c r="N89" s="318" t="s">
        <v>91</v>
      </c>
      <c r="O89" s="319">
        <v>0.18</v>
      </c>
      <c r="P89" s="319">
        <v>0.66</v>
      </c>
      <c r="Q89" s="320">
        <f t="shared" si="4"/>
        <v>3.1</v>
      </c>
      <c r="R89" s="319">
        <v>1.4</v>
      </c>
      <c r="S89" s="319">
        <f t="shared" si="7"/>
        <v>0.69</v>
      </c>
      <c r="T89" s="319">
        <f t="shared" si="8"/>
        <v>0.22</v>
      </c>
      <c r="U89" s="319">
        <v>0.12</v>
      </c>
      <c r="V89" s="321">
        <v>4.5</v>
      </c>
      <c r="W89" s="322">
        <v>1</v>
      </c>
      <c r="X89" s="323">
        <v>3</v>
      </c>
    </row>
    <row r="90" spans="2:26">
      <c r="B90" s="318" t="s">
        <v>92</v>
      </c>
      <c r="C90" s="319">
        <v>0.41</v>
      </c>
      <c r="D90" s="319">
        <v>1</v>
      </c>
      <c r="E90" s="320">
        <f t="shared" si="3"/>
        <v>3.6</v>
      </c>
      <c r="F90" s="319">
        <v>1.4</v>
      </c>
      <c r="G90" s="319">
        <f t="shared" si="5"/>
        <v>0.77</v>
      </c>
      <c r="H90" s="319">
        <f t="shared" si="6"/>
        <v>0.22</v>
      </c>
      <c r="I90" s="319">
        <v>0.12</v>
      </c>
      <c r="J90" s="321">
        <v>5</v>
      </c>
      <c r="K90" s="322">
        <v>2</v>
      </c>
      <c r="L90" s="323">
        <v>3</v>
      </c>
      <c r="M90" s="252"/>
      <c r="N90" s="318" t="s">
        <v>92</v>
      </c>
      <c r="O90" s="319">
        <v>0.18</v>
      </c>
      <c r="P90" s="319">
        <v>0.66</v>
      </c>
      <c r="Q90" s="320">
        <f t="shared" si="4"/>
        <v>3.6</v>
      </c>
      <c r="R90" s="319">
        <v>1.4</v>
      </c>
      <c r="S90" s="319">
        <f t="shared" si="7"/>
        <v>0.77</v>
      </c>
      <c r="T90" s="319">
        <f t="shared" si="8"/>
        <v>0.22</v>
      </c>
      <c r="U90" s="319">
        <v>0.12</v>
      </c>
      <c r="V90" s="321">
        <v>5</v>
      </c>
      <c r="W90" s="322">
        <v>1</v>
      </c>
      <c r="X90" s="323">
        <v>3</v>
      </c>
    </row>
    <row r="91" spans="2:26">
      <c r="B91" s="318" t="s">
        <v>93</v>
      </c>
      <c r="C91" s="319">
        <v>0.41</v>
      </c>
      <c r="D91" s="319">
        <v>1</v>
      </c>
      <c r="E91" s="320">
        <f t="shared" si="3"/>
        <v>4.0999999999999996</v>
      </c>
      <c r="F91" s="319">
        <v>1.4</v>
      </c>
      <c r="G91" s="319">
        <f t="shared" si="5"/>
        <v>0.85</v>
      </c>
      <c r="H91" s="319">
        <f t="shared" si="6"/>
        <v>0.22</v>
      </c>
      <c r="I91" s="319">
        <v>0.12</v>
      </c>
      <c r="J91" s="321">
        <v>5.5</v>
      </c>
      <c r="K91" s="322">
        <v>2</v>
      </c>
      <c r="L91" s="323">
        <v>3</v>
      </c>
      <c r="M91" s="252"/>
      <c r="N91" s="318" t="s">
        <v>93</v>
      </c>
      <c r="O91" s="319">
        <v>0.18</v>
      </c>
      <c r="P91" s="319">
        <v>0.66</v>
      </c>
      <c r="Q91" s="320">
        <f t="shared" si="4"/>
        <v>4.0999999999999996</v>
      </c>
      <c r="R91" s="319">
        <v>1.4</v>
      </c>
      <c r="S91" s="319">
        <f t="shared" si="7"/>
        <v>0.85</v>
      </c>
      <c r="T91" s="319">
        <f t="shared" si="8"/>
        <v>0.22</v>
      </c>
      <c r="U91" s="319">
        <v>0.12</v>
      </c>
      <c r="V91" s="321">
        <v>5.5</v>
      </c>
      <c r="W91" s="322">
        <v>1</v>
      </c>
      <c r="X91" s="323">
        <v>3</v>
      </c>
      <c r="Y91" s="326"/>
      <c r="Z91" s="326"/>
    </row>
    <row r="92" spans="2:26">
      <c r="B92" s="318" t="s">
        <v>213</v>
      </c>
      <c r="C92" s="319">
        <v>0.41</v>
      </c>
      <c r="D92" s="319">
        <v>1</v>
      </c>
      <c r="E92" s="320">
        <f t="shared" si="3"/>
        <v>4.5999999999999996</v>
      </c>
      <c r="F92" s="319">
        <v>1.4</v>
      </c>
      <c r="G92" s="319">
        <f t="shared" si="5"/>
        <v>0.92</v>
      </c>
      <c r="H92" s="319">
        <f t="shared" si="6"/>
        <v>0.22</v>
      </c>
      <c r="I92" s="319">
        <v>0.12</v>
      </c>
      <c r="J92" s="321">
        <v>6</v>
      </c>
      <c r="K92" s="322">
        <v>2</v>
      </c>
      <c r="L92" s="323">
        <v>3</v>
      </c>
      <c r="M92" s="252"/>
      <c r="N92" s="318" t="s">
        <v>213</v>
      </c>
      <c r="O92" s="319">
        <v>0.18</v>
      </c>
      <c r="P92" s="319">
        <v>0.66</v>
      </c>
      <c r="Q92" s="320">
        <f t="shared" si="4"/>
        <v>4.5999999999999996</v>
      </c>
      <c r="R92" s="319">
        <v>1.4</v>
      </c>
      <c r="S92" s="319">
        <f t="shared" si="7"/>
        <v>0.92</v>
      </c>
      <c r="T92" s="319">
        <f t="shared" si="8"/>
        <v>0.22</v>
      </c>
      <c r="U92" s="319">
        <v>0.12</v>
      </c>
      <c r="V92" s="321">
        <v>6</v>
      </c>
      <c r="W92" s="322">
        <v>1</v>
      </c>
      <c r="X92" s="323">
        <v>3</v>
      </c>
      <c r="Y92" s="326"/>
      <c r="Z92" s="326"/>
    </row>
    <row r="93" spans="2:26">
      <c r="B93" s="318" t="s">
        <v>94</v>
      </c>
      <c r="C93" s="319">
        <v>0.41</v>
      </c>
      <c r="D93" s="319">
        <v>1</v>
      </c>
      <c r="E93" s="320">
        <f t="shared" si="3"/>
        <v>5.0999999999999996</v>
      </c>
      <c r="F93" s="319">
        <v>1.4</v>
      </c>
      <c r="G93" s="319">
        <f t="shared" si="5"/>
        <v>1</v>
      </c>
      <c r="H93" s="319">
        <f t="shared" si="6"/>
        <v>0.22</v>
      </c>
      <c r="I93" s="319">
        <v>0.12</v>
      </c>
      <c r="J93" s="321">
        <v>6.5</v>
      </c>
      <c r="K93" s="322">
        <v>2</v>
      </c>
      <c r="L93" s="323">
        <v>3</v>
      </c>
      <c r="M93" s="252"/>
      <c r="N93" s="318" t="s">
        <v>94</v>
      </c>
      <c r="O93" s="319">
        <v>0.18</v>
      </c>
      <c r="P93" s="319">
        <v>0.66</v>
      </c>
      <c r="Q93" s="320">
        <f t="shared" si="4"/>
        <v>5.0999999999999996</v>
      </c>
      <c r="R93" s="319">
        <v>1.4</v>
      </c>
      <c r="S93" s="319">
        <f t="shared" si="7"/>
        <v>1</v>
      </c>
      <c r="T93" s="319">
        <f t="shared" si="8"/>
        <v>0.22</v>
      </c>
      <c r="U93" s="319">
        <v>0.12</v>
      </c>
      <c r="V93" s="321">
        <v>6.5</v>
      </c>
      <c r="W93" s="322">
        <v>1</v>
      </c>
      <c r="X93" s="323">
        <v>3</v>
      </c>
      <c r="Y93" s="326"/>
      <c r="Z93" s="326"/>
    </row>
    <row r="94" spans="2:26">
      <c r="B94" s="318" t="s">
        <v>95</v>
      </c>
      <c r="C94" s="319">
        <v>0.41</v>
      </c>
      <c r="D94" s="319">
        <v>1</v>
      </c>
      <c r="E94" s="320">
        <f t="shared" ref="E94:E111" si="9">J94-F94</f>
        <v>5.6</v>
      </c>
      <c r="F94" s="319">
        <v>1.4</v>
      </c>
      <c r="G94" s="319">
        <f t="shared" si="5"/>
        <v>1.08</v>
      </c>
      <c r="H94" s="319">
        <f t="shared" si="6"/>
        <v>0.22</v>
      </c>
      <c r="I94" s="319">
        <v>0.12</v>
      </c>
      <c r="J94" s="321">
        <v>7</v>
      </c>
      <c r="K94" s="322">
        <v>2</v>
      </c>
      <c r="L94" s="323">
        <v>3</v>
      </c>
      <c r="M94" s="252"/>
      <c r="N94" s="318" t="s">
        <v>95</v>
      </c>
      <c r="O94" s="319">
        <v>0.18</v>
      </c>
      <c r="P94" s="319">
        <v>0.66</v>
      </c>
      <c r="Q94" s="320">
        <f t="shared" si="4"/>
        <v>5.6</v>
      </c>
      <c r="R94" s="319">
        <v>1.4</v>
      </c>
      <c r="S94" s="319">
        <f t="shared" si="7"/>
        <v>1.08</v>
      </c>
      <c r="T94" s="319">
        <f t="shared" si="8"/>
        <v>0.22</v>
      </c>
      <c r="U94" s="319">
        <v>0.12</v>
      </c>
      <c r="V94" s="321">
        <v>7</v>
      </c>
      <c r="W94" s="322">
        <v>1</v>
      </c>
      <c r="X94" s="323">
        <v>3</v>
      </c>
      <c r="Y94" s="326"/>
      <c r="Z94" s="326"/>
    </row>
    <row r="95" spans="2:26">
      <c r="B95" s="318" t="s">
        <v>96</v>
      </c>
      <c r="C95" s="319">
        <v>0.41</v>
      </c>
      <c r="D95" s="319">
        <v>1</v>
      </c>
      <c r="E95" s="320">
        <f t="shared" si="9"/>
        <v>6.1</v>
      </c>
      <c r="F95" s="319">
        <v>1.4</v>
      </c>
      <c r="G95" s="319">
        <f t="shared" si="5"/>
        <v>1.1599999999999999</v>
      </c>
      <c r="H95" s="319">
        <f t="shared" si="6"/>
        <v>0.22</v>
      </c>
      <c r="I95" s="319">
        <v>0.12</v>
      </c>
      <c r="J95" s="321">
        <v>7.5</v>
      </c>
      <c r="K95" s="322">
        <v>2</v>
      </c>
      <c r="L95" s="323">
        <v>3</v>
      </c>
      <c r="M95" s="252"/>
      <c r="N95" s="318" t="s">
        <v>96</v>
      </c>
      <c r="O95" s="319">
        <v>0.18</v>
      </c>
      <c r="P95" s="319">
        <v>0.66</v>
      </c>
      <c r="Q95" s="320">
        <f t="shared" si="4"/>
        <v>6.1</v>
      </c>
      <c r="R95" s="319">
        <v>1.4</v>
      </c>
      <c r="S95" s="319">
        <f t="shared" si="7"/>
        <v>1.1599999999999999</v>
      </c>
      <c r="T95" s="319">
        <f t="shared" si="8"/>
        <v>0.22</v>
      </c>
      <c r="U95" s="319">
        <v>0.12</v>
      </c>
      <c r="V95" s="321">
        <v>7.5</v>
      </c>
      <c r="W95" s="322">
        <v>1</v>
      </c>
      <c r="X95" s="323">
        <v>3</v>
      </c>
      <c r="Y95" s="326"/>
      <c r="Z95" s="326"/>
    </row>
    <row r="96" spans="2:26">
      <c r="B96" s="318" t="s">
        <v>97</v>
      </c>
      <c r="C96" s="319">
        <v>0.41</v>
      </c>
      <c r="D96" s="319">
        <v>1</v>
      </c>
      <c r="E96" s="320">
        <f t="shared" si="9"/>
        <v>6.6</v>
      </c>
      <c r="F96" s="319">
        <v>1.4</v>
      </c>
      <c r="G96" s="319">
        <f t="shared" si="5"/>
        <v>1.23</v>
      </c>
      <c r="H96" s="319">
        <f t="shared" si="6"/>
        <v>0.22</v>
      </c>
      <c r="I96" s="319">
        <v>0.12</v>
      </c>
      <c r="J96" s="321">
        <v>8</v>
      </c>
      <c r="K96" s="322">
        <v>2</v>
      </c>
      <c r="L96" s="323">
        <v>3</v>
      </c>
      <c r="M96" s="252"/>
      <c r="N96" s="318" t="s">
        <v>97</v>
      </c>
      <c r="O96" s="319">
        <v>0.18</v>
      </c>
      <c r="P96" s="319">
        <v>0.66</v>
      </c>
      <c r="Q96" s="320">
        <f t="shared" si="4"/>
        <v>6.6</v>
      </c>
      <c r="R96" s="319">
        <v>1.4</v>
      </c>
      <c r="S96" s="319">
        <f t="shared" si="7"/>
        <v>1.23</v>
      </c>
      <c r="T96" s="319">
        <f t="shared" si="8"/>
        <v>0.22</v>
      </c>
      <c r="U96" s="319">
        <v>0.12</v>
      </c>
      <c r="V96" s="321">
        <v>8</v>
      </c>
      <c r="W96" s="322">
        <v>1</v>
      </c>
      <c r="X96" s="323">
        <v>3</v>
      </c>
      <c r="Y96" s="326"/>
      <c r="Z96" s="326"/>
    </row>
    <row r="97" spans="2:29">
      <c r="B97" s="318" t="s">
        <v>98</v>
      </c>
      <c r="C97" s="319">
        <v>0.41</v>
      </c>
      <c r="D97" s="319">
        <v>1</v>
      </c>
      <c r="E97" s="320">
        <f t="shared" si="9"/>
        <v>7.1</v>
      </c>
      <c r="F97" s="319">
        <v>1.4</v>
      </c>
      <c r="G97" s="319">
        <f t="shared" si="5"/>
        <v>1.31</v>
      </c>
      <c r="H97" s="319">
        <f t="shared" si="6"/>
        <v>0.22</v>
      </c>
      <c r="I97" s="319">
        <v>0.12</v>
      </c>
      <c r="J97" s="321">
        <v>8.5</v>
      </c>
      <c r="K97" s="322">
        <v>2</v>
      </c>
      <c r="L97" s="323">
        <v>3</v>
      </c>
      <c r="M97" s="252"/>
      <c r="N97" s="318" t="s">
        <v>98</v>
      </c>
      <c r="O97" s="319">
        <v>0.18</v>
      </c>
      <c r="P97" s="319">
        <v>0.66</v>
      </c>
      <c r="Q97" s="320">
        <f t="shared" si="4"/>
        <v>7.1</v>
      </c>
      <c r="R97" s="319">
        <v>1.4</v>
      </c>
      <c r="S97" s="319">
        <f t="shared" si="7"/>
        <v>1.31</v>
      </c>
      <c r="T97" s="319">
        <f t="shared" si="8"/>
        <v>0.22</v>
      </c>
      <c r="U97" s="319">
        <v>0.12</v>
      </c>
      <c r="V97" s="321">
        <v>8.5</v>
      </c>
      <c r="W97" s="322">
        <v>1</v>
      </c>
      <c r="X97" s="323">
        <v>3</v>
      </c>
      <c r="Y97" s="326"/>
      <c r="Z97" s="326"/>
      <c r="AA97" s="326"/>
    </row>
    <row r="98" spans="2:29">
      <c r="B98" s="318" t="s">
        <v>99</v>
      </c>
      <c r="C98" s="319">
        <v>0.41</v>
      </c>
      <c r="D98" s="319">
        <v>1</v>
      </c>
      <c r="E98" s="320">
        <f t="shared" si="9"/>
        <v>7.6</v>
      </c>
      <c r="F98" s="319">
        <v>1.4</v>
      </c>
      <c r="G98" s="319">
        <f t="shared" si="5"/>
        <v>1.39</v>
      </c>
      <c r="H98" s="319">
        <f t="shared" si="6"/>
        <v>0.22</v>
      </c>
      <c r="I98" s="319">
        <v>0.12</v>
      </c>
      <c r="J98" s="321">
        <v>9</v>
      </c>
      <c r="K98" s="322">
        <v>2</v>
      </c>
      <c r="L98" s="323">
        <v>3</v>
      </c>
      <c r="M98" s="252"/>
      <c r="N98" s="318" t="s">
        <v>99</v>
      </c>
      <c r="O98" s="319">
        <v>0.18</v>
      </c>
      <c r="P98" s="319">
        <v>0.66</v>
      </c>
      <c r="Q98" s="320">
        <f t="shared" si="4"/>
        <v>7.6</v>
      </c>
      <c r="R98" s="319">
        <v>1.4</v>
      </c>
      <c r="S98" s="319">
        <f t="shared" si="7"/>
        <v>1.39</v>
      </c>
      <c r="T98" s="319">
        <f t="shared" si="8"/>
        <v>0.22</v>
      </c>
      <c r="U98" s="319">
        <v>0.12</v>
      </c>
      <c r="V98" s="321">
        <v>9</v>
      </c>
      <c r="W98" s="322">
        <v>1</v>
      </c>
      <c r="X98" s="323">
        <v>3</v>
      </c>
      <c r="Y98" s="326"/>
      <c r="Z98" s="326"/>
      <c r="AA98" s="326"/>
    </row>
    <row r="99" spans="2:29">
      <c r="B99" s="318" t="s">
        <v>100</v>
      </c>
      <c r="C99" s="319">
        <v>0.41</v>
      </c>
      <c r="D99" s="319">
        <v>1</v>
      </c>
      <c r="E99" s="320">
        <f t="shared" si="9"/>
        <v>8.1</v>
      </c>
      <c r="F99" s="319">
        <v>1.4</v>
      </c>
      <c r="G99" s="319">
        <f t="shared" si="5"/>
        <v>1.46</v>
      </c>
      <c r="H99" s="319">
        <f t="shared" si="6"/>
        <v>0.22</v>
      </c>
      <c r="I99" s="319">
        <v>0.12</v>
      </c>
      <c r="J99" s="321">
        <v>9.5</v>
      </c>
      <c r="K99" s="322">
        <v>2</v>
      </c>
      <c r="L99" s="323">
        <v>3</v>
      </c>
      <c r="M99" s="252"/>
      <c r="N99" s="318" t="s">
        <v>100</v>
      </c>
      <c r="O99" s="319">
        <v>0.18</v>
      </c>
      <c r="P99" s="319">
        <v>0.66</v>
      </c>
      <c r="Q99" s="320">
        <f t="shared" si="4"/>
        <v>8.1</v>
      </c>
      <c r="R99" s="319">
        <v>1.4</v>
      </c>
      <c r="S99" s="319">
        <f t="shared" si="7"/>
        <v>1.46</v>
      </c>
      <c r="T99" s="319">
        <f t="shared" si="8"/>
        <v>0.22</v>
      </c>
      <c r="U99" s="319">
        <v>0.12</v>
      </c>
      <c r="V99" s="321">
        <v>9.5</v>
      </c>
      <c r="W99" s="322">
        <v>1</v>
      </c>
      <c r="X99" s="323">
        <v>3</v>
      </c>
      <c r="Y99" s="326"/>
      <c r="Z99" s="326"/>
      <c r="AA99" s="326"/>
    </row>
    <row r="100" spans="2:29">
      <c r="B100" s="318" t="s">
        <v>101</v>
      </c>
      <c r="C100" s="319">
        <v>0.41</v>
      </c>
      <c r="D100" s="319">
        <v>1</v>
      </c>
      <c r="E100" s="320">
        <f t="shared" si="9"/>
        <v>8.6</v>
      </c>
      <c r="F100" s="319">
        <v>1.4</v>
      </c>
      <c r="G100" s="319">
        <f t="shared" si="5"/>
        <v>1.54</v>
      </c>
      <c r="H100" s="319">
        <f t="shared" si="6"/>
        <v>0.22</v>
      </c>
      <c r="I100" s="319">
        <v>0.12</v>
      </c>
      <c r="J100" s="321">
        <v>10</v>
      </c>
      <c r="K100" s="322">
        <v>2</v>
      </c>
      <c r="L100" s="323">
        <v>3</v>
      </c>
      <c r="M100" s="252"/>
      <c r="N100" s="318" t="s">
        <v>101</v>
      </c>
      <c r="O100" s="319">
        <v>0.18</v>
      </c>
      <c r="P100" s="319">
        <v>0.66</v>
      </c>
      <c r="Q100" s="320">
        <f t="shared" si="4"/>
        <v>8.6</v>
      </c>
      <c r="R100" s="319">
        <v>1.4</v>
      </c>
      <c r="S100" s="319">
        <f t="shared" si="7"/>
        <v>1.54</v>
      </c>
      <c r="T100" s="319">
        <f t="shared" si="8"/>
        <v>0.22</v>
      </c>
      <c r="U100" s="319">
        <v>0.12</v>
      </c>
      <c r="V100" s="321">
        <v>10</v>
      </c>
      <c r="W100" s="322">
        <v>1</v>
      </c>
      <c r="X100" s="323">
        <v>3</v>
      </c>
      <c r="Y100" s="326"/>
      <c r="Z100" s="326"/>
      <c r="AA100" s="326"/>
    </row>
    <row r="101" spans="2:29">
      <c r="B101" s="318" t="s">
        <v>102</v>
      </c>
      <c r="C101" s="319">
        <v>0.41</v>
      </c>
      <c r="D101" s="319">
        <v>1</v>
      </c>
      <c r="E101" s="320">
        <f t="shared" si="9"/>
        <v>9.1</v>
      </c>
      <c r="F101" s="319">
        <v>1.4</v>
      </c>
      <c r="G101" s="319">
        <f t="shared" si="5"/>
        <v>1.62</v>
      </c>
      <c r="H101" s="319">
        <f t="shared" si="6"/>
        <v>0.22</v>
      </c>
      <c r="I101" s="319">
        <v>0.12</v>
      </c>
      <c r="J101" s="324">
        <v>10.5</v>
      </c>
      <c r="K101" s="322">
        <v>2</v>
      </c>
      <c r="L101" s="323">
        <v>3</v>
      </c>
      <c r="M101" s="252"/>
      <c r="N101" s="318" t="s">
        <v>102</v>
      </c>
      <c r="O101" s="319">
        <v>0.18</v>
      </c>
      <c r="P101" s="319">
        <v>0.66</v>
      </c>
      <c r="Q101" s="320">
        <f t="shared" si="4"/>
        <v>9.1</v>
      </c>
      <c r="R101" s="319">
        <v>1.4</v>
      </c>
      <c r="S101" s="319">
        <f t="shared" si="7"/>
        <v>1.62</v>
      </c>
      <c r="T101" s="319">
        <f t="shared" si="8"/>
        <v>0.22</v>
      </c>
      <c r="U101" s="319">
        <v>0.12</v>
      </c>
      <c r="V101" s="324">
        <v>10.5</v>
      </c>
      <c r="W101" s="322">
        <v>1</v>
      </c>
      <c r="X101" s="323">
        <v>3</v>
      </c>
      <c r="Y101" s="326"/>
      <c r="Z101" s="326"/>
      <c r="AA101" s="326"/>
    </row>
    <row r="102" spans="2:29">
      <c r="B102" s="318" t="s">
        <v>103</v>
      </c>
      <c r="C102" s="319">
        <v>0.41</v>
      </c>
      <c r="D102" s="319">
        <v>1</v>
      </c>
      <c r="E102" s="320">
        <f t="shared" si="9"/>
        <v>9.6</v>
      </c>
      <c r="F102" s="319">
        <v>1.4</v>
      </c>
      <c r="G102" s="319">
        <f t="shared" si="5"/>
        <v>1.69</v>
      </c>
      <c r="H102" s="319">
        <f t="shared" si="6"/>
        <v>0.22</v>
      </c>
      <c r="I102" s="319">
        <v>0.12</v>
      </c>
      <c r="J102" s="324">
        <v>11</v>
      </c>
      <c r="K102" s="322">
        <v>2</v>
      </c>
      <c r="L102" s="323">
        <v>3</v>
      </c>
      <c r="M102" s="252"/>
      <c r="N102" s="318" t="s">
        <v>103</v>
      </c>
      <c r="O102" s="319">
        <v>0.18</v>
      </c>
      <c r="P102" s="319">
        <v>0.66</v>
      </c>
      <c r="Q102" s="320">
        <f t="shared" si="4"/>
        <v>9.6</v>
      </c>
      <c r="R102" s="319">
        <v>1.4</v>
      </c>
      <c r="S102" s="319">
        <f t="shared" si="7"/>
        <v>1.69</v>
      </c>
      <c r="T102" s="319">
        <f t="shared" si="8"/>
        <v>0.22</v>
      </c>
      <c r="U102" s="319">
        <v>0.12</v>
      </c>
      <c r="V102" s="324">
        <v>11</v>
      </c>
      <c r="W102" s="322">
        <v>1</v>
      </c>
      <c r="X102" s="323">
        <v>3</v>
      </c>
      <c r="Y102" s="326"/>
      <c r="Z102" s="326"/>
      <c r="AA102" s="326"/>
    </row>
    <row r="103" spans="2:29">
      <c r="B103" s="318" t="s">
        <v>104</v>
      </c>
      <c r="C103" s="319">
        <v>0.41</v>
      </c>
      <c r="D103" s="319">
        <v>1</v>
      </c>
      <c r="E103" s="320">
        <f t="shared" si="9"/>
        <v>10.1</v>
      </c>
      <c r="F103" s="319">
        <v>1.4</v>
      </c>
      <c r="G103" s="319">
        <f t="shared" si="5"/>
        <v>1.77</v>
      </c>
      <c r="H103" s="319">
        <f t="shared" si="6"/>
        <v>0.22</v>
      </c>
      <c r="I103" s="319">
        <v>0.12</v>
      </c>
      <c r="J103" s="324">
        <v>11.5</v>
      </c>
      <c r="K103" s="322">
        <v>2</v>
      </c>
      <c r="L103" s="323">
        <v>3</v>
      </c>
      <c r="M103" s="252"/>
      <c r="N103" s="318" t="s">
        <v>104</v>
      </c>
      <c r="O103" s="319">
        <v>0.18</v>
      </c>
      <c r="P103" s="319">
        <v>0.66</v>
      </c>
      <c r="Q103" s="320">
        <f t="shared" si="4"/>
        <v>10.1</v>
      </c>
      <c r="R103" s="319">
        <v>1.4</v>
      </c>
      <c r="S103" s="319">
        <f t="shared" si="7"/>
        <v>1.77</v>
      </c>
      <c r="T103" s="319">
        <f t="shared" si="8"/>
        <v>0.22</v>
      </c>
      <c r="U103" s="319">
        <v>0.12</v>
      </c>
      <c r="V103" s="324">
        <v>11.5</v>
      </c>
      <c r="W103" s="322">
        <v>1</v>
      </c>
      <c r="X103" s="323">
        <v>3</v>
      </c>
      <c r="Y103" s="326"/>
      <c r="Z103" s="326"/>
      <c r="AA103" s="326"/>
    </row>
    <row r="104" spans="2:29">
      <c r="B104" s="318" t="s">
        <v>105</v>
      </c>
      <c r="C104" s="319">
        <v>0.41</v>
      </c>
      <c r="D104" s="319">
        <v>1</v>
      </c>
      <c r="E104" s="320">
        <f t="shared" si="9"/>
        <v>10.6</v>
      </c>
      <c r="F104" s="319">
        <v>1.4</v>
      </c>
      <c r="G104" s="319">
        <f t="shared" si="5"/>
        <v>1.85</v>
      </c>
      <c r="H104" s="319">
        <f t="shared" si="6"/>
        <v>0.22</v>
      </c>
      <c r="I104" s="319">
        <v>0.12</v>
      </c>
      <c r="J104" s="324">
        <v>12</v>
      </c>
      <c r="K104" s="322">
        <v>2</v>
      </c>
      <c r="L104" s="323">
        <v>3</v>
      </c>
      <c r="M104" s="252"/>
      <c r="N104" s="318" t="s">
        <v>105</v>
      </c>
      <c r="O104" s="319">
        <v>0.18</v>
      </c>
      <c r="P104" s="319">
        <v>0.66</v>
      </c>
      <c r="Q104" s="320">
        <f t="shared" si="4"/>
        <v>10.6</v>
      </c>
      <c r="R104" s="319">
        <v>1.4</v>
      </c>
      <c r="S104" s="319">
        <f t="shared" si="7"/>
        <v>1.85</v>
      </c>
      <c r="T104" s="319">
        <f t="shared" si="8"/>
        <v>0.22</v>
      </c>
      <c r="U104" s="319">
        <v>0.12</v>
      </c>
      <c r="V104" s="324">
        <v>12</v>
      </c>
      <c r="W104" s="322">
        <v>1</v>
      </c>
      <c r="X104" s="323">
        <v>3</v>
      </c>
      <c r="Y104" s="326"/>
      <c r="Z104" s="326"/>
      <c r="AA104" s="326"/>
      <c r="AB104" s="326"/>
      <c r="AC104" s="326"/>
    </row>
    <row r="105" spans="2:29">
      <c r="B105" s="318" t="s">
        <v>106</v>
      </c>
      <c r="C105" s="319">
        <v>0.41</v>
      </c>
      <c r="D105" s="319">
        <v>1</v>
      </c>
      <c r="E105" s="320">
        <f t="shared" si="9"/>
        <v>11.1</v>
      </c>
      <c r="F105" s="319">
        <v>1.4</v>
      </c>
      <c r="G105" s="319">
        <f t="shared" si="5"/>
        <v>1.93</v>
      </c>
      <c r="H105" s="319">
        <f t="shared" si="6"/>
        <v>0.22</v>
      </c>
      <c r="I105" s="319">
        <v>0.12</v>
      </c>
      <c r="J105" s="324">
        <v>12.5</v>
      </c>
      <c r="K105" s="322">
        <v>2</v>
      </c>
      <c r="L105" s="323">
        <v>3</v>
      </c>
      <c r="M105" s="252"/>
      <c r="N105" s="318" t="s">
        <v>106</v>
      </c>
      <c r="O105" s="319">
        <v>0.18</v>
      </c>
      <c r="P105" s="319">
        <v>0.66</v>
      </c>
      <c r="Q105" s="320">
        <f t="shared" si="4"/>
        <v>11.1</v>
      </c>
      <c r="R105" s="319">
        <v>1.4</v>
      </c>
      <c r="S105" s="319">
        <f t="shared" si="7"/>
        <v>1.93</v>
      </c>
      <c r="T105" s="319">
        <f t="shared" si="8"/>
        <v>0.22</v>
      </c>
      <c r="U105" s="319">
        <v>0.12</v>
      </c>
      <c r="V105" s="324">
        <v>12.5</v>
      </c>
      <c r="W105" s="322">
        <v>1</v>
      </c>
      <c r="X105" s="323">
        <v>3</v>
      </c>
      <c r="Y105" s="326"/>
      <c r="Z105" s="326"/>
      <c r="AA105" s="326"/>
      <c r="AB105" s="326"/>
      <c r="AC105" s="326"/>
    </row>
    <row r="106" spans="2:29">
      <c r="B106" s="318" t="s">
        <v>107</v>
      </c>
      <c r="C106" s="319">
        <v>0.41</v>
      </c>
      <c r="D106" s="319">
        <v>1</v>
      </c>
      <c r="E106" s="320">
        <f t="shared" si="9"/>
        <v>11.6</v>
      </c>
      <c r="F106" s="319">
        <v>1.4</v>
      </c>
      <c r="G106" s="319">
        <f t="shared" si="5"/>
        <v>2</v>
      </c>
      <c r="H106" s="319">
        <f t="shared" si="6"/>
        <v>0.22</v>
      </c>
      <c r="I106" s="319">
        <v>0.12</v>
      </c>
      <c r="J106" s="324">
        <v>13</v>
      </c>
      <c r="K106" s="322">
        <v>2</v>
      </c>
      <c r="L106" s="323">
        <v>3</v>
      </c>
      <c r="M106" s="252"/>
      <c r="N106" s="318" t="s">
        <v>107</v>
      </c>
      <c r="O106" s="319">
        <v>0.18</v>
      </c>
      <c r="P106" s="319">
        <v>0.66</v>
      </c>
      <c r="Q106" s="320">
        <f t="shared" si="4"/>
        <v>11.6</v>
      </c>
      <c r="R106" s="319">
        <v>1.4</v>
      </c>
      <c r="S106" s="319">
        <f t="shared" si="7"/>
        <v>2</v>
      </c>
      <c r="T106" s="319">
        <f t="shared" si="8"/>
        <v>0.22</v>
      </c>
      <c r="U106" s="319">
        <v>0.12</v>
      </c>
      <c r="V106" s="324">
        <v>13</v>
      </c>
      <c r="W106" s="322">
        <v>1</v>
      </c>
      <c r="X106" s="323">
        <v>3</v>
      </c>
      <c r="Y106" s="326"/>
      <c r="Z106" s="326"/>
      <c r="AA106" s="326"/>
      <c r="AB106" s="326"/>
      <c r="AC106" s="326"/>
    </row>
    <row r="107" spans="2:29">
      <c r="B107" s="318" t="s">
        <v>108</v>
      </c>
      <c r="C107" s="319">
        <v>0.41</v>
      </c>
      <c r="D107" s="319">
        <v>1</v>
      </c>
      <c r="E107" s="320">
        <f t="shared" si="9"/>
        <v>12.1</v>
      </c>
      <c r="F107" s="319">
        <v>1.4</v>
      </c>
      <c r="G107" s="319">
        <f t="shared" si="5"/>
        <v>2.08</v>
      </c>
      <c r="H107" s="319">
        <f t="shared" si="6"/>
        <v>0.22</v>
      </c>
      <c r="I107" s="319">
        <v>0.12</v>
      </c>
      <c r="J107" s="324">
        <v>13.5</v>
      </c>
      <c r="K107" s="322">
        <v>2</v>
      </c>
      <c r="L107" s="323">
        <v>3</v>
      </c>
      <c r="M107" s="252"/>
      <c r="N107" s="318" t="s">
        <v>108</v>
      </c>
      <c r="O107" s="319">
        <v>0.18</v>
      </c>
      <c r="P107" s="319">
        <v>0.66</v>
      </c>
      <c r="Q107" s="320">
        <f t="shared" si="4"/>
        <v>12.1</v>
      </c>
      <c r="R107" s="319">
        <v>1.4</v>
      </c>
      <c r="S107" s="319">
        <f t="shared" si="7"/>
        <v>2.08</v>
      </c>
      <c r="T107" s="319">
        <f t="shared" si="8"/>
        <v>0.22</v>
      </c>
      <c r="U107" s="319">
        <v>0.12</v>
      </c>
      <c r="V107" s="324">
        <v>13.5</v>
      </c>
      <c r="W107" s="322">
        <v>1</v>
      </c>
      <c r="X107" s="323">
        <v>3</v>
      </c>
      <c r="Y107" s="326"/>
      <c r="Z107" s="326"/>
      <c r="AA107" s="326"/>
      <c r="AB107" s="326"/>
      <c r="AC107" s="326"/>
    </row>
    <row r="108" spans="2:29">
      <c r="B108" s="318" t="s">
        <v>109</v>
      </c>
      <c r="C108" s="319">
        <v>0.41</v>
      </c>
      <c r="D108" s="319">
        <v>1</v>
      </c>
      <c r="E108" s="320">
        <f t="shared" si="9"/>
        <v>12.6</v>
      </c>
      <c r="F108" s="319">
        <v>1.4</v>
      </c>
      <c r="G108" s="319">
        <f t="shared" si="5"/>
        <v>2.16</v>
      </c>
      <c r="H108" s="319">
        <f t="shared" si="6"/>
        <v>0.22</v>
      </c>
      <c r="I108" s="319">
        <v>0.12</v>
      </c>
      <c r="J108" s="324">
        <v>14</v>
      </c>
      <c r="K108" s="322">
        <v>2</v>
      </c>
      <c r="L108" s="323">
        <v>3</v>
      </c>
      <c r="M108" s="252"/>
      <c r="N108" s="318" t="s">
        <v>109</v>
      </c>
      <c r="O108" s="319">
        <v>0.18</v>
      </c>
      <c r="P108" s="319">
        <v>0.66</v>
      </c>
      <c r="Q108" s="320">
        <f t="shared" si="4"/>
        <v>12.6</v>
      </c>
      <c r="R108" s="319">
        <v>1.4</v>
      </c>
      <c r="S108" s="319">
        <f t="shared" si="7"/>
        <v>2.16</v>
      </c>
      <c r="T108" s="319">
        <f t="shared" si="8"/>
        <v>0.22</v>
      </c>
      <c r="U108" s="319">
        <v>0.12</v>
      </c>
      <c r="V108" s="324">
        <v>14</v>
      </c>
      <c r="W108" s="322">
        <v>1</v>
      </c>
      <c r="X108" s="323">
        <v>3</v>
      </c>
      <c r="Y108" s="326"/>
      <c r="Z108" s="326"/>
      <c r="AA108" s="326"/>
      <c r="AB108" s="326"/>
      <c r="AC108" s="326"/>
    </row>
    <row r="109" spans="2:29">
      <c r="B109" s="318" t="s">
        <v>110</v>
      </c>
      <c r="C109" s="319">
        <v>0.41</v>
      </c>
      <c r="D109" s="319">
        <v>1</v>
      </c>
      <c r="E109" s="320">
        <f t="shared" si="9"/>
        <v>13.1</v>
      </c>
      <c r="F109" s="319">
        <v>1.4</v>
      </c>
      <c r="G109" s="319">
        <f t="shared" si="5"/>
        <v>2.23</v>
      </c>
      <c r="H109" s="319">
        <f t="shared" si="6"/>
        <v>0.22</v>
      </c>
      <c r="I109" s="319">
        <v>0.12</v>
      </c>
      <c r="J109" s="324">
        <v>14.5</v>
      </c>
      <c r="K109" s="322">
        <v>2</v>
      </c>
      <c r="L109" s="323">
        <v>3</v>
      </c>
      <c r="M109" s="252"/>
      <c r="N109" s="318" t="s">
        <v>110</v>
      </c>
      <c r="O109" s="319">
        <v>0.18</v>
      </c>
      <c r="P109" s="319">
        <v>0.66</v>
      </c>
      <c r="Q109" s="320">
        <f t="shared" si="4"/>
        <v>13.1</v>
      </c>
      <c r="R109" s="319">
        <v>1.4</v>
      </c>
      <c r="S109" s="319">
        <f t="shared" si="7"/>
        <v>2.23</v>
      </c>
      <c r="T109" s="319">
        <f t="shared" si="8"/>
        <v>0.22</v>
      </c>
      <c r="U109" s="319">
        <v>0.12</v>
      </c>
      <c r="V109" s="324">
        <v>14.5</v>
      </c>
      <c r="W109" s="322">
        <v>1</v>
      </c>
      <c r="X109" s="323">
        <v>3</v>
      </c>
      <c r="Y109" s="326"/>
      <c r="Z109" s="326"/>
      <c r="AA109" s="326"/>
      <c r="AB109" s="326"/>
      <c r="AC109" s="326"/>
    </row>
    <row r="110" spans="2:29">
      <c r="B110" s="318" t="s">
        <v>111</v>
      </c>
      <c r="C110" s="319">
        <v>0.41</v>
      </c>
      <c r="D110" s="319">
        <v>1</v>
      </c>
      <c r="E110" s="320">
        <f t="shared" si="9"/>
        <v>13.6</v>
      </c>
      <c r="F110" s="319">
        <v>1.4</v>
      </c>
      <c r="G110" s="319">
        <f t="shared" si="5"/>
        <v>2.31</v>
      </c>
      <c r="H110" s="319">
        <f t="shared" si="6"/>
        <v>0.22</v>
      </c>
      <c r="I110" s="319">
        <v>0.12</v>
      </c>
      <c r="J110" s="324">
        <v>15</v>
      </c>
      <c r="K110" s="322">
        <v>2</v>
      </c>
      <c r="L110" s="323">
        <v>3</v>
      </c>
      <c r="M110" s="252"/>
      <c r="N110" s="318" t="s">
        <v>111</v>
      </c>
      <c r="O110" s="319">
        <v>0.18</v>
      </c>
      <c r="P110" s="319">
        <v>0.66</v>
      </c>
      <c r="Q110" s="320">
        <f t="shared" si="4"/>
        <v>13.6</v>
      </c>
      <c r="R110" s="319">
        <v>1.4</v>
      </c>
      <c r="S110" s="319">
        <f t="shared" si="7"/>
        <v>2.31</v>
      </c>
      <c r="T110" s="319">
        <f t="shared" si="8"/>
        <v>0.22</v>
      </c>
      <c r="U110" s="319">
        <v>0.12</v>
      </c>
      <c r="V110" s="324">
        <v>15</v>
      </c>
      <c r="W110" s="322">
        <v>1</v>
      </c>
      <c r="X110" s="323">
        <v>3</v>
      </c>
      <c r="Y110" s="326"/>
      <c r="Z110" s="326"/>
      <c r="AA110" s="326"/>
      <c r="AB110" s="326"/>
      <c r="AC110" s="326"/>
    </row>
    <row r="111" spans="2:29" ht="12.75" thickBot="1">
      <c r="B111" s="327" t="s">
        <v>112</v>
      </c>
      <c r="C111" s="328">
        <v>0.41</v>
      </c>
      <c r="D111" s="328">
        <v>1</v>
      </c>
      <c r="E111" s="329">
        <f t="shared" si="9"/>
        <v>14.1</v>
      </c>
      <c r="F111" s="328">
        <v>1.4</v>
      </c>
      <c r="G111" s="328">
        <f t="shared" si="5"/>
        <v>2.39</v>
      </c>
      <c r="H111" s="328">
        <f t="shared" si="6"/>
        <v>0.22</v>
      </c>
      <c r="I111" s="328">
        <v>0.12</v>
      </c>
      <c r="J111" s="330">
        <v>15.5</v>
      </c>
      <c r="K111" s="331">
        <v>2</v>
      </c>
      <c r="L111" s="332">
        <v>3</v>
      </c>
      <c r="M111" s="252"/>
      <c r="N111" s="333" t="s">
        <v>112</v>
      </c>
      <c r="O111" s="334">
        <v>0.18</v>
      </c>
      <c r="P111" s="334">
        <v>0.66</v>
      </c>
      <c r="Q111" s="335">
        <f t="shared" si="4"/>
        <v>14.1</v>
      </c>
      <c r="R111" s="334">
        <v>1.4</v>
      </c>
      <c r="S111" s="334">
        <f t="shared" si="7"/>
        <v>2.39</v>
      </c>
      <c r="T111" s="334">
        <f t="shared" si="8"/>
        <v>0.22</v>
      </c>
      <c r="U111" s="334">
        <v>0.12</v>
      </c>
      <c r="V111" s="343">
        <v>15.5</v>
      </c>
      <c r="W111" s="336">
        <v>1</v>
      </c>
      <c r="X111" s="337">
        <v>3</v>
      </c>
      <c r="Y111" s="326"/>
      <c r="Z111" s="326"/>
      <c r="AA111" s="326"/>
      <c r="AB111" s="326"/>
      <c r="AC111" s="326"/>
    </row>
    <row r="112" spans="2:29">
      <c r="G112" s="326"/>
      <c r="H112" s="326"/>
      <c r="I112" s="326"/>
      <c r="J112" s="326"/>
      <c r="K112" s="326"/>
      <c r="L112" s="326"/>
      <c r="M112" s="326"/>
      <c r="N112" s="252"/>
      <c r="O112" s="252"/>
      <c r="P112" s="326"/>
      <c r="Q112" s="326"/>
      <c r="R112" s="326"/>
      <c r="S112" s="326"/>
      <c r="T112" s="326"/>
      <c r="U112" s="326"/>
      <c r="V112" s="326"/>
      <c r="W112" s="326"/>
      <c r="X112" s="326"/>
    </row>
    <row r="113" spans="2:24" ht="12.75" thickBot="1">
      <c r="G113" s="326"/>
      <c r="H113" s="326"/>
      <c r="I113" s="326"/>
      <c r="J113" s="326"/>
      <c r="K113" s="326"/>
      <c r="L113" s="326"/>
      <c r="M113" s="326"/>
      <c r="N113" s="252"/>
      <c r="O113" s="252"/>
      <c r="P113" s="326"/>
      <c r="Q113" s="326"/>
      <c r="R113" s="326"/>
      <c r="S113" s="326"/>
      <c r="T113" s="326"/>
      <c r="U113" s="326"/>
      <c r="V113" s="326"/>
      <c r="W113" s="326"/>
      <c r="X113" s="326"/>
    </row>
    <row r="114" spans="2:24" ht="12.75" thickBot="1">
      <c r="B114" s="505" t="s">
        <v>298</v>
      </c>
      <c r="C114" s="506"/>
      <c r="D114" s="506"/>
      <c r="E114" s="506"/>
      <c r="F114" s="506"/>
      <c r="G114" s="506"/>
      <c r="H114" s="506"/>
      <c r="I114" s="506"/>
      <c r="J114" s="506"/>
      <c r="K114" s="506"/>
      <c r="L114" s="507"/>
      <c r="M114" s="326"/>
      <c r="N114" s="252"/>
      <c r="O114" s="252"/>
      <c r="P114" s="326"/>
      <c r="Q114" s="326"/>
      <c r="R114" s="326"/>
      <c r="S114" s="326"/>
      <c r="T114" s="326"/>
      <c r="U114" s="326"/>
      <c r="V114" s="326"/>
      <c r="W114" s="326"/>
      <c r="X114" s="326"/>
    </row>
    <row r="115" spans="2:24" ht="24">
      <c r="B115" s="338" t="s">
        <v>291</v>
      </c>
      <c r="C115" s="339" t="s">
        <v>210</v>
      </c>
      <c r="D115" s="157" t="s">
        <v>1</v>
      </c>
      <c r="E115" s="158" t="s">
        <v>64</v>
      </c>
      <c r="F115" s="158" t="s">
        <v>63</v>
      </c>
      <c r="G115" s="158" t="s">
        <v>5</v>
      </c>
      <c r="H115" s="158" t="s">
        <v>6</v>
      </c>
      <c r="I115" s="158" t="s">
        <v>7</v>
      </c>
      <c r="J115" s="159" t="s">
        <v>60</v>
      </c>
      <c r="K115" s="159" t="s">
        <v>11</v>
      </c>
      <c r="L115" s="160" t="s">
        <v>12</v>
      </c>
      <c r="M115" s="326"/>
      <c r="N115" s="252"/>
      <c r="O115" s="252"/>
      <c r="P115" s="326"/>
      <c r="Q115" s="326"/>
      <c r="R115" s="326"/>
      <c r="S115" s="326"/>
      <c r="T115" s="326"/>
      <c r="U115" s="326"/>
      <c r="V115" s="326"/>
      <c r="W115" s="326"/>
      <c r="X115" s="326"/>
    </row>
    <row r="116" spans="2:24">
      <c r="B116" s="340" t="s">
        <v>299</v>
      </c>
      <c r="C116" s="341">
        <v>0.09</v>
      </c>
      <c r="D116" s="319">
        <v>0.25</v>
      </c>
      <c r="E116" s="320">
        <f t="shared" ref="E116:E125" si="10">J116-F116</f>
        <v>1.6</v>
      </c>
      <c r="F116" s="319">
        <v>1.4</v>
      </c>
      <c r="G116" s="319">
        <f>ROUND(J116*$C$11,2)</f>
        <v>0.46</v>
      </c>
      <c r="H116" s="319">
        <f>ROUND(F116*$C$11,2)</f>
        <v>0.22</v>
      </c>
      <c r="I116" s="319">
        <v>0.03</v>
      </c>
      <c r="J116" s="321">
        <v>3</v>
      </c>
      <c r="K116" s="322">
        <v>1</v>
      </c>
      <c r="L116" s="323">
        <v>1</v>
      </c>
      <c r="M116" s="326"/>
      <c r="N116" s="252"/>
      <c r="O116" s="252"/>
      <c r="P116" s="326"/>
      <c r="Q116" s="326"/>
      <c r="R116" s="326"/>
      <c r="S116" s="326"/>
      <c r="T116" s="326"/>
      <c r="U116" s="326"/>
      <c r="V116" s="326"/>
      <c r="W116" s="326"/>
      <c r="X116" s="326"/>
    </row>
    <row r="117" spans="2:24">
      <c r="B117" s="318" t="s">
        <v>300</v>
      </c>
      <c r="C117" s="341">
        <v>0.09</v>
      </c>
      <c r="D117" s="319">
        <v>0.25</v>
      </c>
      <c r="E117" s="320">
        <f t="shared" si="10"/>
        <v>1.6</v>
      </c>
      <c r="F117" s="319">
        <v>1.4</v>
      </c>
      <c r="G117" s="319">
        <f>ROUND(J117*$C$11,2)</f>
        <v>0.46</v>
      </c>
      <c r="H117" s="319">
        <f>ROUND(F117*$C$11,2)</f>
        <v>0.22</v>
      </c>
      <c r="I117" s="319">
        <v>0.03</v>
      </c>
      <c r="J117" s="321">
        <v>3</v>
      </c>
      <c r="K117" s="322">
        <v>1</v>
      </c>
      <c r="L117" s="323">
        <v>1</v>
      </c>
      <c r="M117" s="326"/>
      <c r="N117" s="252"/>
      <c r="O117" s="252"/>
    </row>
    <row r="118" spans="2:24">
      <c r="B118" s="318" t="s">
        <v>89</v>
      </c>
      <c r="C118" s="341">
        <v>0.09</v>
      </c>
      <c r="D118" s="319">
        <v>0.25</v>
      </c>
      <c r="E118" s="320">
        <f t="shared" si="10"/>
        <v>2.1</v>
      </c>
      <c r="F118" s="319">
        <v>1.4</v>
      </c>
      <c r="G118" s="319">
        <f t="shared" ref="G118:G125" si="11">ROUND(J118*$C$11,2)</f>
        <v>0.54</v>
      </c>
      <c r="H118" s="319">
        <f t="shared" ref="H118:H125" si="12">ROUND(F118*$C$11,2)</f>
        <v>0.22</v>
      </c>
      <c r="I118" s="319">
        <v>0.03</v>
      </c>
      <c r="J118" s="321">
        <v>3.5</v>
      </c>
      <c r="K118" s="322">
        <v>1</v>
      </c>
      <c r="L118" s="323">
        <v>1</v>
      </c>
      <c r="M118" s="326"/>
      <c r="N118" s="252"/>
      <c r="O118" s="252"/>
    </row>
    <row r="119" spans="2:24">
      <c r="B119" s="318" t="s">
        <v>90</v>
      </c>
      <c r="C119" s="341">
        <v>0.09</v>
      </c>
      <c r="D119" s="319">
        <v>0.25</v>
      </c>
      <c r="E119" s="320">
        <f t="shared" si="10"/>
        <v>2.6</v>
      </c>
      <c r="F119" s="319">
        <v>1.4</v>
      </c>
      <c r="G119" s="319">
        <f t="shared" si="11"/>
        <v>0.62</v>
      </c>
      <c r="H119" s="319">
        <f t="shared" si="12"/>
        <v>0.22</v>
      </c>
      <c r="I119" s="319">
        <v>0.03</v>
      </c>
      <c r="J119" s="321">
        <v>4</v>
      </c>
      <c r="K119" s="322">
        <v>1</v>
      </c>
      <c r="L119" s="323">
        <v>1</v>
      </c>
      <c r="M119" s="326"/>
      <c r="N119" s="252"/>
      <c r="O119" s="252"/>
    </row>
    <row r="120" spans="2:24">
      <c r="B120" s="318" t="s">
        <v>91</v>
      </c>
      <c r="C120" s="341">
        <v>0.09</v>
      </c>
      <c r="D120" s="319">
        <v>0.25</v>
      </c>
      <c r="E120" s="320">
        <f t="shared" si="10"/>
        <v>3.1</v>
      </c>
      <c r="F120" s="319">
        <v>1.4</v>
      </c>
      <c r="G120" s="319">
        <f t="shared" si="11"/>
        <v>0.69</v>
      </c>
      <c r="H120" s="319">
        <f t="shared" si="12"/>
        <v>0.22</v>
      </c>
      <c r="I120" s="319">
        <v>0.03</v>
      </c>
      <c r="J120" s="321">
        <v>4.5</v>
      </c>
      <c r="K120" s="322">
        <v>1</v>
      </c>
      <c r="L120" s="323">
        <v>1</v>
      </c>
      <c r="M120" s="326"/>
      <c r="N120" s="252"/>
      <c r="O120" s="252"/>
    </row>
    <row r="121" spans="2:24">
      <c r="B121" s="318" t="s">
        <v>92</v>
      </c>
      <c r="C121" s="341">
        <v>0.09</v>
      </c>
      <c r="D121" s="319">
        <v>0.25</v>
      </c>
      <c r="E121" s="320">
        <f t="shared" si="10"/>
        <v>3.6</v>
      </c>
      <c r="F121" s="319">
        <v>1.4</v>
      </c>
      <c r="G121" s="319">
        <f t="shared" si="11"/>
        <v>0.77</v>
      </c>
      <c r="H121" s="319">
        <f t="shared" si="12"/>
        <v>0.22</v>
      </c>
      <c r="I121" s="319">
        <v>0.03</v>
      </c>
      <c r="J121" s="321">
        <v>5</v>
      </c>
      <c r="K121" s="322">
        <v>1</v>
      </c>
      <c r="L121" s="323">
        <v>1</v>
      </c>
      <c r="M121" s="326"/>
      <c r="N121" s="326"/>
    </row>
    <row r="122" spans="2:24">
      <c r="B122" s="318" t="s">
        <v>93</v>
      </c>
      <c r="C122" s="341">
        <v>0.09</v>
      </c>
      <c r="D122" s="319">
        <v>0.25</v>
      </c>
      <c r="E122" s="320">
        <f t="shared" si="10"/>
        <v>4.0999999999999996</v>
      </c>
      <c r="F122" s="319">
        <v>1.4</v>
      </c>
      <c r="G122" s="319">
        <f t="shared" si="11"/>
        <v>0.85</v>
      </c>
      <c r="H122" s="319">
        <f t="shared" si="12"/>
        <v>0.22</v>
      </c>
      <c r="I122" s="319">
        <v>0.03</v>
      </c>
      <c r="J122" s="321">
        <v>5.5</v>
      </c>
      <c r="K122" s="322">
        <v>1</v>
      </c>
      <c r="L122" s="323">
        <v>1</v>
      </c>
      <c r="M122" s="326"/>
      <c r="N122" s="326"/>
    </row>
    <row r="123" spans="2:24">
      <c r="B123" s="318" t="s">
        <v>213</v>
      </c>
      <c r="C123" s="341">
        <v>0.09</v>
      </c>
      <c r="D123" s="319">
        <v>0.25</v>
      </c>
      <c r="E123" s="320">
        <f t="shared" si="10"/>
        <v>4.5999999999999996</v>
      </c>
      <c r="F123" s="319">
        <v>1.4</v>
      </c>
      <c r="G123" s="319">
        <f t="shared" si="11"/>
        <v>0.92</v>
      </c>
      <c r="H123" s="319">
        <f t="shared" si="12"/>
        <v>0.22</v>
      </c>
      <c r="I123" s="319">
        <v>0.03</v>
      </c>
      <c r="J123" s="321">
        <v>6</v>
      </c>
      <c r="K123" s="322">
        <v>1</v>
      </c>
      <c r="L123" s="323">
        <v>1</v>
      </c>
      <c r="M123" s="326"/>
      <c r="N123" s="326"/>
    </row>
    <row r="124" spans="2:24">
      <c r="B124" s="318" t="s">
        <v>94</v>
      </c>
      <c r="C124" s="341">
        <v>0.09</v>
      </c>
      <c r="D124" s="319">
        <v>0.25</v>
      </c>
      <c r="E124" s="320">
        <f t="shared" si="10"/>
        <v>5.0999999999999996</v>
      </c>
      <c r="F124" s="319">
        <v>1.4</v>
      </c>
      <c r="G124" s="319">
        <f t="shared" si="11"/>
        <v>1</v>
      </c>
      <c r="H124" s="319">
        <f t="shared" si="12"/>
        <v>0.22</v>
      </c>
      <c r="I124" s="319">
        <v>0.03</v>
      </c>
      <c r="J124" s="321">
        <v>6.5</v>
      </c>
      <c r="K124" s="322">
        <v>1</v>
      </c>
      <c r="L124" s="323">
        <v>1</v>
      </c>
      <c r="M124" s="326"/>
      <c r="N124" s="326"/>
    </row>
    <row r="125" spans="2:24" ht="12.75" thickBot="1">
      <c r="B125" s="327" t="s">
        <v>95</v>
      </c>
      <c r="C125" s="342">
        <v>0.09</v>
      </c>
      <c r="D125" s="328">
        <v>0.25</v>
      </c>
      <c r="E125" s="329">
        <f t="shared" si="10"/>
        <v>5.6</v>
      </c>
      <c r="F125" s="328">
        <v>1.4</v>
      </c>
      <c r="G125" s="328">
        <f t="shared" si="11"/>
        <v>1.08</v>
      </c>
      <c r="H125" s="328">
        <f t="shared" si="12"/>
        <v>0.22</v>
      </c>
      <c r="I125" s="328">
        <v>0.03</v>
      </c>
      <c r="J125" s="344">
        <v>7</v>
      </c>
      <c r="K125" s="331">
        <v>1</v>
      </c>
      <c r="L125" s="332">
        <v>1</v>
      </c>
      <c r="M125" s="326"/>
      <c r="N125" s="326"/>
    </row>
  </sheetData>
  <sheetProtection selectLockedCells="1" selectUnlockedCells="1"/>
  <mergeCells count="6">
    <mergeCell ref="B60:L60"/>
    <mergeCell ref="N60:X60"/>
    <mergeCell ref="B114:L114"/>
    <mergeCell ref="F12:J12"/>
    <mergeCell ref="B18:J18"/>
    <mergeCell ref="L25:L26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1"/>
  <sheetViews>
    <sheetView workbookViewId="0">
      <pane xSplit="3" ySplit="1" topLeftCell="D242" activePane="bottomRight" state="frozen"/>
      <selection pane="topRight" activeCell="C1" sqref="C1"/>
      <selection pane="bottomLeft" activeCell="A2" sqref="A2"/>
      <selection pane="bottomRight" activeCell="G314" sqref="G314"/>
    </sheetView>
  </sheetViews>
  <sheetFormatPr defaultColWidth="9.140625" defaultRowHeight="12.75"/>
  <cols>
    <col min="1" max="2" width="13.5703125" style="203" customWidth="1"/>
    <col min="3" max="5" width="13.5703125" style="197" customWidth="1"/>
    <col min="6" max="16" width="13.5703125" style="203" customWidth="1"/>
    <col min="17" max="17" width="13.5703125" style="198" customWidth="1"/>
    <col min="18" max="31" width="13.5703125" style="203" customWidth="1"/>
    <col min="32" max="32" width="13.5703125" style="203" hidden="1" customWidth="1"/>
    <col min="33" max="72" width="13.5703125" style="203" customWidth="1"/>
    <col min="73" max="16384" width="9.140625" style="203"/>
  </cols>
  <sheetData>
    <row r="1" spans="1:37" s="195" customFormat="1" ht="26.25" customHeight="1">
      <c r="A1" s="195" t="s">
        <v>283</v>
      </c>
      <c r="B1" s="195" t="s">
        <v>304</v>
      </c>
      <c r="C1" s="195" t="s">
        <v>61</v>
      </c>
      <c r="D1" s="195" t="s">
        <v>281</v>
      </c>
      <c r="E1" s="195" t="s">
        <v>217</v>
      </c>
      <c r="F1" s="195" t="s">
        <v>218</v>
      </c>
      <c r="G1" s="195" t="s">
        <v>220</v>
      </c>
      <c r="H1" s="195" t="s">
        <v>219</v>
      </c>
      <c r="I1" s="195" t="s">
        <v>62</v>
      </c>
      <c r="J1" s="195" t="s">
        <v>221</v>
      </c>
      <c r="K1" s="195" t="s">
        <v>222</v>
      </c>
      <c r="L1" s="195" t="s">
        <v>223</v>
      </c>
      <c r="M1" s="195" t="s">
        <v>224</v>
      </c>
      <c r="N1" s="195" t="s">
        <v>225</v>
      </c>
      <c r="O1" s="195" t="s">
        <v>226</v>
      </c>
      <c r="P1" s="195" t="s">
        <v>227</v>
      </c>
      <c r="Q1" s="196" t="s">
        <v>228</v>
      </c>
      <c r="R1" s="195" t="s">
        <v>229</v>
      </c>
      <c r="S1" s="195" t="s">
        <v>230</v>
      </c>
      <c r="T1" s="195" t="s">
        <v>231</v>
      </c>
      <c r="U1" s="195" t="s">
        <v>232</v>
      </c>
      <c r="V1" s="195" t="s">
        <v>233</v>
      </c>
      <c r="W1" s="195" t="s">
        <v>234</v>
      </c>
      <c r="X1" s="195" t="s">
        <v>235</v>
      </c>
      <c r="Y1" s="195" t="s">
        <v>236</v>
      </c>
      <c r="Z1" s="195" t="s">
        <v>237</v>
      </c>
      <c r="AA1" s="195" t="s">
        <v>238</v>
      </c>
      <c r="AB1" s="195" t="s">
        <v>272</v>
      </c>
      <c r="AC1" s="195" t="s">
        <v>273</v>
      </c>
      <c r="AD1" s="195" t="s">
        <v>270</v>
      </c>
      <c r="AE1" s="195" t="s">
        <v>274</v>
      </c>
      <c r="AF1" s="195" t="s">
        <v>275</v>
      </c>
      <c r="AG1" s="195" t="s">
        <v>276</v>
      </c>
      <c r="AH1" s="195" t="s">
        <v>277</v>
      </c>
      <c r="AI1" s="195" t="s">
        <v>287</v>
      </c>
      <c r="AJ1" s="195" t="s">
        <v>278</v>
      </c>
      <c r="AK1" s="195" t="s">
        <v>279</v>
      </c>
    </row>
    <row r="2" spans="1:37">
      <c r="A2" s="197" t="s">
        <v>65</v>
      </c>
      <c r="B2" s="197" t="str">
        <f>CONCATENATE(LEFT(C2,1),LEFT(D2,1),MID(C2,2,4))</f>
        <v>B403.5</v>
      </c>
      <c r="C2" s="197" t="s">
        <v>65</v>
      </c>
      <c r="D2" s="197" t="s">
        <v>282</v>
      </c>
      <c r="E2" s="197">
        <f>VLOOKUP($C2,MasterData!$B$62:$L$111,2,FALSE)</f>
        <v>0.41</v>
      </c>
      <c r="F2" s="198">
        <f>ROUND(E2*MasterData!$C$3,2)</f>
        <v>21177.18</v>
      </c>
      <c r="G2" s="199">
        <f>VLOOKUP($C2,MasterData!$B$62:$L$111,3,FALSE)</f>
        <v>1</v>
      </c>
      <c r="H2" s="198">
        <f>ROUND(G2*MasterData!$D$3,2)</f>
        <v>41516.800000000003</v>
      </c>
      <c r="I2" s="199">
        <f>J2+L2</f>
        <v>3.5</v>
      </c>
      <c r="J2" s="199">
        <f>VLOOKUP($C2,MasterData!$B$62:$L$111,4,FALSE)</f>
        <v>2.1</v>
      </c>
      <c r="K2" s="198">
        <f>ROUND(J2*MasterData!$E$3,2)</f>
        <v>67616.639999999999</v>
      </c>
      <c r="L2" s="199">
        <f>VLOOKUP($C2,MasterData!$B$62:$L$111,5,FALSE)</f>
        <v>1.4</v>
      </c>
      <c r="M2" s="200">
        <f>ROUND(L2*MasterData!$F$3,2)</f>
        <v>41496</v>
      </c>
      <c r="N2" s="199">
        <f>VLOOKUP($C2,MasterData!$B$62:$L$111,6,FALSE)</f>
        <v>0.54</v>
      </c>
      <c r="O2" s="200">
        <f>ROUND(N2*MasterData!$G$3,2)</f>
        <v>17387.14</v>
      </c>
      <c r="P2" s="199">
        <f>VLOOKUP($C2,MasterData!$B$62:$L$111,7,FALSE)</f>
        <v>0.22</v>
      </c>
      <c r="Q2" s="198">
        <f>ROUND(P2*MasterData!$H$3,2)</f>
        <v>6520.8</v>
      </c>
      <c r="R2" s="199">
        <f>VLOOKUP($C2,MasterData!$B$62:$L$111,8,FALSE)</f>
        <v>0.12</v>
      </c>
      <c r="S2" s="200">
        <f>ROUND(R2*MasterData!$I$3,2)</f>
        <v>3863.81</v>
      </c>
      <c r="T2" s="201">
        <f>F2+H2+K2+M2+O2+Q2+S2</f>
        <v>199578.37</v>
      </c>
      <c r="U2" s="200">
        <f>ROUND(T2*MasterData!$C$29,2)</f>
        <v>44525.93</v>
      </c>
      <c r="V2" s="200">
        <f>ROUND(T2*MasterData!$J$29,2)</f>
        <v>738.44</v>
      </c>
      <c r="W2" s="201">
        <f>T2+U2</f>
        <v>244104.3</v>
      </c>
      <c r="X2" s="199">
        <f>VLOOKUP($C2,MasterData!$B$62:$L$111,10,FALSE)*52</f>
        <v>52</v>
      </c>
      <c r="Y2" s="200">
        <f>ROUND(X2*MasterData!$C$7,2)</f>
        <v>3138.72</v>
      </c>
      <c r="Z2" s="199">
        <f>VLOOKUP($C2,MasterData!$B$62:$L$111,11,FALSE)*52</f>
        <v>52</v>
      </c>
      <c r="AA2" s="200">
        <f>ROUND(Z2*MasterData!$D$7,2)</f>
        <v>2201.6799999999998</v>
      </c>
      <c r="AB2" s="201">
        <f>AA2+Y2</f>
        <v>5340.4</v>
      </c>
      <c r="AC2" s="202">
        <f>MasterData!$M$29</f>
        <v>17820.45943877551</v>
      </c>
      <c r="AD2" s="200">
        <f>MasterData!$D$29</f>
        <v>2233.8000000000002</v>
      </c>
      <c r="AE2" s="200">
        <f>MasterData!$E$29</f>
        <v>6471.45</v>
      </c>
      <c r="AF2" s="200">
        <f>MasterData!$F$29</f>
        <v>0</v>
      </c>
      <c r="AG2" s="201">
        <f t="shared" ref="AG2:AG65" si="0">W2+AB2+AC2+AD2+AE2+AF2</f>
        <v>275970.4094387755</v>
      </c>
      <c r="AH2" s="200">
        <f>ROUND(AG2*MasterData!$G$29,2)</f>
        <v>33116.449999999997</v>
      </c>
      <c r="AI2" s="200">
        <f>((AG2+AH2)*MasterData!$I$29)-'Model Calculator'!W2*MasterData!$I$29</f>
        <v>1156.6895580102046</v>
      </c>
      <c r="AJ2" s="201">
        <f t="shared" ref="AJ2:AJ65" si="1">AH2+AG2+AI2+V2</f>
        <v>310981.98899678572</v>
      </c>
      <c r="AK2" s="201">
        <f>ROUND(AJ2/347,2)</f>
        <v>896.2</v>
      </c>
    </row>
    <row r="3" spans="1:37">
      <c r="A3" s="197" t="s">
        <v>66</v>
      </c>
      <c r="B3" s="197" t="str">
        <f t="shared" ref="B3:B51" si="2">CONCATENATE(LEFT(C3,1),LEFT(D3,1),MID(C3,2,4))</f>
        <v>B404.0</v>
      </c>
      <c r="C3" s="197" t="s">
        <v>66</v>
      </c>
      <c r="D3" s="197" t="s">
        <v>282</v>
      </c>
      <c r="E3" s="197">
        <f>VLOOKUP($C3,MasterData!$B$62:$L$111,2,FALSE)</f>
        <v>0.41</v>
      </c>
      <c r="F3" s="198">
        <f>ROUND(E3*MasterData!$C$3,2)</f>
        <v>21177.18</v>
      </c>
      <c r="G3" s="199">
        <f>VLOOKUP($C3,MasterData!$B$62:$L$111,3,FALSE)</f>
        <v>1</v>
      </c>
      <c r="H3" s="198">
        <f>ROUND(G3*MasterData!$D$3,2)</f>
        <v>41516.800000000003</v>
      </c>
      <c r="I3" s="199">
        <f t="shared" ref="I3:I66" si="3">J3+L3</f>
        <v>4</v>
      </c>
      <c r="J3" s="199">
        <f>VLOOKUP($C3,MasterData!$B$62:$L$111,4,FALSE)</f>
        <v>2.6</v>
      </c>
      <c r="K3" s="198">
        <f>ROUND(J3*MasterData!$E$3,2)</f>
        <v>83715.839999999997</v>
      </c>
      <c r="L3" s="199">
        <f>VLOOKUP($C3,MasterData!$B$62:$L$111,5,FALSE)</f>
        <v>1.4</v>
      </c>
      <c r="M3" s="200">
        <f>ROUND(L3*MasterData!$F$3,2)</f>
        <v>41496</v>
      </c>
      <c r="N3" s="199">
        <f>VLOOKUP($C3,MasterData!$B$62:$L$111,6,FALSE)</f>
        <v>0.62</v>
      </c>
      <c r="O3" s="200">
        <f>ROUND(N3*MasterData!$G$3,2)</f>
        <v>19963.009999999998</v>
      </c>
      <c r="P3" s="199">
        <f>VLOOKUP($C3,MasterData!$B$62:$L$111,7,FALSE)</f>
        <v>0.22</v>
      </c>
      <c r="Q3" s="198">
        <f>ROUND(P3*MasterData!$H$3,2)</f>
        <v>6520.8</v>
      </c>
      <c r="R3" s="199">
        <f>VLOOKUP($C3,MasterData!$B$62:$L$111,8,FALSE)</f>
        <v>0.12</v>
      </c>
      <c r="S3" s="200">
        <f>ROUND(R3*MasterData!$I$3,2)</f>
        <v>3863.81</v>
      </c>
      <c r="T3" s="201">
        <f t="shared" ref="T3:T66" si="4">F3+H3+K3+M3+O3+Q3+S3</f>
        <v>218253.44</v>
      </c>
      <c r="U3" s="200">
        <f>ROUND(T3*MasterData!$C$29,2)</f>
        <v>48692.34</v>
      </c>
      <c r="V3" s="200">
        <f>ROUND(T3*MasterData!$J$29,2)</f>
        <v>807.54</v>
      </c>
      <c r="W3" s="201">
        <f t="shared" ref="W3:W66" si="5">T3+U3</f>
        <v>266945.78000000003</v>
      </c>
      <c r="X3" s="199">
        <f>VLOOKUP($C3,MasterData!$B$62:$L$111,10,FALSE)*52</f>
        <v>52</v>
      </c>
      <c r="Y3" s="200">
        <f>ROUND(X3*MasterData!$C$7,2)</f>
        <v>3138.72</v>
      </c>
      <c r="Z3" s="199">
        <f>VLOOKUP($C3,MasterData!$B$62:$L$111,11,FALSE)*52</f>
        <v>52</v>
      </c>
      <c r="AA3" s="200">
        <f>ROUND(Z3*MasterData!$D$7,2)</f>
        <v>2201.6799999999998</v>
      </c>
      <c r="AB3" s="201">
        <f t="shared" ref="AB3:AB66" si="6">AA3+Y3</f>
        <v>5340.4</v>
      </c>
      <c r="AC3" s="202">
        <f>MasterData!$M$29</f>
        <v>17820.45943877551</v>
      </c>
      <c r="AD3" s="200">
        <f>MasterData!$D$29</f>
        <v>2233.8000000000002</v>
      </c>
      <c r="AE3" s="200">
        <f>MasterData!$E$29</f>
        <v>6471.45</v>
      </c>
      <c r="AF3" s="200">
        <f>MasterData!$F$29</f>
        <v>0</v>
      </c>
      <c r="AG3" s="201">
        <f t="shared" si="0"/>
        <v>298811.88943877554</v>
      </c>
      <c r="AH3" s="200">
        <f>ROUND(AG3*MasterData!$G$29,2)</f>
        <v>35857.43</v>
      </c>
      <c r="AI3" s="200">
        <f>((AG3+AH3)*MasterData!$I$29)-'Model Calculator'!W3*MasterData!$I$29</f>
        <v>1205.4790020102046</v>
      </c>
      <c r="AJ3" s="201">
        <f t="shared" si="1"/>
        <v>336682.33844078571</v>
      </c>
      <c r="AK3" s="201">
        <f t="shared" ref="AK3:AK66" si="7">ROUND(AJ3/347,2)</f>
        <v>970.27</v>
      </c>
    </row>
    <row r="4" spans="1:37">
      <c r="A4" s="197" t="s">
        <v>67</v>
      </c>
      <c r="B4" s="197" t="str">
        <f t="shared" si="2"/>
        <v>B404.5</v>
      </c>
      <c r="C4" s="197" t="s">
        <v>67</v>
      </c>
      <c r="D4" s="197" t="s">
        <v>282</v>
      </c>
      <c r="E4" s="197">
        <f>VLOOKUP($C4,MasterData!$B$62:$L$111,2,FALSE)</f>
        <v>0.41</v>
      </c>
      <c r="F4" s="198">
        <f>ROUND(E4*MasterData!$C$3,2)</f>
        <v>21177.18</v>
      </c>
      <c r="G4" s="199">
        <f>VLOOKUP($C4,MasterData!$B$62:$L$111,3,FALSE)</f>
        <v>1</v>
      </c>
      <c r="H4" s="198">
        <f>ROUND(G4*MasterData!$D$3,2)</f>
        <v>41516.800000000003</v>
      </c>
      <c r="I4" s="199">
        <f t="shared" si="3"/>
        <v>4.5</v>
      </c>
      <c r="J4" s="199">
        <f>VLOOKUP($C4,MasterData!$B$62:$L$111,4,FALSE)</f>
        <v>3.1</v>
      </c>
      <c r="K4" s="198">
        <f>ROUND(J4*MasterData!$E$3,2)</f>
        <v>99815.039999999994</v>
      </c>
      <c r="L4" s="199">
        <f>VLOOKUP($C4,MasterData!$B$62:$L$111,5,FALSE)</f>
        <v>1.4</v>
      </c>
      <c r="M4" s="200">
        <f>ROUND(L4*MasterData!$F$3,2)</f>
        <v>41496</v>
      </c>
      <c r="N4" s="199">
        <f>VLOOKUP($C4,MasterData!$B$62:$L$111,6,FALSE)</f>
        <v>0.69</v>
      </c>
      <c r="O4" s="200">
        <f>ROUND(N4*MasterData!$G$3,2)</f>
        <v>22216.9</v>
      </c>
      <c r="P4" s="199">
        <f>VLOOKUP($C4,MasterData!$B$62:$L$111,7,FALSE)</f>
        <v>0.22</v>
      </c>
      <c r="Q4" s="198">
        <f>ROUND(P4*MasterData!$H$3,2)</f>
        <v>6520.8</v>
      </c>
      <c r="R4" s="199">
        <f>VLOOKUP($C4,MasterData!$B$62:$L$111,8,FALSE)</f>
        <v>0.12</v>
      </c>
      <c r="S4" s="200">
        <f>ROUND(R4*MasterData!$I$3,2)</f>
        <v>3863.81</v>
      </c>
      <c r="T4" s="201">
        <f t="shared" si="4"/>
        <v>236606.52999999997</v>
      </c>
      <c r="U4" s="200">
        <f>ROUND(T4*MasterData!$C$29,2)</f>
        <v>52786.92</v>
      </c>
      <c r="V4" s="200">
        <f>ROUND(T4*MasterData!$J$29,2)</f>
        <v>875.44</v>
      </c>
      <c r="W4" s="201">
        <f t="shared" si="5"/>
        <v>289393.44999999995</v>
      </c>
      <c r="X4" s="199">
        <f>VLOOKUP($C4,MasterData!$B$62:$L$111,10,FALSE)*52</f>
        <v>52</v>
      </c>
      <c r="Y4" s="200">
        <f>ROUND(X4*MasterData!$C$7,2)</f>
        <v>3138.72</v>
      </c>
      <c r="Z4" s="199">
        <f>VLOOKUP($C4,MasterData!$B$62:$L$111,11,FALSE)*52</f>
        <v>52</v>
      </c>
      <c r="AA4" s="200">
        <f>ROUND(Z4*MasterData!$D$7,2)</f>
        <v>2201.6799999999998</v>
      </c>
      <c r="AB4" s="201">
        <f t="shared" si="6"/>
        <v>5340.4</v>
      </c>
      <c r="AC4" s="202">
        <f>MasterData!$M$29</f>
        <v>17820.45943877551</v>
      </c>
      <c r="AD4" s="200">
        <f>MasterData!$D$29</f>
        <v>2233.8000000000002</v>
      </c>
      <c r="AE4" s="200">
        <f>MasterData!$E$29</f>
        <v>6471.45</v>
      </c>
      <c r="AF4" s="200">
        <f>MasterData!$F$29</f>
        <v>0</v>
      </c>
      <c r="AG4" s="201">
        <f t="shared" si="0"/>
        <v>321259.55943877547</v>
      </c>
      <c r="AH4" s="200">
        <f>ROUND(AG4*MasterData!$G$29,2)</f>
        <v>38551.15</v>
      </c>
      <c r="AI4" s="200">
        <f>((AG4+AH4)*MasterData!$I$29)-'Model Calculator'!W4*MasterData!$I$29</f>
        <v>1253.4272180102043</v>
      </c>
      <c r="AJ4" s="201">
        <f t="shared" si="1"/>
        <v>361939.57665678568</v>
      </c>
      <c r="AK4" s="201">
        <f t="shared" si="7"/>
        <v>1043.05</v>
      </c>
    </row>
    <row r="5" spans="1:37">
      <c r="A5" s="197" t="s">
        <v>68</v>
      </c>
      <c r="B5" s="197" t="str">
        <f t="shared" si="2"/>
        <v>B405.0</v>
      </c>
      <c r="C5" s="197" t="s">
        <v>68</v>
      </c>
      <c r="D5" s="197" t="s">
        <v>282</v>
      </c>
      <c r="E5" s="197">
        <f>VLOOKUP($C5,MasterData!$B$62:$L$111,2,FALSE)</f>
        <v>0.41</v>
      </c>
      <c r="F5" s="198">
        <f>ROUND(E5*MasterData!$C$3,2)</f>
        <v>21177.18</v>
      </c>
      <c r="G5" s="199">
        <f>VLOOKUP($C5,MasterData!$B$62:$L$111,3,FALSE)</f>
        <v>1</v>
      </c>
      <c r="H5" s="198">
        <f>ROUND(G5*MasterData!$D$3,2)</f>
        <v>41516.800000000003</v>
      </c>
      <c r="I5" s="199">
        <f t="shared" si="3"/>
        <v>5</v>
      </c>
      <c r="J5" s="199">
        <f>VLOOKUP($C5,MasterData!$B$62:$L$111,4,FALSE)</f>
        <v>3.6</v>
      </c>
      <c r="K5" s="198">
        <f>ROUND(J5*MasterData!$E$3,2)</f>
        <v>115914.24000000001</v>
      </c>
      <c r="L5" s="199">
        <f>VLOOKUP($C5,MasterData!$B$62:$L$111,5,FALSE)</f>
        <v>1.4</v>
      </c>
      <c r="M5" s="200">
        <f>ROUND(L5*MasterData!$F$3,2)</f>
        <v>41496</v>
      </c>
      <c r="N5" s="199">
        <f>VLOOKUP($C5,MasterData!$B$62:$L$111,6,FALSE)</f>
        <v>0.77</v>
      </c>
      <c r="O5" s="200">
        <f>ROUND(N5*MasterData!$G$3,2)</f>
        <v>24792.77</v>
      </c>
      <c r="P5" s="199">
        <f>VLOOKUP($C5,MasterData!$B$62:$L$111,7,FALSE)</f>
        <v>0.22</v>
      </c>
      <c r="Q5" s="198">
        <f>ROUND(P5*MasterData!$H$3,2)</f>
        <v>6520.8</v>
      </c>
      <c r="R5" s="199">
        <f>VLOOKUP($C5,MasterData!$B$62:$L$111,8,FALSE)</f>
        <v>0.12</v>
      </c>
      <c r="S5" s="200">
        <f>ROUND(R5*MasterData!$I$3,2)</f>
        <v>3863.81</v>
      </c>
      <c r="T5" s="201">
        <f t="shared" si="4"/>
        <v>255281.59999999998</v>
      </c>
      <c r="U5" s="200">
        <f>ROUND(T5*MasterData!$C$29,2)</f>
        <v>56953.32</v>
      </c>
      <c r="V5" s="200">
        <f>ROUND(T5*MasterData!$J$29,2)</f>
        <v>944.54</v>
      </c>
      <c r="W5" s="201">
        <f t="shared" si="5"/>
        <v>312234.92</v>
      </c>
      <c r="X5" s="199">
        <f>VLOOKUP($C5,MasterData!$B$62:$L$111,10,FALSE)*52</f>
        <v>52</v>
      </c>
      <c r="Y5" s="200">
        <f>ROUND(X5*MasterData!$C$7,2)</f>
        <v>3138.72</v>
      </c>
      <c r="Z5" s="199">
        <f>VLOOKUP($C5,MasterData!$B$62:$L$111,11,FALSE)*52</f>
        <v>52</v>
      </c>
      <c r="AA5" s="200">
        <f>ROUND(Z5*MasterData!$D$7,2)</f>
        <v>2201.6799999999998</v>
      </c>
      <c r="AB5" s="201">
        <f t="shared" si="6"/>
        <v>5340.4</v>
      </c>
      <c r="AC5" s="202">
        <f>MasterData!$M$29</f>
        <v>17820.45943877551</v>
      </c>
      <c r="AD5" s="200">
        <f>MasterData!$D$29</f>
        <v>2233.8000000000002</v>
      </c>
      <c r="AE5" s="200">
        <f>MasterData!$E$29</f>
        <v>6471.45</v>
      </c>
      <c r="AF5" s="200">
        <f>MasterData!$F$29</f>
        <v>0</v>
      </c>
      <c r="AG5" s="201">
        <f t="shared" si="0"/>
        <v>344101.0294387755</v>
      </c>
      <c r="AH5" s="200">
        <f>ROUND(AG5*MasterData!$G$29,2)</f>
        <v>41292.120000000003</v>
      </c>
      <c r="AI5" s="200">
        <f>((AG5+AH5)*MasterData!$I$29)-'Model Calculator'!W5*MasterData!$I$29</f>
        <v>1302.2164840102041</v>
      </c>
      <c r="AJ5" s="201">
        <f t="shared" si="1"/>
        <v>387639.90592278569</v>
      </c>
      <c r="AK5" s="201">
        <f t="shared" si="7"/>
        <v>1117.1199999999999</v>
      </c>
    </row>
    <row r="6" spans="1:37">
      <c r="A6" s="197" t="s">
        <v>69</v>
      </c>
      <c r="B6" s="197" t="str">
        <f t="shared" si="2"/>
        <v>B405.5</v>
      </c>
      <c r="C6" s="197" t="s">
        <v>69</v>
      </c>
      <c r="D6" s="197" t="s">
        <v>282</v>
      </c>
      <c r="E6" s="197">
        <f>VLOOKUP($C6,MasterData!$B$62:$L$111,2,FALSE)</f>
        <v>0.41</v>
      </c>
      <c r="F6" s="198">
        <f>ROUND(E6*MasterData!$C$3,2)</f>
        <v>21177.18</v>
      </c>
      <c r="G6" s="199">
        <f>VLOOKUP($C6,MasterData!$B$62:$L$111,3,FALSE)</f>
        <v>1</v>
      </c>
      <c r="H6" s="198">
        <f>ROUND(G6*MasterData!$D$3,2)</f>
        <v>41516.800000000003</v>
      </c>
      <c r="I6" s="199">
        <f t="shared" si="3"/>
        <v>5.5</v>
      </c>
      <c r="J6" s="199">
        <f>VLOOKUP($C6,MasterData!$B$62:$L$111,4,FALSE)</f>
        <v>4.0999999999999996</v>
      </c>
      <c r="K6" s="198">
        <f>ROUND(J6*MasterData!$E$3,2)</f>
        <v>132013.44</v>
      </c>
      <c r="L6" s="199">
        <f>VLOOKUP($C6,MasterData!$B$62:$L$111,5,FALSE)</f>
        <v>1.4</v>
      </c>
      <c r="M6" s="200">
        <f>ROUND(L6*MasterData!$F$3,2)</f>
        <v>41496</v>
      </c>
      <c r="N6" s="199">
        <f>VLOOKUP($C6,MasterData!$B$62:$L$111,6,FALSE)</f>
        <v>0.85</v>
      </c>
      <c r="O6" s="200">
        <f>ROUND(N6*MasterData!$G$3,2)</f>
        <v>27368.639999999999</v>
      </c>
      <c r="P6" s="199">
        <f>VLOOKUP($C6,MasterData!$B$62:$L$111,7,FALSE)</f>
        <v>0.22</v>
      </c>
      <c r="Q6" s="198">
        <f>ROUND(P6*MasterData!$H$3,2)</f>
        <v>6520.8</v>
      </c>
      <c r="R6" s="199">
        <f>VLOOKUP($C6,MasterData!$B$62:$L$111,8,FALSE)</f>
        <v>0.12</v>
      </c>
      <c r="S6" s="200">
        <f>ROUND(R6*MasterData!$I$3,2)</f>
        <v>3863.81</v>
      </c>
      <c r="T6" s="201">
        <f t="shared" si="4"/>
        <v>273956.67</v>
      </c>
      <c r="U6" s="200">
        <f>ROUND(T6*MasterData!$C$29,2)</f>
        <v>61119.73</v>
      </c>
      <c r="V6" s="200">
        <f>ROUND(T6*MasterData!$J$29,2)</f>
        <v>1013.64</v>
      </c>
      <c r="W6" s="201">
        <f t="shared" si="5"/>
        <v>335076.39999999997</v>
      </c>
      <c r="X6" s="199">
        <f>VLOOKUP($C6,MasterData!$B$62:$L$111,10,FALSE)*52</f>
        <v>52</v>
      </c>
      <c r="Y6" s="200">
        <f>ROUND(X6*MasterData!$C$7,2)</f>
        <v>3138.72</v>
      </c>
      <c r="Z6" s="199">
        <f>VLOOKUP($C6,MasterData!$B$62:$L$111,11,FALSE)*52</f>
        <v>52</v>
      </c>
      <c r="AA6" s="200">
        <f>ROUND(Z6*MasterData!$D$7,2)</f>
        <v>2201.6799999999998</v>
      </c>
      <c r="AB6" s="201">
        <f t="shared" si="6"/>
        <v>5340.4</v>
      </c>
      <c r="AC6" s="202">
        <f>MasterData!$M$29</f>
        <v>17820.45943877551</v>
      </c>
      <c r="AD6" s="200">
        <f>MasterData!$D$29</f>
        <v>2233.8000000000002</v>
      </c>
      <c r="AE6" s="200">
        <f>MasterData!$E$29</f>
        <v>6471.45</v>
      </c>
      <c r="AF6" s="200">
        <f>MasterData!$F$29</f>
        <v>0</v>
      </c>
      <c r="AG6" s="201">
        <f t="shared" si="0"/>
        <v>366942.50943877548</v>
      </c>
      <c r="AH6" s="200">
        <f>ROUND(AG6*MasterData!$G$29,2)</f>
        <v>44033.1</v>
      </c>
      <c r="AI6" s="200">
        <f>((AG6+AH6)*MasterData!$I$29)-'Model Calculator'!W6*MasterData!$I$29</f>
        <v>1351.0059280102041</v>
      </c>
      <c r="AJ6" s="201">
        <f t="shared" si="1"/>
        <v>413340.25536678568</v>
      </c>
      <c r="AK6" s="201">
        <f t="shared" si="7"/>
        <v>1191.18</v>
      </c>
    </row>
    <row r="7" spans="1:37">
      <c r="A7" s="197" t="s">
        <v>212</v>
      </c>
      <c r="B7" s="197" t="str">
        <f t="shared" si="2"/>
        <v>B406.0</v>
      </c>
      <c r="C7" s="197" t="s">
        <v>212</v>
      </c>
      <c r="D7" s="197" t="s">
        <v>282</v>
      </c>
      <c r="E7" s="197">
        <f>VLOOKUP($C7,MasterData!$B$62:$L$111,2,FALSE)</f>
        <v>0.41</v>
      </c>
      <c r="F7" s="198">
        <f>ROUND(E7*MasterData!$C$3,2)</f>
        <v>21177.18</v>
      </c>
      <c r="G7" s="199">
        <f>VLOOKUP($C7,MasterData!$B$62:$L$111,3,FALSE)</f>
        <v>1</v>
      </c>
      <c r="H7" s="198">
        <f>ROUND(G7*MasterData!$D$3,2)</f>
        <v>41516.800000000003</v>
      </c>
      <c r="I7" s="199">
        <f t="shared" si="3"/>
        <v>6</v>
      </c>
      <c r="J7" s="199">
        <f>VLOOKUP($C7,MasterData!$B$62:$L$111,4,FALSE)</f>
        <v>4.5999999999999996</v>
      </c>
      <c r="K7" s="198">
        <f>ROUND(J7*MasterData!$E$3,2)</f>
        <v>148112.64000000001</v>
      </c>
      <c r="L7" s="199">
        <f>VLOOKUP($C7,MasterData!$B$62:$L$111,5,FALSE)</f>
        <v>1.4</v>
      </c>
      <c r="M7" s="200">
        <f>ROUND(L7*MasterData!$F$3,2)</f>
        <v>41496</v>
      </c>
      <c r="N7" s="199">
        <f>VLOOKUP($C7,MasterData!$B$62:$L$111,6,FALSE)</f>
        <v>0.92</v>
      </c>
      <c r="O7" s="200">
        <f>ROUND(N7*MasterData!$G$3,2)</f>
        <v>29622.53</v>
      </c>
      <c r="P7" s="199">
        <f>VLOOKUP($C7,MasterData!$B$62:$L$111,7,FALSE)</f>
        <v>0.22</v>
      </c>
      <c r="Q7" s="198">
        <f>ROUND(P7*MasterData!$H$3,2)</f>
        <v>6520.8</v>
      </c>
      <c r="R7" s="199">
        <f>VLOOKUP($C7,MasterData!$B$62:$L$111,8,FALSE)</f>
        <v>0.12</v>
      </c>
      <c r="S7" s="200">
        <f>ROUND(R7*MasterData!$I$3,2)</f>
        <v>3863.81</v>
      </c>
      <c r="T7" s="201">
        <f t="shared" si="4"/>
        <v>292309.76000000001</v>
      </c>
      <c r="U7" s="200">
        <f>ROUND(T7*MasterData!$C$29,2)</f>
        <v>65214.31</v>
      </c>
      <c r="V7" s="200">
        <f>ROUND(T7*MasterData!$J$29,2)</f>
        <v>1081.55</v>
      </c>
      <c r="W7" s="201">
        <f t="shared" si="5"/>
        <v>357524.07</v>
      </c>
      <c r="X7" s="199">
        <f>VLOOKUP($C7,MasterData!$B$62:$L$111,10,FALSE)*52</f>
        <v>52</v>
      </c>
      <c r="Y7" s="200">
        <f>ROUND(X7*MasterData!$C$7,2)</f>
        <v>3138.72</v>
      </c>
      <c r="Z7" s="199">
        <f>VLOOKUP($C7,MasterData!$B$62:$L$111,11,FALSE)*52</f>
        <v>52</v>
      </c>
      <c r="AA7" s="200">
        <f>ROUND(Z7*MasterData!$D$7,2)</f>
        <v>2201.6799999999998</v>
      </c>
      <c r="AB7" s="201">
        <f t="shared" si="6"/>
        <v>5340.4</v>
      </c>
      <c r="AC7" s="202">
        <f>MasterData!$M$29</f>
        <v>17820.45943877551</v>
      </c>
      <c r="AD7" s="200">
        <f>MasterData!$D$29</f>
        <v>2233.8000000000002</v>
      </c>
      <c r="AE7" s="200">
        <f>MasterData!$E$29</f>
        <v>6471.45</v>
      </c>
      <c r="AF7" s="200">
        <f>MasterData!$F$29</f>
        <v>0</v>
      </c>
      <c r="AG7" s="201">
        <f t="shared" si="0"/>
        <v>389390.17943877552</v>
      </c>
      <c r="AH7" s="200">
        <f>ROUND(AG7*MasterData!$G$29,2)</f>
        <v>46726.82</v>
      </c>
      <c r="AI7" s="200">
        <f>((AG7+AH7)*MasterData!$I$29)-'Model Calculator'!W7*MasterData!$I$29</f>
        <v>1398.9541440102048</v>
      </c>
      <c r="AJ7" s="201">
        <f t="shared" si="1"/>
        <v>438597.50358278572</v>
      </c>
      <c r="AK7" s="201">
        <f t="shared" si="7"/>
        <v>1263.97</v>
      </c>
    </row>
    <row r="8" spans="1:37">
      <c r="A8" s="197" t="s">
        <v>70</v>
      </c>
      <c r="B8" s="197" t="str">
        <f t="shared" si="2"/>
        <v>B406.5</v>
      </c>
      <c r="C8" s="197" t="s">
        <v>70</v>
      </c>
      <c r="D8" s="197" t="s">
        <v>282</v>
      </c>
      <c r="E8" s="197">
        <f>VLOOKUP($C8,MasterData!$B$62:$L$111,2,FALSE)</f>
        <v>0.41</v>
      </c>
      <c r="F8" s="198">
        <f>ROUND(E8*MasterData!$C$3,2)</f>
        <v>21177.18</v>
      </c>
      <c r="G8" s="199">
        <f>VLOOKUP($C8,MasterData!$B$62:$L$111,3,FALSE)</f>
        <v>1</v>
      </c>
      <c r="H8" s="198">
        <f>ROUND(G8*MasterData!$D$3,2)</f>
        <v>41516.800000000003</v>
      </c>
      <c r="I8" s="199">
        <f t="shared" si="3"/>
        <v>6.5</v>
      </c>
      <c r="J8" s="199">
        <f>VLOOKUP($C8,MasterData!$B$62:$L$111,4,FALSE)</f>
        <v>5.0999999999999996</v>
      </c>
      <c r="K8" s="198">
        <f>ROUND(J8*MasterData!$E$3,2)</f>
        <v>164211.84</v>
      </c>
      <c r="L8" s="199">
        <f>VLOOKUP($C8,MasterData!$B$62:$L$111,5,FALSE)</f>
        <v>1.4</v>
      </c>
      <c r="M8" s="200">
        <f>ROUND(L8*MasterData!$F$3,2)</f>
        <v>41496</v>
      </c>
      <c r="N8" s="199">
        <f>VLOOKUP($C8,MasterData!$B$62:$L$111,6,FALSE)</f>
        <v>1</v>
      </c>
      <c r="O8" s="200">
        <f>ROUND(N8*MasterData!$G$3,2)</f>
        <v>32198.400000000001</v>
      </c>
      <c r="P8" s="199">
        <f>VLOOKUP($C8,MasterData!$B$62:$L$111,7,FALSE)</f>
        <v>0.22</v>
      </c>
      <c r="Q8" s="198">
        <f>ROUND(P8*MasterData!$H$3,2)</f>
        <v>6520.8</v>
      </c>
      <c r="R8" s="199">
        <f>VLOOKUP($C8,MasterData!$B$62:$L$111,8,FALSE)</f>
        <v>0.12</v>
      </c>
      <c r="S8" s="200">
        <f>ROUND(R8*MasterData!$I$3,2)</f>
        <v>3863.81</v>
      </c>
      <c r="T8" s="201">
        <f t="shared" si="4"/>
        <v>310984.83</v>
      </c>
      <c r="U8" s="200">
        <f>ROUND(T8*MasterData!$C$29,2)</f>
        <v>69380.72</v>
      </c>
      <c r="V8" s="200">
        <f>ROUND(T8*MasterData!$J$29,2)</f>
        <v>1150.6400000000001</v>
      </c>
      <c r="W8" s="201">
        <f t="shared" si="5"/>
        <v>380365.55000000005</v>
      </c>
      <c r="X8" s="199">
        <f>VLOOKUP($C8,MasterData!$B$62:$L$111,10,FALSE)*52</f>
        <v>52</v>
      </c>
      <c r="Y8" s="200">
        <f>ROUND(X8*MasterData!$C$7,2)</f>
        <v>3138.72</v>
      </c>
      <c r="Z8" s="199">
        <f>VLOOKUP($C8,MasterData!$B$62:$L$111,11,FALSE)*52</f>
        <v>52</v>
      </c>
      <c r="AA8" s="200">
        <f>ROUND(Z8*MasterData!$D$7,2)</f>
        <v>2201.6799999999998</v>
      </c>
      <c r="AB8" s="201">
        <f t="shared" si="6"/>
        <v>5340.4</v>
      </c>
      <c r="AC8" s="202">
        <f>MasterData!$M$29</f>
        <v>17820.45943877551</v>
      </c>
      <c r="AD8" s="200">
        <f>MasterData!$D$29</f>
        <v>2233.8000000000002</v>
      </c>
      <c r="AE8" s="200">
        <f>MasterData!$E$29</f>
        <v>6471.45</v>
      </c>
      <c r="AF8" s="200">
        <f>MasterData!$F$29</f>
        <v>0</v>
      </c>
      <c r="AG8" s="201">
        <f t="shared" si="0"/>
        <v>412231.65943877556</v>
      </c>
      <c r="AH8" s="200">
        <f>ROUND(AG8*MasterData!$G$29,2)</f>
        <v>49467.8</v>
      </c>
      <c r="AI8" s="200">
        <f>((AG8+AH8)*MasterData!$I$29)-'Model Calculator'!W8*MasterData!$I$29</f>
        <v>1447.7435880102048</v>
      </c>
      <c r="AJ8" s="201">
        <f t="shared" si="1"/>
        <v>464297.84302678576</v>
      </c>
      <c r="AK8" s="201">
        <f t="shared" si="7"/>
        <v>1338.03</v>
      </c>
    </row>
    <row r="9" spans="1:37">
      <c r="A9" s="197" t="s">
        <v>71</v>
      </c>
      <c r="B9" s="197" t="str">
        <f t="shared" si="2"/>
        <v>B407.0</v>
      </c>
      <c r="C9" s="197" t="s">
        <v>71</v>
      </c>
      <c r="D9" s="197" t="s">
        <v>282</v>
      </c>
      <c r="E9" s="197">
        <f>VLOOKUP($C9,MasterData!$B$62:$L$111,2,FALSE)</f>
        <v>0.41</v>
      </c>
      <c r="F9" s="198">
        <f>ROUND(E9*MasterData!$C$3,2)</f>
        <v>21177.18</v>
      </c>
      <c r="G9" s="199">
        <f>VLOOKUP($C9,MasterData!$B$62:$L$111,3,FALSE)</f>
        <v>1</v>
      </c>
      <c r="H9" s="198">
        <f>ROUND(G9*MasterData!$D$3,2)</f>
        <v>41516.800000000003</v>
      </c>
      <c r="I9" s="199">
        <f t="shared" si="3"/>
        <v>7</v>
      </c>
      <c r="J9" s="199">
        <f>VLOOKUP($C9,MasterData!$B$62:$L$111,4,FALSE)</f>
        <v>5.6</v>
      </c>
      <c r="K9" s="198">
        <f>ROUND(J9*MasterData!$E$3,2)</f>
        <v>180311.04000000001</v>
      </c>
      <c r="L9" s="199">
        <f>VLOOKUP($C9,MasterData!$B$62:$L$111,5,FALSE)</f>
        <v>1.4</v>
      </c>
      <c r="M9" s="200">
        <f>ROUND(L9*MasterData!$F$3,2)</f>
        <v>41496</v>
      </c>
      <c r="N9" s="199">
        <f>VLOOKUP($C9,MasterData!$B$62:$L$111,6,FALSE)</f>
        <v>1.08</v>
      </c>
      <c r="O9" s="200">
        <f>ROUND(N9*MasterData!$G$3,2)</f>
        <v>34774.269999999997</v>
      </c>
      <c r="P9" s="199">
        <f>VLOOKUP($C9,MasterData!$B$62:$L$111,7,FALSE)</f>
        <v>0.22</v>
      </c>
      <c r="Q9" s="198">
        <f>ROUND(P9*MasterData!$H$3,2)</f>
        <v>6520.8</v>
      </c>
      <c r="R9" s="199">
        <f>VLOOKUP($C9,MasterData!$B$62:$L$111,8,FALSE)</f>
        <v>0.12</v>
      </c>
      <c r="S9" s="200">
        <f>ROUND(R9*MasterData!$I$3,2)</f>
        <v>3863.81</v>
      </c>
      <c r="T9" s="201">
        <f t="shared" si="4"/>
        <v>329659.90000000002</v>
      </c>
      <c r="U9" s="200">
        <f>ROUND(T9*MasterData!$C$29,2)</f>
        <v>73547.12</v>
      </c>
      <c r="V9" s="200">
        <f>ROUND(T9*MasterData!$J$29,2)</f>
        <v>1219.74</v>
      </c>
      <c r="W9" s="201">
        <f t="shared" si="5"/>
        <v>403207.02</v>
      </c>
      <c r="X9" s="199">
        <f>VLOOKUP($C9,MasterData!$B$62:$L$111,10,FALSE)*52</f>
        <v>52</v>
      </c>
      <c r="Y9" s="200">
        <f>ROUND(X9*MasterData!$C$7,2)</f>
        <v>3138.72</v>
      </c>
      <c r="Z9" s="199">
        <f>VLOOKUP($C9,MasterData!$B$62:$L$111,11,FALSE)*52</f>
        <v>52</v>
      </c>
      <c r="AA9" s="200">
        <f>ROUND(Z9*MasterData!$D$7,2)</f>
        <v>2201.6799999999998</v>
      </c>
      <c r="AB9" s="201">
        <f t="shared" si="6"/>
        <v>5340.4</v>
      </c>
      <c r="AC9" s="202">
        <f>MasterData!$M$29</f>
        <v>17820.45943877551</v>
      </c>
      <c r="AD9" s="200">
        <f>MasterData!$D$29</f>
        <v>2233.8000000000002</v>
      </c>
      <c r="AE9" s="200">
        <f>MasterData!$E$29</f>
        <v>6471.45</v>
      </c>
      <c r="AF9" s="200">
        <f>MasterData!$F$29</f>
        <v>0</v>
      </c>
      <c r="AG9" s="201">
        <f t="shared" si="0"/>
        <v>435073.12943877553</v>
      </c>
      <c r="AH9" s="200">
        <f>ROUND(AG9*MasterData!$G$29,2)</f>
        <v>52208.78</v>
      </c>
      <c r="AI9" s="200">
        <f>((AG9+AH9)*MasterData!$I$29)-'Model Calculator'!W9*MasterData!$I$29</f>
        <v>1496.5330320102039</v>
      </c>
      <c r="AJ9" s="201">
        <f t="shared" si="1"/>
        <v>489998.18247078569</v>
      </c>
      <c r="AK9" s="201">
        <f t="shared" si="7"/>
        <v>1412.1</v>
      </c>
    </row>
    <row r="10" spans="1:37">
      <c r="A10" s="197" t="s">
        <v>72</v>
      </c>
      <c r="B10" s="197" t="str">
        <f t="shared" si="2"/>
        <v>B407.5</v>
      </c>
      <c r="C10" s="197" t="s">
        <v>72</v>
      </c>
      <c r="D10" s="197" t="s">
        <v>282</v>
      </c>
      <c r="E10" s="197">
        <f>VLOOKUP($C10,MasterData!$B$62:$L$111,2,FALSE)</f>
        <v>0.41</v>
      </c>
      <c r="F10" s="198">
        <f>ROUND(E10*MasterData!$C$3,2)</f>
        <v>21177.18</v>
      </c>
      <c r="G10" s="199">
        <f>VLOOKUP($C10,MasterData!$B$62:$L$111,3,FALSE)</f>
        <v>1</v>
      </c>
      <c r="H10" s="198">
        <f>ROUND(G10*MasterData!$D$3,2)</f>
        <v>41516.800000000003</v>
      </c>
      <c r="I10" s="199">
        <f t="shared" si="3"/>
        <v>7.5</v>
      </c>
      <c r="J10" s="199">
        <f>VLOOKUP($C10,MasterData!$B$62:$L$111,4,FALSE)</f>
        <v>6.1</v>
      </c>
      <c r="K10" s="198">
        <f>ROUND(J10*MasterData!$E$3,2)</f>
        <v>196410.23999999999</v>
      </c>
      <c r="L10" s="199">
        <f>VLOOKUP($C10,MasterData!$B$62:$L$111,5,FALSE)</f>
        <v>1.4</v>
      </c>
      <c r="M10" s="200">
        <f>ROUND(L10*MasterData!$F$3,2)</f>
        <v>41496</v>
      </c>
      <c r="N10" s="199">
        <f>VLOOKUP($C10,MasterData!$B$62:$L$111,6,FALSE)</f>
        <v>1.1599999999999999</v>
      </c>
      <c r="O10" s="200">
        <f>ROUND(N10*MasterData!$G$3,2)</f>
        <v>37350.14</v>
      </c>
      <c r="P10" s="199">
        <f>VLOOKUP($C10,MasterData!$B$62:$L$111,7,FALSE)</f>
        <v>0.22</v>
      </c>
      <c r="Q10" s="198">
        <f>ROUND(P10*MasterData!$H$3,2)</f>
        <v>6520.8</v>
      </c>
      <c r="R10" s="199">
        <f>VLOOKUP($C10,MasterData!$B$62:$L$111,8,FALSE)</f>
        <v>0.12</v>
      </c>
      <c r="S10" s="200">
        <f>ROUND(R10*MasterData!$I$3,2)</f>
        <v>3863.81</v>
      </c>
      <c r="T10" s="201">
        <f t="shared" si="4"/>
        <v>348334.97</v>
      </c>
      <c r="U10" s="200">
        <f>ROUND(T10*MasterData!$C$29,2)</f>
        <v>77713.53</v>
      </c>
      <c r="V10" s="200">
        <f>ROUND(T10*MasterData!$J$29,2)</f>
        <v>1288.8399999999999</v>
      </c>
      <c r="W10" s="201">
        <f t="shared" si="5"/>
        <v>426048.5</v>
      </c>
      <c r="X10" s="199">
        <f>VLOOKUP($C10,MasterData!$B$62:$L$111,10,FALSE)*52</f>
        <v>52</v>
      </c>
      <c r="Y10" s="200">
        <f>ROUND(X10*MasterData!$C$7,2)</f>
        <v>3138.72</v>
      </c>
      <c r="Z10" s="199">
        <f>VLOOKUP($C10,MasterData!$B$62:$L$111,11,FALSE)*52</f>
        <v>52</v>
      </c>
      <c r="AA10" s="200">
        <f>ROUND(Z10*MasterData!$D$7,2)</f>
        <v>2201.6799999999998</v>
      </c>
      <c r="AB10" s="201">
        <f t="shared" si="6"/>
        <v>5340.4</v>
      </c>
      <c r="AC10" s="202">
        <f>MasterData!$M$29</f>
        <v>17820.45943877551</v>
      </c>
      <c r="AD10" s="200">
        <f>MasterData!$D$29</f>
        <v>2233.8000000000002</v>
      </c>
      <c r="AE10" s="200">
        <f>MasterData!$E$29</f>
        <v>6471.45</v>
      </c>
      <c r="AF10" s="200">
        <f>MasterData!$F$29</f>
        <v>0</v>
      </c>
      <c r="AG10" s="201">
        <f t="shared" si="0"/>
        <v>457914.60943877551</v>
      </c>
      <c r="AH10" s="200">
        <f>ROUND(AG10*MasterData!$G$29,2)</f>
        <v>54949.75</v>
      </c>
      <c r="AI10" s="200">
        <f>((AG10+AH10)*MasterData!$I$29)-'Model Calculator'!W10*MasterData!$I$29</f>
        <v>1545.3222980102037</v>
      </c>
      <c r="AJ10" s="201">
        <f t="shared" si="1"/>
        <v>515698.52173678577</v>
      </c>
      <c r="AK10" s="201">
        <f t="shared" si="7"/>
        <v>1486.16</v>
      </c>
    </row>
    <row r="11" spans="1:37">
      <c r="A11" s="197" t="s">
        <v>73</v>
      </c>
      <c r="B11" s="197" t="str">
        <f t="shared" si="2"/>
        <v>B408.0</v>
      </c>
      <c r="C11" s="197" t="s">
        <v>73</v>
      </c>
      <c r="D11" s="197" t="s">
        <v>282</v>
      </c>
      <c r="E11" s="197">
        <f>VLOOKUP($C11,MasterData!$B$62:$L$111,2,FALSE)</f>
        <v>0.41</v>
      </c>
      <c r="F11" s="198">
        <f>ROUND(E11*MasterData!$C$3,2)</f>
        <v>21177.18</v>
      </c>
      <c r="G11" s="199">
        <f>VLOOKUP($C11,MasterData!$B$62:$L$111,3,FALSE)</f>
        <v>1</v>
      </c>
      <c r="H11" s="198">
        <f>ROUND(G11*MasterData!$D$3,2)</f>
        <v>41516.800000000003</v>
      </c>
      <c r="I11" s="199">
        <f t="shared" si="3"/>
        <v>8</v>
      </c>
      <c r="J11" s="199">
        <f>VLOOKUP($C11,MasterData!$B$62:$L$111,4,FALSE)</f>
        <v>6.6</v>
      </c>
      <c r="K11" s="198">
        <f>ROUND(J11*MasterData!$E$3,2)</f>
        <v>212509.44</v>
      </c>
      <c r="L11" s="199">
        <f>VLOOKUP($C11,MasterData!$B$62:$L$111,5,FALSE)</f>
        <v>1.4</v>
      </c>
      <c r="M11" s="200">
        <f>ROUND(L11*MasterData!$F$3,2)</f>
        <v>41496</v>
      </c>
      <c r="N11" s="199">
        <f>VLOOKUP($C11,MasterData!$B$62:$L$111,6,FALSE)</f>
        <v>1.23</v>
      </c>
      <c r="O11" s="200">
        <f>ROUND(N11*MasterData!$G$3,2)</f>
        <v>39604.03</v>
      </c>
      <c r="P11" s="199">
        <f>VLOOKUP($C11,MasterData!$B$62:$L$111,7,FALSE)</f>
        <v>0.22</v>
      </c>
      <c r="Q11" s="198">
        <f>ROUND(P11*MasterData!$H$3,2)</f>
        <v>6520.8</v>
      </c>
      <c r="R11" s="199">
        <f>VLOOKUP($C11,MasterData!$B$62:$L$111,8,FALSE)</f>
        <v>0.12</v>
      </c>
      <c r="S11" s="200">
        <f>ROUND(R11*MasterData!$I$3,2)</f>
        <v>3863.81</v>
      </c>
      <c r="T11" s="201">
        <f t="shared" si="4"/>
        <v>366688.05999999994</v>
      </c>
      <c r="U11" s="200">
        <f>ROUND(T11*MasterData!$C$29,2)</f>
        <v>81808.11</v>
      </c>
      <c r="V11" s="200">
        <f>ROUND(T11*MasterData!$J$29,2)</f>
        <v>1356.75</v>
      </c>
      <c r="W11" s="201">
        <f t="shared" si="5"/>
        <v>448496.16999999993</v>
      </c>
      <c r="X11" s="199">
        <f>VLOOKUP($C11,MasterData!$B$62:$L$111,10,FALSE)*52</f>
        <v>52</v>
      </c>
      <c r="Y11" s="200">
        <f>ROUND(X11*MasterData!$C$7,2)</f>
        <v>3138.72</v>
      </c>
      <c r="Z11" s="199">
        <f>VLOOKUP($C11,MasterData!$B$62:$L$111,11,FALSE)*52</f>
        <v>52</v>
      </c>
      <c r="AA11" s="200">
        <f>ROUND(Z11*MasterData!$D$7,2)</f>
        <v>2201.6799999999998</v>
      </c>
      <c r="AB11" s="201">
        <f t="shared" si="6"/>
        <v>5340.4</v>
      </c>
      <c r="AC11" s="202">
        <f>MasterData!$M$29</f>
        <v>17820.45943877551</v>
      </c>
      <c r="AD11" s="200">
        <f>MasterData!$D$29</f>
        <v>2233.8000000000002</v>
      </c>
      <c r="AE11" s="200">
        <f>MasterData!$E$29</f>
        <v>6471.45</v>
      </c>
      <c r="AF11" s="200">
        <f>MasterData!$F$29</f>
        <v>0</v>
      </c>
      <c r="AG11" s="201">
        <f t="shared" si="0"/>
        <v>480362.27943877544</v>
      </c>
      <c r="AH11" s="200">
        <f>ROUND(AG11*MasterData!$G$29,2)</f>
        <v>57643.47</v>
      </c>
      <c r="AI11" s="200">
        <f>((AG11+AH11)*MasterData!$I$29)-'Model Calculator'!W11*MasterData!$I$29</f>
        <v>1593.2705140102053</v>
      </c>
      <c r="AJ11" s="201">
        <f t="shared" si="1"/>
        <v>540955.76995278569</v>
      </c>
      <c r="AK11" s="201">
        <f t="shared" si="7"/>
        <v>1558.95</v>
      </c>
    </row>
    <row r="12" spans="1:37">
      <c r="A12" s="197" t="s">
        <v>74</v>
      </c>
      <c r="B12" s="197" t="str">
        <f t="shared" si="2"/>
        <v>B408.5</v>
      </c>
      <c r="C12" s="197" t="s">
        <v>74</v>
      </c>
      <c r="D12" s="197" t="s">
        <v>282</v>
      </c>
      <c r="E12" s="197">
        <f>VLOOKUP($C12,MasterData!$B$62:$L$111,2,FALSE)</f>
        <v>0.41</v>
      </c>
      <c r="F12" s="198">
        <f>ROUND(E12*MasterData!$C$3,2)</f>
        <v>21177.18</v>
      </c>
      <c r="G12" s="199">
        <f>VLOOKUP($C12,MasterData!$B$62:$L$111,3,FALSE)</f>
        <v>1</v>
      </c>
      <c r="H12" s="198">
        <f>ROUND(G12*MasterData!$D$3,2)</f>
        <v>41516.800000000003</v>
      </c>
      <c r="I12" s="199">
        <f t="shared" si="3"/>
        <v>8.5</v>
      </c>
      <c r="J12" s="199">
        <f>VLOOKUP($C12,MasterData!$B$62:$L$111,4,FALSE)</f>
        <v>7.1</v>
      </c>
      <c r="K12" s="198">
        <f>ROUND(J12*MasterData!$E$3,2)</f>
        <v>228608.64000000001</v>
      </c>
      <c r="L12" s="199">
        <f>VLOOKUP($C12,MasterData!$B$62:$L$111,5,FALSE)</f>
        <v>1.4</v>
      </c>
      <c r="M12" s="200">
        <f>ROUND(L12*MasterData!$F$3,2)</f>
        <v>41496</v>
      </c>
      <c r="N12" s="199">
        <f>VLOOKUP($C12,MasterData!$B$62:$L$111,6,FALSE)</f>
        <v>1.31</v>
      </c>
      <c r="O12" s="200">
        <f>ROUND(N12*MasterData!$G$3,2)</f>
        <v>42179.9</v>
      </c>
      <c r="P12" s="199">
        <f>VLOOKUP($C12,MasterData!$B$62:$L$111,7,FALSE)</f>
        <v>0.22</v>
      </c>
      <c r="Q12" s="198">
        <f>ROUND(P12*MasterData!$H$3,2)</f>
        <v>6520.8</v>
      </c>
      <c r="R12" s="199">
        <f>VLOOKUP($C12,MasterData!$B$62:$L$111,8,FALSE)</f>
        <v>0.12</v>
      </c>
      <c r="S12" s="200">
        <f>ROUND(R12*MasterData!$I$3,2)</f>
        <v>3863.81</v>
      </c>
      <c r="T12" s="201">
        <f t="shared" si="4"/>
        <v>385363.13</v>
      </c>
      <c r="U12" s="200">
        <f>ROUND(T12*MasterData!$C$29,2)</f>
        <v>85974.51</v>
      </c>
      <c r="V12" s="200">
        <f>ROUND(T12*MasterData!$J$29,2)</f>
        <v>1425.84</v>
      </c>
      <c r="W12" s="201">
        <f t="shared" si="5"/>
        <v>471337.64</v>
      </c>
      <c r="X12" s="199">
        <f>VLOOKUP($C12,MasterData!$B$62:$L$111,10,FALSE)*52</f>
        <v>52</v>
      </c>
      <c r="Y12" s="200">
        <f>ROUND(X12*MasterData!$C$7,2)</f>
        <v>3138.72</v>
      </c>
      <c r="Z12" s="199">
        <f>VLOOKUP($C12,MasterData!$B$62:$L$111,11,FALSE)*52</f>
        <v>52</v>
      </c>
      <c r="AA12" s="200">
        <f>ROUND(Z12*MasterData!$D$7,2)</f>
        <v>2201.6799999999998</v>
      </c>
      <c r="AB12" s="201">
        <f t="shared" si="6"/>
        <v>5340.4</v>
      </c>
      <c r="AC12" s="202">
        <f>MasterData!$M$29</f>
        <v>17820.45943877551</v>
      </c>
      <c r="AD12" s="200">
        <f>MasterData!$D$29</f>
        <v>2233.8000000000002</v>
      </c>
      <c r="AE12" s="200">
        <f>MasterData!$E$29</f>
        <v>6471.45</v>
      </c>
      <c r="AF12" s="200">
        <f>MasterData!$F$29</f>
        <v>0</v>
      </c>
      <c r="AG12" s="201">
        <f t="shared" si="0"/>
        <v>503203.74943877553</v>
      </c>
      <c r="AH12" s="200">
        <f>ROUND(AG12*MasterData!$G$29,2)</f>
        <v>60384.45</v>
      </c>
      <c r="AI12" s="200">
        <f>((AG12+AH12)*MasterData!$I$29)-'Model Calculator'!W12*MasterData!$I$29</f>
        <v>1642.0599580102044</v>
      </c>
      <c r="AJ12" s="201">
        <f t="shared" si="1"/>
        <v>566656.09939678572</v>
      </c>
      <c r="AK12" s="201">
        <f t="shared" si="7"/>
        <v>1633.01</v>
      </c>
    </row>
    <row r="13" spans="1:37">
      <c r="A13" s="197" t="s">
        <v>75</v>
      </c>
      <c r="B13" s="197" t="str">
        <f t="shared" si="2"/>
        <v>B409.0</v>
      </c>
      <c r="C13" s="197" t="s">
        <v>75</v>
      </c>
      <c r="D13" s="197" t="s">
        <v>282</v>
      </c>
      <c r="E13" s="197">
        <f>VLOOKUP($C13,MasterData!$B$62:$L$111,2,FALSE)</f>
        <v>0.41</v>
      </c>
      <c r="F13" s="198">
        <f>ROUND(E13*MasterData!$C$3,2)</f>
        <v>21177.18</v>
      </c>
      <c r="G13" s="199">
        <f>VLOOKUP($C13,MasterData!$B$62:$L$111,3,FALSE)</f>
        <v>1</v>
      </c>
      <c r="H13" s="198">
        <f>ROUND(G13*MasterData!$D$3,2)</f>
        <v>41516.800000000003</v>
      </c>
      <c r="I13" s="199">
        <f t="shared" si="3"/>
        <v>9</v>
      </c>
      <c r="J13" s="199">
        <f>VLOOKUP($C13,MasterData!$B$62:$L$111,4,FALSE)</f>
        <v>7.6</v>
      </c>
      <c r="K13" s="198">
        <f>ROUND(J13*MasterData!$E$3,2)</f>
        <v>244707.84</v>
      </c>
      <c r="L13" s="199">
        <f>VLOOKUP($C13,MasterData!$B$62:$L$111,5,FALSE)</f>
        <v>1.4</v>
      </c>
      <c r="M13" s="200">
        <f>ROUND(L13*MasterData!$F$3,2)</f>
        <v>41496</v>
      </c>
      <c r="N13" s="199">
        <f>VLOOKUP($C13,MasterData!$B$62:$L$111,6,FALSE)</f>
        <v>1.39</v>
      </c>
      <c r="O13" s="200">
        <f>ROUND(N13*MasterData!$G$3,2)</f>
        <v>44755.78</v>
      </c>
      <c r="P13" s="199">
        <f>VLOOKUP($C13,MasterData!$B$62:$L$111,7,FALSE)</f>
        <v>0.22</v>
      </c>
      <c r="Q13" s="198">
        <f>ROUND(P13*MasterData!$H$3,2)</f>
        <v>6520.8</v>
      </c>
      <c r="R13" s="199">
        <f>VLOOKUP($C13,MasterData!$B$62:$L$111,8,FALSE)</f>
        <v>0.12</v>
      </c>
      <c r="S13" s="200">
        <f>ROUND(R13*MasterData!$I$3,2)</f>
        <v>3863.81</v>
      </c>
      <c r="T13" s="201">
        <f t="shared" si="4"/>
        <v>404038.20999999996</v>
      </c>
      <c r="U13" s="200">
        <f>ROUND(T13*MasterData!$C$29,2)</f>
        <v>90140.92</v>
      </c>
      <c r="V13" s="200">
        <f>ROUND(T13*MasterData!$J$29,2)</f>
        <v>1494.94</v>
      </c>
      <c r="W13" s="201">
        <f t="shared" si="5"/>
        <v>494179.12999999995</v>
      </c>
      <c r="X13" s="199">
        <f>VLOOKUP($C13,MasterData!$B$62:$L$111,10,FALSE)*52</f>
        <v>52</v>
      </c>
      <c r="Y13" s="200">
        <f>ROUND(X13*MasterData!$C$7,2)</f>
        <v>3138.72</v>
      </c>
      <c r="Z13" s="199">
        <f>VLOOKUP($C13,MasterData!$B$62:$L$111,11,FALSE)*52</f>
        <v>52</v>
      </c>
      <c r="AA13" s="200">
        <f>ROUND(Z13*MasterData!$D$7,2)</f>
        <v>2201.6799999999998</v>
      </c>
      <c r="AB13" s="201">
        <f t="shared" si="6"/>
        <v>5340.4</v>
      </c>
      <c r="AC13" s="202">
        <f>MasterData!$M$29</f>
        <v>17820.45943877551</v>
      </c>
      <c r="AD13" s="200">
        <f>MasterData!$D$29</f>
        <v>2233.8000000000002</v>
      </c>
      <c r="AE13" s="200">
        <f>MasterData!$E$29</f>
        <v>6471.45</v>
      </c>
      <c r="AF13" s="200">
        <f>MasterData!$F$29</f>
        <v>0</v>
      </c>
      <c r="AG13" s="201">
        <f t="shared" si="0"/>
        <v>526045.23943877546</v>
      </c>
      <c r="AH13" s="200">
        <f>ROUND(AG13*MasterData!$G$29,2)</f>
        <v>63125.43</v>
      </c>
      <c r="AI13" s="200">
        <f>((AG13+AH13)*MasterData!$I$29)-'Model Calculator'!W13*MasterData!$I$29</f>
        <v>1690.8494020102062</v>
      </c>
      <c r="AJ13" s="201">
        <f t="shared" si="1"/>
        <v>592356.45884078566</v>
      </c>
      <c r="AK13" s="201">
        <f t="shared" si="7"/>
        <v>1707.08</v>
      </c>
    </row>
    <row r="14" spans="1:37">
      <c r="A14" s="197" t="s">
        <v>76</v>
      </c>
      <c r="B14" s="197" t="str">
        <f t="shared" si="2"/>
        <v>B409.5</v>
      </c>
      <c r="C14" s="197" t="s">
        <v>76</v>
      </c>
      <c r="D14" s="197" t="s">
        <v>282</v>
      </c>
      <c r="E14" s="197">
        <f>VLOOKUP($C14,MasterData!$B$62:$L$111,2,FALSE)</f>
        <v>0.41</v>
      </c>
      <c r="F14" s="198">
        <f>ROUND(E14*MasterData!$C$3,2)</f>
        <v>21177.18</v>
      </c>
      <c r="G14" s="199">
        <f>VLOOKUP($C14,MasterData!$B$62:$L$111,3,FALSE)</f>
        <v>1</v>
      </c>
      <c r="H14" s="198">
        <f>ROUND(G14*MasterData!$D$3,2)</f>
        <v>41516.800000000003</v>
      </c>
      <c r="I14" s="199">
        <f t="shared" si="3"/>
        <v>9.5</v>
      </c>
      <c r="J14" s="199">
        <f>VLOOKUP($C14,MasterData!$B$62:$L$111,4,FALSE)</f>
        <v>8.1</v>
      </c>
      <c r="K14" s="198">
        <f>ROUND(J14*MasterData!$E$3,2)</f>
        <v>260807.04000000001</v>
      </c>
      <c r="L14" s="199">
        <f>VLOOKUP($C14,MasterData!$B$62:$L$111,5,FALSE)</f>
        <v>1.4</v>
      </c>
      <c r="M14" s="200">
        <f>ROUND(L14*MasterData!$F$3,2)</f>
        <v>41496</v>
      </c>
      <c r="N14" s="199">
        <f>VLOOKUP($C14,MasterData!$B$62:$L$111,6,FALSE)</f>
        <v>1.46</v>
      </c>
      <c r="O14" s="200">
        <f>ROUND(N14*MasterData!$G$3,2)</f>
        <v>47009.66</v>
      </c>
      <c r="P14" s="199">
        <f>VLOOKUP($C14,MasterData!$B$62:$L$111,7,FALSE)</f>
        <v>0.22</v>
      </c>
      <c r="Q14" s="198">
        <f>ROUND(P14*MasterData!$H$3,2)</f>
        <v>6520.8</v>
      </c>
      <c r="R14" s="199">
        <f>VLOOKUP($C14,MasterData!$B$62:$L$111,8,FALSE)</f>
        <v>0.12</v>
      </c>
      <c r="S14" s="200">
        <f>ROUND(R14*MasterData!$I$3,2)</f>
        <v>3863.81</v>
      </c>
      <c r="T14" s="201">
        <f t="shared" si="4"/>
        <v>422391.29000000004</v>
      </c>
      <c r="U14" s="200">
        <f>ROUND(T14*MasterData!$C$29,2)</f>
        <v>94235.5</v>
      </c>
      <c r="V14" s="200">
        <f>ROUND(T14*MasterData!$J$29,2)</f>
        <v>1562.85</v>
      </c>
      <c r="W14" s="201">
        <f t="shared" si="5"/>
        <v>516626.79000000004</v>
      </c>
      <c r="X14" s="199">
        <f>VLOOKUP($C14,MasterData!$B$62:$L$111,10,FALSE)*52</f>
        <v>52</v>
      </c>
      <c r="Y14" s="200">
        <f>ROUND(X14*MasterData!$C$7,2)</f>
        <v>3138.72</v>
      </c>
      <c r="Z14" s="199">
        <f>VLOOKUP($C14,MasterData!$B$62:$L$111,11,FALSE)*52</f>
        <v>52</v>
      </c>
      <c r="AA14" s="200">
        <f>ROUND(Z14*MasterData!$D$7,2)</f>
        <v>2201.6799999999998</v>
      </c>
      <c r="AB14" s="201">
        <f t="shared" si="6"/>
        <v>5340.4</v>
      </c>
      <c r="AC14" s="202">
        <f>MasterData!$M$29</f>
        <v>17820.45943877551</v>
      </c>
      <c r="AD14" s="200">
        <f>MasterData!$D$29</f>
        <v>2233.8000000000002</v>
      </c>
      <c r="AE14" s="200">
        <f>MasterData!$E$29</f>
        <v>6471.45</v>
      </c>
      <c r="AF14" s="200">
        <f>MasterData!$F$29</f>
        <v>0</v>
      </c>
      <c r="AG14" s="201">
        <f t="shared" si="0"/>
        <v>548492.89943877561</v>
      </c>
      <c r="AH14" s="200">
        <f>ROUND(AG14*MasterData!$G$29,2)</f>
        <v>65819.149999999994</v>
      </c>
      <c r="AI14" s="200">
        <f>((AG14+AH14)*MasterData!$I$29)-'Model Calculator'!W14*MasterData!$I$29</f>
        <v>1738.797618010205</v>
      </c>
      <c r="AJ14" s="201">
        <f t="shared" si="1"/>
        <v>617613.69705678581</v>
      </c>
      <c r="AK14" s="201">
        <f t="shared" si="7"/>
        <v>1779.87</v>
      </c>
    </row>
    <row r="15" spans="1:37">
      <c r="A15" s="197" t="s">
        <v>77</v>
      </c>
      <c r="B15" s="197" t="str">
        <f t="shared" si="2"/>
        <v>B410.0</v>
      </c>
      <c r="C15" s="197" t="s">
        <v>77</v>
      </c>
      <c r="D15" s="197" t="s">
        <v>282</v>
      </c>
      <c r="E15" s="197">
        <f>VLOOKUP($C15,MasterData!$B$62:$L$111,2,FALSE)</f>
        <v>0.41</v>
      </c>
      <c r="F15" s="198">
        <f>ROUND(E15*MasterData!$C$3,2)</f>
        <v>21177.18</v>
      </c>
      <c r="G15" s="199">
        <f>VLOOKUP($C15,MasterData!$B$62:$L$111,3,FALSE)</f>
        <v>1</v>
      </c>
      <c r="H15" s="198">
        <f>ROUND(G15*MasterData!$D$3,2)</f>
        <v>41516.800000000003</v>
      </c>
      <c r="I15" s="199">
        <f t="shared" si="3"/>
        <v>10</v>
      </c>
      <c r="J15" s="199">
        <f>VLOOKUP($C15,MasterData!$B$62:$L$111,4,FALSE)</f>
        <v>8.6</v>
      </c>
      <c r="K15" s="198">
        <f>ROUND(J15*MasterData!$E$3,2)</f>
        <v>276906.23999999999</v>
      </c>
      <c r="L15" s="199">
        <f>VLOOKUP($C15,MasterData!$B$62:$L$111,5,FALSE)</f>
        <v>1.4</v>
      </c>
      <c r="M15" s="200">
        <f>ROUND(L15*MasterData!$F$3,2)</f>
        <v>41496</v>
      </c>
      <c r="N15" s="199">
        <f>VLOOKUP($C15,MasterData!$B$62:$L$111,6,FALSE)</f>
        <v>1.54</v>
      </c>
      <c r="O15" s="200">
        <f>ROUND(N15*MasterData!$G$3,2)</f>
        <v>49585.54</v>
      </c>
      <c r="P15" s="199">
        <f>VLOOKUP($C15,MasterData!$B$62:$L$111,7,FALSE)</f>
        <v>0.22</v>
      </c>
      <c r="Q15" s="198">
        <f>ROUND(P15*MasterData!$H$3,2)</f>
        <v>6520.8</v>
      </c>
      <c r="R15" s="199">
        <f>VLOOKUP($C15,MasterData!$B$62:$L$111,8,FALSE)</f>
        <v>0.12</v>
      </c>
      <c r="S15" s="200">
        <f>ROUND(R15*MasterData!$I$3,2)</f>
        <v>3863.81</v>
      </c>
      <c r="T15" s="201">
        <f t="shared" si="4"/>
        <v>441066.36999999994</v>
      </c>
      <c r="U15" s="200">
        <f>ROUND(T15*MasterData!$C$29,2)</f>
        <v>98401.91</v>
      </c>
      <c r="V15" s="200">
        <f>ROUND(T15*MasterData!$J$29,2)</f>
        <v>1631.95</v>
      </c>
      <c r="W15" s="201">
        <f t="shared" si="5"/>
        <v>539468.27999999991</v>
      </c>
      <c r="X15" s="199">
        <f>VLOOKUP($C15,MasterData!$B$62:$L$111,10,FALSE)*52</f>
        <v>52</v>
      </c>
      <c r="Y15" s="200">
        <f>ROUND(X15*MasterData!$C$7,2)</f>
        <v>3138.72</v>
      </c>
      <c r="Z15" s="199">
        <f>VLOOKUP($C15,MasterData!$B$62:$L$111,11,FALSE)*52</f>
        <v>52</v>
      </c>
      <c r="AA15" s="200">
        <f>ROUND(Z15*MasterData!$D$7,2)</f>
        <v>2201.6799999999998</v>
      </c>
      <c r="AB15" s="201">
        <f t="shared" si="6"/>
        <v>5340.4</v>
      </c>
      <c r="AC15" s="202">
        <f>MasterData!$M$29</f>
        <v>17820.45943877551</v>
      </c>
      <c r="AD15" s="200">
        <f>MasterData!$D$29</f>
        <v>2233.8000000000002</v>
      </c>
      <c r="AE15" s="200">
        <f>MasterData!$E$29</f>
        <v>6471.45</v>
      </c>
      <c r="AF15" s="200">
        <f>MasterData!$F$29</f>
        <v>0</v>
      </c>
      <c r="AG15" s="201">
        <f t="shared" si="0"/>
        <v>571334.38943877548</v>
      </c>
      <c r="AH15" s="200">
        <f>ROUND(AG15*MasterData!$G$29,2)</f>
        <v>68560.13</v>
      </c>
      <c r="AI15" s="200">
        <f>((AG15+AH15)*MasterData!$I$29)-'Model Calculator'!W15*MasterData!$I$29</f>
        <v>1787.587062010205</v>
      </c>
      <c r="AJ15" s="201">
        <f t="shared" si="1"/>
        <v>643314.05650078563</v>
      </c>
      <c r="AK15" s="201">
        <f t="shared" si="7"/>
        <v>1853.93</v>
      </c>
    </row>
    <row r="16" spans="1:37">
      <c r="A16" s="197" t="s">
        <v>78</v>
      </c>
      <c r="B16" s="197" t="str">
        <f t="shared" si="2"/>
        <v>B410.5</v>
      </c>
      <c r="C16" s="197" t="s">
        <v>78</v>
      </c>
      <c r="D16" s="197" t="s">
        <v>282</v>
      </c>
      <c r="E16" s="197">
        <f>VLOOKUP($C16,MasterData!$B$62:$L$111,2,FALSE)</f>
        <v>0.41</v>
      </c>
      <c r="F16" s="198">
        <f>ROUND(E16*MasterData!$C$3,2)</f>
        <v>21177.18</v>
      </c>
      <c r="G16" s="199">
        <f>VLOOKUP($C16,MasterData!$B$62:$L$111,3,FALSE)</f>
        <v>1</v>
      </c>
      <c r="H16" s="198">
        <f>ROUND(G16*MasterData!$D$3,2)</f>
        <v>41516.800000000003</v>
      </c>
      <c r="I16" s="199">
        <f t="shared" si="3"/>
        <v>10.5</v>
      </c>
      <c r="J16" s="199">
        <f>VLOOKUP($C16,MasterData!$B$62:$L$111,4,FALSE)</f>
        <v>9.1</v>
      </c>
      <c r="K16" s="198">
        <f>ROUND(J16*MasterData!$E$3,2)</f>
        <v>293005.44</v>
      </c>
      <c r="L16" s="199">
        <f>VLOOKUP($C16,MasterData!$B$62:$L$111,5,FALSE)</f>
        <v>1.4</v>
      </c>
      <c r="M16" s="200">
        <f>ROUND(L16*MasterData!$F$3,2)</f>
        <v>41496</v>
      </c>
      <c r="N16" s="199">
        <f>VLOOKUP($C16,MasterData!$B$62:$L$111,6,FALSE)</f>
        <v>1.62</v>
      </c>
      <c r="O16" s="200">
        <f>ROUND(N16*MasterData!$G$3,2)</f>
        <v>52161.41</v>
      </c>
      <c r="P16" s="199">
        <f>VLOOKUP($C16,MasterData!$B$62:$L$111,7,FALSE)</f>
        <v>0.22</v>
      </c>
      <c r="Q16" s="198">
        <f>ROUND(P16*MasterData!$H$3,2)</f>
        <v>6520.8</v>
      </c>
      <c r="R16" s="199">
        <f>VLOOKUP($C16,MasterData!$B$62:$L$111,8,FALSE)</f>
        <v>0.12</v>
      </c>
      <c r="S16" s="200">
        <f>ROUND(R16*MasterData!$I$3,2)</f>
        <v>3863.81</v>
      </c>
      <c r="T16" s="201">
        <f t="shared" si="4"/>
        <v>459741.43999999994</v>
      </c>
      <c r="U16" s="200">
        <f>ROUND(T16*MasterData!$C$29,2)</f>
        <v>102568.32000000001</v>
      </c>
      <c r="V16" s="200">
        <f>ROUND(T16*MasterData!$J$29,2)</f>
        <v>1701.04</v>
      </c>
      <c r="W16" s="201">
        <f t="shared" si="5"/>
        <v>562309.76</v>
      </c>
      <c r="X16" s="199">
        <f>VLOOKUP($C16,MasterData!$B$62:$L$111,10,FALSE)*52</f>
        <v>52</v>
      </c>
      <c r="Y16" s="200">
        <f>ROUND(X16*MasterData!$C$7,2)</f>
        <v>3138.72</v>
      </c>
      <c r="Z16" s="199">
        <f>VLOOKUP($C16,MasterData!$B$62:$L$111,11,FALSE)*52</f>
        <v>52</v>
      </c>
      <c r="AA16" s="200">
        <f>ROUND(Z16*MasterData!$D$7,2)</f>
        <v>2201.6799999999998</v>
      </c>
      <c r="AB16" s="201">
        <f t="shared" si="6"/>
        <v>5340.4</v>
      </c>
      <c r="AC16" s="202">
        <f>MasterData!$M$29</f>
        <v>17820.45943877551</v>
      </c>
      <c r="AD16" s="200">
        <f>MasterData!$D$29</f>
        <v>2233.8000000000002</v>
      </c>
      <c r="AE16" s="200">
        <f>MasterData!$E$29</f>
        <v>6471.45</v>
      </c>
      <c r="AF16" s="200">
        <f>MasterData!$F$29</f>
        <v>0</v>
      </c>
      <c r="AG16" s="201">
        <f t="shared" si="0"/>
        <v>594175.86943877558</v>
      </c>
      <c r="AH16" s="200">
        <f>ROUND(AG16*MasterData!$G$29,2)</f>
        <v>71301.100000000006</v>
      </c>
      <c r="AI16" s="200">
        <f>((AG16+AH16)*MasterData!$I$29)-'Model Calculator'!W16*MasterData!$I$29</f>
        <v>1836.3763280102048</v>
      </c>
      <c r="AJ16" s="201">
        <f t="shared" si="1"/>
        <v>669014.38576678582</v>
      </c>
      <c r="AK16" s="201">
        <f t="shared" si="7"/>
        <v>1928</v>
      </c>
    </row>
    <row r="17" spans="1:37">
      <c r="A17" s="197" t="s">
        <v>79</v>
      </c>
      <c r="B17" s="197" t="str">
        <f t="shared" si="2"/>
        <v>B411.0</v>
      </c>
      <c r="C17" s="197" t="s">
        <v>79</v>
      </c>
      <c r="D17" s="197" t="s">
        <v>282</v>
      </c>
      <c r="E17" s="197">
        <f>VLOOKUP($C17,MasterData!$B$62:$L$111,2,FALSE)</f>
        <v>0.41</v>
      </c>
      <c r="F17" s="198">
        <f>ROUND(E17*MasterData!$C$3,2)</f>
        <v>21177.18</v>
      </c>
      <c r="G17" s="199">
        <f>VLOOKUP($C17,MasterData!$B$62:$L$111,3,FALSE)</f>
        <v>1</v>
      </c>
      <c r="H17" s="198">
        <f>ROUND(G17*MasterData!$D$3,2)</f>
        <v>41516.800000000003</v>
      </c>
      <c r="I17" s="199">
        <f t="shared" si="3"/>
        <v>11</v>
      </c>
      <c r="J17" s="199">
        <f>VLOOKUP($C17,MasterData!$B$62:$L$111,4,FALSE)</f>
        <v>9.6</v>
      </c>
      <c r="K17" s="198">
        <f>ROUND(J17*MasterData!$E$3,2)</f>
        <v>309104.64000000001</v>
      </c>
      <c r="L17" s="199">
        <f>VLOOKUP($C17,MasterData!$B$62:$L$111,5,FALSE)</f>
        <v>1.4</v>
      </c>
      <c r="M17" s="200">
        <f>ROUND(L17*MasterData!$F$3,2)</f>
        <v>41496</v>
      </c>
      <c r="N17" s="199">
        <f>VLOOKUP($C17,MasterData!$B$62:$L$111,6,FALSE)</f>
        <v>1.69</v>
      </c>
      <c r="O17" s="200">
        <f>ROUND(N17*MasterData!$G$3,2)</f>
        <v>54415.3</v>
      </c>
      <c r="P17" s="199">
        <f>VLOOKUP($C17,MasterData!$B$62:$L$111,7,FALSE)</f>
        <v>0.22</v>
      </c>
      <c r="Q17" s="198">
        <f>ROUND(P17*MasterData!$H$3,2)</f>
        <v>6520.8</v>
      </c>
      <c r="R17" s="199">
        <f>VLOOKUP($C17,MasterData!$B$62:$L$111,8,FALSE)</f>
        <v>0.12</v>
      </c>
      <c r="S17" s="200">
        <f>ROUND(R17*MasterData!$I$3,2)</f>
        <v>3863.81</v>
      </c>
      <c r="T17" s="201">
        <f t="shared" si="4"/>
        <v>478094.52999999997</v>
      </c>
      <c r="U17" s="200">
        <f>ROUND(T17*MasterData!$C$29,2)</f>
        <v>106662.89</v>
      </c>
      <c r="V17" s="200">
        <f>ROUND(T17*MasterData!$J$29,2)</f>
        <v>1768.95</v>
      </c>
      <c r="W17" s="201">
        <f t="shared" si="5"/>
        <v>584757.41999999993</v>
      </c>
      <c r="X17" s="199">
        <f>VLOOKUP($C17,MasterData!$B$62:$L$111,10,FALSE)*52</f>
        <v>52</v>
      </c>
      <c r="Y17" s="200">
        <f>ROUND(X17*MasterData!$C$7,2)</f>
        <v>3138.72</v>
      </c>
      <c r="Z17" s="199">
        <f>VLOOKUP($C17,MasterData!$B$62:$L$111,11,FALSE)*52</f>
        <v>52</v>
      </c>
      <c r="AA17" s="200">
        <f>ROUND(Z17*MasterData!$D$7,2)</f>
        <v>2201.6799999999998</v>
      </c>
      <c r="AB17" s="201">
        <f t="shared" si="6"/>
        <v>5340.4</v>
      </c>
      <c r="AC17" s="202">
        <f>MasterData!$M$29</f>
        <v>17820.45943877551</v>
      </c>
      <c r="AD17" s="200">
        <f>MasterData!$D$29</f>
        <v>2233.8000000000002</v>
      </c>
      <c r="AE17" s="200">
        <f>MasterData!$E$29</f>
        <v>6471.45</v>
      </c>
      <c r="AF17" s="200">
        <f>MasterData!$F$29</f>
        <v>0</v>
      </c>
      <c r="AG17" s="201">
        <f t="shared" si="0"/>
        <v>616623.5294387755</v>
      </c>
      <c r="AH17" s="200">
        <f>ROUND(AG17*MasterData!$G$29,2)</f>
        <v>73994.820000000007</v>
      </c>
      <c r="AI17" s="200">
        <f>((AG17+AH17)*MasterData!$I$29)-'Model Calculator'!W17*MasterData!$I$29</f>
        <v>1884.3245440102055</v>
      </c>
      <c r="AJ17" s="201">
        <f t="shared" si="1"/>
        <v>694271.62398278574</v>
      </c>
      <c r="AK17" s="201">
        <f t="shared" si="7"/>
        <v>2000.78</v>
      </c>
    </row>
    <row r="18" spans="1:37">
      <c r="A18" s="197" t="s">
        <v>80</v>
      </c>
      <c r="B18" s="197" t="str">
        <f t="shared" si="2"/>
        <v>B411.5</v>
      </c>
      <c r="C18" s="197" t="s">
        <v>80</v>
      </c>
      <c r="D18" s="197" t="s">
        <v>282</v>
      </c>
      <c r="E18" s="197">
        <f>VLOOKUP($C18,MasterData!$B$62:$L$111,2,FALSE)</f>
        <v>0.41</v>
      </c>
      <c r="F18" s="198">
        <f>ROUND(E18*MasterData!$C$3,2)</f>
        <v>21177.18</v>
      </c>
      <c r="G18" s="199">
        <f>VLOOKUP($C18,MasterData!$B$62:$L$111,3,FALSE)</f>
        <v>1</v>
      </c>
      <c r="H18" s="198">
        <f>ROUND(G18*MasterData!$D$3,2)</f>
        <v>41516.800000000003</v>
      </c>
      <c r="I18" s="199">
        <f t="shared" si="3"/>
        <v>11.5</v>
      </c>
      <c r="J18" s="199">
        <f>VLOOKUP($C18,MasterData!$B$62:$L$111,4,FALSE)</f>
        <v>10.1</v>
      </c>
      <c r="K18" s="198">
        <f>ROUND(J18*MasterData!$E$3,2)</f>
        <v>325203.84000000003</v>
      </c>
      <c r="L18" s="199">
        <f>VLOOKUP($C18,MasterData!$B$62:$L$111,5,FALSE)</f>
        <v>1.4</v>
      </c>
      <c r="M18" s="200">
        <f>ROUND(L18*MasterData!$F$3,2)</f>
        <v>41496</v>
      </c>
      <c r="N18" s="199">
        <f>VLOOKUP($C18,MasterData!$B$62:$L$111,6,FALSE)</f>
        <v>1.77</v>
      </c>
      <c r="O18" s="200">
        <f>ROUND(N18*MasterData!$G$3,2)</f>
        <v>56991.17</v>
      </c>
      <c r="P18" s="199">
        <f>VLOOKUP($C18,MasterData!$B$62:$L$111,7,FALSE)</f>
        <v>0.22</v>
      </c>
      <c r="Q18" s="198">
        <f>ROUND(P18*MasterData!$H$3,2)</f>
        <v>6520.8</v>
      </c>
      <c r="R18" s="199">
        <f>VLOOKUP($C18,MasterData!$B$62:$L$111,8,FALSE)</f>
        <v>0.12</v>
      </c>
      <c r="S18" s="200">
        <f>ROUND(R18*MasterData!$I$3,2)</f>
        <v>3863.81</v>
      </c>
      <c r="T18" s="201">
        <f t="shared" si="4"/>
        <v>496769.6</v>
      </c>
      <c r="U18" s="200">
        <f>ROUND(T18*MasterData!$C$29,2)</f>
        <v>110829.3</v>
      </c>
      <c r="V18" s="200">
        <f>ROUND(T18*MasterData!$J$29,2)</f>
        <v>1838.05</v>
      </c>
      <c r="W18" s="201">
        <f t="shared" si="5"/>
        <v>607598.9</v>
      </c>
      <c r="X18" s="199">
        <f>VLOOKUP($C18,MasterData!$B$62:$L$111,10,FALSE)*52</f>
        <v>52</v>
      </c>
      <c r="Y18" s="200">
        <f>ROUND(X18*MasterData!$C$7,2)</f>
        <v>3138.72</v>
      </c>
      <c r="Z18" s="199">
        <f>VLOOKUP($C18,MasterData!$B$62:$L$111,11,FALSE)*52</f>
        <v>52</v>
      </c>
      <c r="AA18" s="200">
        <f>ROUND(Z18*MasterData!$D$7,2)</f>
        <v>2201.6799999999998</v>
      </c>
      <c r="AB18" s="201">
        <f t="shared" si="6"/>
        <v>5340.4</v>
      </c>
      <c r="AC18" s="202">
        <f>MasterData!$M$29</f>
        <v>17820.45943877551</v>
      </c>
      <c r="AD18" s="200">
        <f>MasterData!$D$29</f>
        <v>2233.8000000000002</v>
      </c>
      <c r="AE18" s="200">
        <f>MasterData!$E$29</f>
        <v>6471.45</v>
      </c>
      <c r="AF18" s="200">
        <f>MasterData!$F$29</f>
        <v>0</v>
      </c>
      <c r="AG18" s="201">
        <f t="shared" si="0"/>
        <v>639465.0094387756</v>
      </c>
      <c r="AH18" s="200">
        <f>ROUND(AG18*MasterData!$G$29,2)</f>
        <v>76735.8</v>
      </c>
      <c r="AI18" s="200">
        <f>((AG18+AH18)*MasterData!$I$29)-'Model Calculator'!W18*MasterData!$I$29</f>
        <v>1933.1139880102055</v>
      </c>
      <c r="AJ18" s="201">
        <f t="shared" si="1"/>
        <v>719971.9734267859</v>
      </c>
      <c r="AK18" s="201">
        <f t="shared" si="7"/>
        <v>2074.85</v>
      </c>
    </row>
    <row r="19" spans="1:37">
      <c r="A19" s="197" t="s">
        <v>81</v>
      </c>
      <c r="B19" s="197" t="str">
        <f t="shared" si="2"/>
        <v>B412.0</v>
      </c>
      <c r="C19" s="197" t="s">
        <v>81</v>
      </c>
      <c r="D19" s="197" t="s">
        <v>282</v>
      </c>
      <c r="E19" s="197">
        <f>VLOOKUP($C19,MasterData!$B$62:$L$111,2,FALSE)</f>
        <v>0.41</v>
      </c>
      <c r="F19" s="198">
        <f>ROUND(E19*MasterData!$C$3,2)</f>
        <v>21177.18</v>
      </c>
      <c r="G19" s="199">
        <f>VLOOKUP($C19,MasterData!$B$62:$L$111,3,FALSE)</f>
        <v>1</v>
      </c>
      <c r="H19" s="198">
        <f>ROUND(G19*MasterData!$D$3,2)</f>
        <v>41516.800000000003</v>
      </c>
      <c r="I19" s="199">
        <f t="shared" si="3"/>
        <v>12</v>
      </c>
      <c r="J19" s="199">
        <f>VLOOKUP($C19,MasterData!$B$62:$L$111,4,FALSE)</f>
        <v>10.6</v>
      </c>
      <c r="K19" s="198">
        <f>ROUND(J19*MasterData!$E$3,2)</f>
        <v>341303.03999999998</v>
      </c>
      <c r="L19" s="199">
        <f>VLOOKUP($C19,MasterData!$B$62:$L$111,5,FALSE)</f>
        <v>1.4</v>
      </c>
      <c r="M19" s="200">
        <f>ROUND(L19*MasterData!$F$3,2)</f>
        <v>41496</v>
      </c>
      <c r="N19" s="199">
        <f>VLOOKUP($C19,MasterData!$B$62:$L$111,6,FALSE)</f>
        <v>1.85</v>
      </c>
      <c r="O19" s="200">
        <f>ROUND(N19*MasterData!$G$3,2)</f>
        <v>59567.040000000001</v>
      </c>
      <c r="P19" s="199">
        <f>VLOOKUP($C19,MasterData!$B$62:$L$111,7,FALSE)</f>
        <v>0.22</v>
      </c>
      <c r="Q19" s="198">
        <f>ROUND(P19*MasterData!$H$3,2)</f>
        <v>6520.8</v>
      </c>
      <c r="R19" s="199">
        <f>VLOOKUP($C19,MasterData!$B$62:$L$111,8,FALSE)</f>
        <v>0.12</v>
      </c>
      <c r="S19" s="200">
        <f>ROUND(R19*MasterData!$I$3,2)</f>
        <v>3863.81</v>
      </c>
      <c r="T19" s="201">
        <f t="shared" si="4"/>
        <v>515444.66999999993</v>
      </c>
      <c r="U19" s="200">
        <f>ROUND(T19*MasterData!$C$29,2)</f>
        <v>114995.71</v>
      </c>
      <c r="V19" s="200">
        <f>ROUND(T19*MasterData!$J$29,2)</f>
        <v>1907.15</v>
      </c>
      <c r="W19" s="201">
        <f t="shared" si="5"/>
        <v>630440.37999999989</v>
      </c>
      <c r="X19" s="199">
        <f>VLOOKUP($C19,MasterData!$B$62:$L$111,10,FALSE)*52</f>
        <v>52</v>
      </c>
      <c r="Y19" s="200">
        <f>ROUND(X19*MasterData!$C$7,2)</f>
        <v>3138.72</v>
      </c>
      <c r="Z19" s="199">
        <f>VLOOKUP($C19,MasterData!$B$62:$L$111,11,FALSE)*52</f>
        <v>52</v>
      </c>
      <c r="AA19" s="200">
        <f>ROUND(Z19*MasterData!$D$7,2)</f>
        <v>2201.6799999999998</v>
      </c>
      <c r="AB19" s="201">
        <f t="shared" si="6"/>
        <v>5340.4</v>
      </c>
      <c r="AC19" s="202">
        <f>MasterData!$M$29</f>
        <v>17820.45943877551</v>
      </c>
      <c r="AD19" s="200">
        <f>MasterData!$D$29</f>
        <v>2233.8000000000002</v>
      </c>
      <c r="AE19" s="200">
        <f>MasterData!$E$29</f>
        <v>6471.45</v>
      </c>
      <c r="AF19" s="200">
        <f>MasterData!$F$29</f>
        <v>0</v>
      </c>
      <c r="AG19" s="201">
        <f t="shared" si="0"/>
        <v>662306.48943877546</v>
      </c>
      <c r="AH19" s="200">
        <f>ROUND(AG19*MasterData!$G$29,2)</f>
        <v>79476.78</v>
      </c>
      <c r="AI19" s="200">
        <f>((AG19+AH19)*MasterData!$I$29)-'Model Calculator'!W19*MasterData!$I$29</f>
        <v>1981.9034320102055</v>
      </c>
      <c r="AJ19" s="201">
        <f t="shared" si="1"/>
        <v>745672.32287078572</v>
      </c>
      <c r="AK19" s="201">
        <f t="shared" si="7"/>
        <v>2148.91</v>
      </c>
    </row>
    <row r="20" spans="1:37">
      <c r="A20" s="197" t="s">
        <v>82</v>
      </c>
      <c r="B20" s="197" t="str">
        <f t="shared" si="2"/>
        <v>B412.5</v>
      </c>
      <c r="C20" s="197" t="s">
        <v>82</v>
      </c>
      <c r="D20" s="197" t="s">
        <v>282</v>
      </c>
      <c r="E20" s="197">
        <f>VLOOKUP($C20,MasterData!$B$62:$L$111,2,FALSE)</f>
        <v>0.41</v>
      </c>
      <c r="F20" s="198">
        <f>ROUND(E20*MasterData!$C$3,2)</f>
        <v>21177.18</v>
      </c>
      <c r="G20" s="199">
        <f>VLOOKUP($C20,MasterData!$B$62:$L$111,3,FALSE)</f>
        <v>1</v>
      </c>
      <c r="H20" s="198">
        <f>ROUND(G20*MasterData!$D$3,2)</f>
        <v>41516.800000000003</v>
      </c>
      <c r="I20" s="199">
        <f t="shared" si="3"/>
        <v>12.5</v>
      </c>
      <c r="J20" s="199">
        <f>VLOOKUP($C20,MasterData!$B$62:$L$111,4,FALSE)</f>
        <v>11.1</v>
      </c>
      <c r="K20" s="198">
        <f>ROUND(J20*MasterData!$E$3,2)</f>
        <v>357402.24</v>
      </c>
      <c r="L20" s="199">
        <f>VLOOKUP($C20,MasterData!$B$62:$L$111,5,FALSE)</f>
        <v>1.4</v>
      </c>
      <c r="M20" s="200">
        <f>ROUND(L20*MasterData!$F$3,2)</f>
        <v>41496</v>
      </c>
      <c r="N20" s="199">
        <f>VLOOKUP($C20,MasterData!$B$62:$L$111,6,FALSE)</f>
        <v>1.93</v>
      </c>
      <c r="O20" s="200">
        <f>ROUND(N20*MasterData!$G$3,2)</f>
        <v>62142.91</v>
      </c>
      <c r="P20" s="199">
        <f>VLOOKUP($C20,MasterData!$B$62:$L$111,7,FALSE)</f>
        <v>0.22</v>
      </c>
      <c r="Q20" s="198">
        <f>ROUND(P20*MasterData!$H$3,2)</f>
        <v>6520.8</v>
      </c>
      <c r="R20" s="199">
        <f>VLOOKUP($C20,MasterData!$B$62:$L$111,8,FALSE)</f>
        <v>0.12</v>
      </c>
      <c r="S20" s="200">
        <f>ROUND(R20*MasterData!$I$3,2)</f>
        <v>3863.81</v>
      </c>
      <c r="T20" s="201">
        <f t="shared" si="4"/>
        <v>534119.74000000011</v>
      </c>
      <c r="U20" s="200">
        <f>ROUND(T20*MasterData!$C$29,2)</f>
        <v>119162.11</v>
      </c>
      <c r="V20" s="200">
        <f>ROUND(T20*MasterData!$J$29,2)</f>
        <v>1976.24</v>
      </c>
      <c r="W20" s="201">
        <f t="shared" si="5"/>
        <v>653281.85000000009</v>
      </c>
      <c r="X20" s="199">
        <f>VLOOKUP($C20,MasterData!$B$62:$L$111,10,FALSE)*52</f>
        <v>52</v>
      </c>
      <c r="Y20" s="200">
        <f>ROUND(X20*MasterData!$C$7,2)</f>
        <v>3138.72</v>
      </c>
      <c r="Z20" s="199">
        <f>VLOOKUP($C20,MasterData!$B$62:$L$111,11,FALSE)*52</f>
        <v>52</v>
      </c>
      <c r="AA20" s="200">
        <f>ROUND(Z20*MasterData!$D$7,2)</f>
        <v>2201.6799999999998</v>
      </c>
      <c r="AB20" s="201">
        <f t="shared" si="6"/>
        <v>5340.4</v>
      </c>
      <c r="AC20" s="202">
        <f>MasterData!$M$29</f>
        <v>17820.45943877551</v>
      </c>
      <c r="AD20" s="200">
        <f>MasterData!$D$29</f>
        <v>2233.8000000000002</v>
      </c>
      <c r="AE20" s="200">
        <f>MasterData!$E$29</f>
        <v>6471.45</v>
      </c>
      <c r="AF20" s="200">
        <f>MasterData!$F$29</f>
        <v>0</v>
      </c>
      <c r="AG20" s="201">
        <f t="shared" si="0"/>
        <v>685147.95943877567</v>
      </c>
      <c r="AH20" s="200">
        <f>ROUND(AG20*MasterData!$G$29,2)</f>
        <v>82217.759999999995</v>
      </c>
      <c r="AI20" s="200">
        <f>((AG20+AH20)*MasterData!$I$29)-'Model Calculator'!W20*MasterData!$I$29</f>
        <v>2030.6928760102055</v>
      </c>
      <c r="AJ20" s="201">
        <f t="shared" si="1"/>
        <v>771372.65231478587</v>
      </c>
      <c r="AK20" s="201">
        <f t="shared" si="7"/>
        <v>2222.98</v>
      </c>
    </row>
    <row r="21" spans="1:37" hidden="1">
      <c r="A21" s="197" t="s">
        <v>83</v>
      </c>
      <c r="B21" s="197" t="str">
        <f t="shared" si="2"/>
        <v>B413.0</v>
      </c>
      <c r="C21" s="197" t="s">
        <v>83</v>
      </c>
      <c r="D21" s="197" t="s">
        <v>282</v>
      </c>
      <c r="E21" s="197">
        <f>VLOOKUP($C21,MasterData!$B$62:$L$111,2,FALSE)</f>
        <v>0.41</v>
      </c>
      <c r="F21" s="198">
        <f>ROUND(E21*MasterData!$C$3,2)</f>
        <v>21177.18</v>
      </c>
      <c r="G21" s="199">
        <f>VLOOKUP($C21,MasterData!$B$62:$L$111,3,FALSE)</f>
        <v>1</v>
      </c>
      <c r="H21" s="198">
        <f>ROUND(G21*MasterData!$D$3,2)</f>
        <v>41516.800000000003</v>
      </c>
      <c r="I21" s="199">
        <f t="shared" si="3"/>
        <v>13</v>
      </c>
      <c r="J21" s="199">
        <f>VLOOKUP($C21,MasterData!$B$62:$L$111,4,FALSE)</f>
        <v>11.6</v>
      </c>
      <c r="K21" s="198">
        <f>ROUND(J21*MasterData!$E$3,2)</f>
        <v>373501.44</v>
      </c>
      <c r="L21" s="199">
        <f>VLOOKUP($C21,MasterData!$B$62:$L$111,5,FALSE)</f>
        <v>1.4</v>
      </c>
      <c r="M21" s="200">
        <f>ROUND(L21*MasterData!$F$3,2)</f>
        <v>41496</v>
      </c>
      <c r="N21" s="199">
        <f>VLOOKUP($C21,MasterData!$B$62:$L$111,6,FALSE)</f>
        <v>2</v>
      </c>
      <c r="O21" s="200">
        <f>ROUND(N21*MasterData!$G$3,2)</f>
        <v>64396.800000000003</v>
      </c>
      <c r="P21" s="199">
        <f>VLOOKUP($C21,MasterData!$B$62:$L$111,7,FALSE)</f>
        <v>0.22</v>
      </c>
      <c r="Q21" s="198">
        <f>ROUND(P21*MasterData!$H$3,2)</f>
        <v>6520.8</v>
      </c>
      <c r="R21" s="199">
        <f>VLOOKUP($C21,MasterData!$B$62:$L$111,8,FALSE)</f>
        <v>0.12</v>
      </c>
      <c r="S21" s="200">
        <f>ROUND(R21*MasterData!$I$3,2)</f>
        <v>3863.81</v>
      </c>
      <c r="T21" s="201">
        <f t="shared" si="4"/>
        <v>552472.83000000007</v>
      </c>
      <c r="U21" s="200">
        <f>ROUND(T21*MasterData!$C$29,2)</f>
        <v>123256.69</v>
      </c>
      <c r="V21" s="200">
        <f>ROUND(T21*MasterData!$J$29,2)</f>
        <v>2044.15</v>
      </c>
      <c r="W21" s="201">
        <f t="shared" si="5"/>
        <v>675729.52</v>
      </c>
      <c r="X21" s="199">
        <f>VLOOKUP($C21,MasterData!$B$62:$L$111,10,FALSE)*52</f>
        <v>52</v>
      </c>
      <c r="Y21" s="200">
        <f>ROUND(X21*MasterData!$C$7,2)</f>
        <v>3138.72</v>
      </c>
      <c r="Z21" s="199">
        <f>VLOOKUP($C21,MasterData!$B$62:$L$111,11,FALSE)*52</f>
        <v>52</v>
      </c>
      <c r="AA21" s="200">
        <f>ROUND(Z21*MasterData!$D$7,2)</f>
        <v>2201.6799999999998</v>
      </c>
      <c r="AB21" s="201">
        <f t="shared" si="6"/>
        <v>5340.4</v>
      </c>
      <c r="AC21" s="202">
        <f>MasterData!$M$29</f>
        <v>17820.45943877551</v>
      </c>
      <c r="AD21" s="200">
        <f>MasterData!$D$29</f>
        <v>2233.8000000000002</v>
      </c>
      <c r="AE21" s="200">
        <f>MasterData!$E$29</f>
        <v>6471.45</v>
      </c>
      <c r="AF21" s="200">
        <f>MasterData!$F$29</f>
        <v>0</v>
      </c>
      <c r="AG21" s="201">
        <f t="shared" si="0"/>
        <v>707595.62943877559</v>
      </c>
      <c r="AH21" s="200">
        <f>ROUND(AG21*MasterData!$G$29,2)</f>
        <v>84911.48</v>
      </c>
      <c r="AI21" s="200">
        <f>((AG21+AH21)*MasterData!$I$29)-'Model Calculator'!W21*MasterData!$I$29</f>
        <v>2078.6410920102044</v>
      </c>
      <c r="AJ21" s="201">
        <f t="shared" si="1"/>
        <v>796629.90053078579</v>
      </c>
      <c r="AK21" s="201">
        <f t="shared" si="7"/>
        <v>2295.7600000000002</v>
      </c>
    </row>
    <row r="22" spans="1:37" hidden="1">
      <c r="A22" s="197" t="s">
        <v>84</v>
      </c>
      <c r="B22" s="197" t="str">
        <f t="shared" si="2"/>
        <v>B413.5</v>
      </c>
      <c r="C22" s="197" t="s">
        <v>84</v>
      </c>
      <c r="D22" s="197" t="s">
        <v>282</v>
      </c>
      <c r="E22" s="197">
        <f>VLOOKUP($C22,MasterData!$B$62:$L$111,2,FALSE)</f>
        <v>0.41</v>
      </c>
      <c r="F22" s="198">
        <f>ROUND(E22*MasterData!$C$3,2)</f>
        <v>21177.18</v>
      </c>
      <c r="G22" s="199">
        <f>VLOOKUP($C22,MasterData!$B$62:$L$111,3,FALSE)</f>
        <v>1</v>
      </c>
      <c r="H22" s="198">
        <f>ROUND(G22*MasterData!$D$3,2)</f>
        <v>41516.800000000003</v>
      </c>
      <c r="I22" s="199">
        <f t="shared" si="3"/>
        <v>13.5</v>
      </c>
      <c r="J22" s="199">
        <f>VLOOKUP($C22,MasterData!$B$62:$L$111,4,FALSE)</f>
        <v>12.1</v>
      </c>
      <c r="K22" s="198">
        <f>ROUND(J22*MasterData!$E$3,2)</f>
        <v>389600.64</v>
      </c>
      <c r="L22" s="199">
        <f>VLOOKUP($C22,MasterData!$B$62:$L$111,5,FALSE)</f>
        <v>1.4</v>
      </c>
      <c r="M22" s="200">
        <f>ROUND(L22*MasterData!$F$3,2)</f>
        <v>41496</v>
      </c>
      <c r="N22" s="199">
        <f>VLOOKUP($C22,MasterData!$B$62:$L$111,6,FALSE)</f>
        <v>2.08</v>
      </c>
      <c r="O22" s="200">
        <f>ROUND(N22*MasterData!$G$3,2)</f>
        <v>66972.67</v>
      </c>
      <c r="P22" s="199">
        <f>VLOOKUP($C22,MasterData!$B$62:$L$111,7,FALSE)</f>
        <v>0.22</v>
      </c>
      <c r="Q22" s="198">
        <f>ROUND(P22*MasterData!$H$3,2)</f>
        <v>6520.8</v>
      </c>
      <c r="R22" s="199">
        <f>VLOOKUP($C22,MasterData!$B$62:$L$111,8,FALSE)</f>
        <v>0.12</v>
      </c>
      <c r="S22" s="200">
        <f>ROUND(R22*MasterData!$I$3,2)</f>
        <v>3863.81</v>
      </c>
      <c r="T22" s="201">
        <f t="shared" si="4"/>
        <v>571147.90000000014</v>
      </c>
      <c r="U22" s="200">
        <f>ROUND(T22*MasterData!$C$29,2)</f>
        <v>127423.1</v>
      </c>
      <c r="V22" s="200">
        <f>ROUND(T22*MasterData!$J$29,2)</f>
        <v>2113.25</v>
      </c>
      <c r="W22" s="201">
        <f t="shared" si="5"/>
        <v>698571.00000000012</v>
      </c>
      <c r="X22" s="199">
        <f>VLOOKUP($C22,MasterData!$B$62:$L$111,10,FALSE)*52</f>
        <v>52</v>
      </c>
      <c r="Y22" s="200">
        <f>ROUND(X22*MasterData!$C$7,2)</f>
        <v>3138.72</v>
      </c>
      <c r="Z22" s="199">
        <f>VLOOKUP($C22,MasterData!$B$62:$L$111,11,FALSE)*52</f>
        <v>52</v>
      </c>
      <c r="AA22" s="200">
        <f>ROUND(Z22*MasterData!$D$7,2)</f>
        <v>2201.6799999999998</v>
      </c>
      <c r="AB22" s="201">
        <f t="shared" si="6"/>
        <v>5340.4</v>
      </c>
      <c r="AC22" s="202">
        <f>MasterData!$M$29</f>
        <v>17820.45943877551</v>
      </c>
      <c r="AD22" s="200">
        <f>MasterData!$D$29</f>
        <v>2233.8000000000002</v>
      </c>
      <c r="AE22" s="200">
        <f>MasterData!$E$29</f>
        <v>6471.45</v>
      </c>
      <c r="AF22" s="200">
        <f>MasterData!$F$29</f>
        <v>0</v>
      </c>
      <c r="AG22" s="201">
        <f t="shared" si="0"/>
        <v>730437.10943877569</v>
      </c>
      <c r="AH22" s="200">
        <f>ROUND(AG22*MasterData!$G$29,2)</f>
        <v>87652.45</v>
      </c>
      <c r="AI22" s="200">
        <f>((AG22+AH22)*MasterData!$I$29)-'Model Calculator'!W22*MasterData!$I$29</f>
        <v>2127.4303580102041</v>
      </c>
      <c r="AJ22" s="201">
        <f t="shared" si="1"/>
        <v>822330.23979678587</v>
      </c>
      <c r="AK22" s="201">
        <f t="shared" si="7"/>
        <v>2369.83</v>
      </c>
    </row>
    <row r="23" spans="1:37" hidden="1">
      <c r="A23" s="197" t="s">
        <v>85</v>
      </c>
      <c r="B23" s="197" t="str">
        <f t="shared" si="2"/>
        <v>B414.0</v>
      </c>
      <c r="C23" s="197" t="s">
        <v>85</v>
      </c>
      <c r="D23" s="197" t="s">
        <v>282</v>
      </c>
      <c r="E23" s="197">
        <f>VLOOKUP($C23,MasterData!$B$62:$L$111,2,FALSE)</f>
        <v>0.41</v>
      </c>
      <c r="F23" s="198">
        <f>ROUND(E23*MasterData!$C$3,2)</f>
        <v>21177.18</v>
      </c>
      <c r="G23" s="199">
        <f>VLOOKUP($C23,MasterData!$B$62:$L$111,3,FALSE)</f>
        <v>1</v>
      </c>
      <c r="H23" s="198">
        <f>ROUND(G23*MasterData!$D$3,2)</f>
        <v>41516.800000000003</v>
      </c>
      <c r="I23" s="199">
        <f t="shared" si="3"/>
        <v>14</v>
      </c>
      <c r="J23" s="199">
        <f>VLOOKUP($C23,MasterData!$B$62:$L$111,4,FALSE)</f>
        <v>12.6</v>
      </c>
      <c r="K23" s="198">
        <f>ROUND(J23*MasterData!$E$3,2)</f>
        <v>405699.84000000003</v>
      </c>
      <c r="L23" s="199">
        <f>VLOOKUP($C23,MasterData!$B$62:$L$111,5,FALSE)</f>
        <v>1.4</v>
      </c>
      <c r="M23" s="200">
        <f>ROUND(L23*MasterData!$F$3,2)</f>
        <v>41496</v>
      </c>
      <c r="N23" s="199">
        <f>VLOOKUP($C23,MasterData!$B$62:$L$111,6,FALSE)</f>
        <v>2.16</v>
      </c>
      <c r="O23" s="200">
        <f>ROUND(N23*MasterData!$G$3,2)</f>
        <v>69548.539999999994</v>
      </c>
      <c r="P23" s="199">
        <f>VLOOKUP($C23,MasterData!$B$62:$L$111,7,FALSE)</f>
        <v>0.22</v>
      </c>
      <c r="Q23" s="198">
        <f>ROUND(P23*MasterData!$H$3,2)</f>
        <v>6520.8</v>
      </c>
      <c r="R23" s="199">
        <f>VLOOKUP($C23,MasterData!$B$62:$L$111,8,FALSE)</f>
        <v>0.12</v>
      </c>
      <c r="S23" s="200">
        <f>ROUND(R23*MasterData!$I$3,2)</f>
        <v>3863.81</v>
      </c>
      <c r="T23" s="201">
        <f t="shared" si="4"/>
        <v>589822.97000000009</v>
      </c>
      <c r="U23" s="200">
        <f>ROUND(T23*MasterData!$C$29,2)</f>
        <v>131589.5</v>
      </c>
      <c r="V23" s="200">
        <f>ROUND(T23*MasterData!$J$29,2)</f>
        <v>2182.34</v>
      </c>
      <c r="W23" s="201">
        <f t="shared" si="5"/>
        <v>721412.47000000009</v>
      </c>
      <c r="X23" s="199">
        <f>VLOOKUP($C23,MasterData!$B$62:$L$111,10,FALSE)*52</f>
        <v>52</v>
      </c>
      <c r="Y23" s="200">
        <f>ROUND(X23*MasterData!$C$7,2)</f>
        <v>3138.72</v>
      </c>
      <c r="Z23" s="199">
        <f>VLOOKUP($C23,MasterData!$B$62:$L$111,11,FALSE)*52</f>
        <v>52</v>
      </c>
      <c r="AA23" s="200">
        <f>ROUND(Z23*MasterData!$D$7,2)</f>
        <v>2201.6799999999998</v>
      </c>
      <c r="AB23" s="201">
        <f t="shared" si="6"/>
        <v>5340.4</v>
      </c>
      <c r="AC23" s="202">
        <f>MasterData!$M$29</f>
        <v>17820.45943877551</v>
      </c>
      <c r="AD23" s="200">
        <f>MasterData!$D$29</f>
        <v>2233.8000000000002</v>
      </c>
      <c r="AE23" s="200">
        <f>MasterData!$E$29</f>
        <v>6471.45</v>
      </c>
      <c r="AF23" s="200">
        <f>MasterData!$F$29</f>
        <v>0</v>
      </c>
      <c r="AG23" s="201">
        <f t="shared" si="0"/>
        <v>753278.57943877566</v>
      </c>
      <c r="AH23" s="200">
        <f>ROUND(AG23*MasterData!$G$29,2)</f>
        <v>90393.43</v>
      </c>
      <c r="AI23" s="200">
        <f>((AG23+AH23)*MasterData!$I$29)-'Model Calculator'!W23*MasterData!$I$29</f>
        <v>2176.219802010206</v>
      </c>
      <c r="AJ23" s="201">
        <f t="shared" si="1"/>
        <v>848030.5692407859</v>
      </c>
      <c r="AK23" s="201">
        <f t="shared" si="7"/>
        <v>2443.89</v>
      </c>
    </row>
    <row r="24" spans="1:37" hidden="1">
      <c r="A24" s="197" t="s">
        <v>86</v>
      </c>
      <c r="B24" s="197" t="str">
        <f t="shared" si="2"/>
        <v>B414.5</v>
      </c>
      <c r="C24" s="197" t="s">
        <v>86</v>
      </c>
      <c r="D24" s="197" t="s">
        <v>282</v>
      </c>
      <c r="E24" s="197">
        <f>VLOOKUP($C24,MasterData!$B$62:$L$111,2,FALSE)</f>
        <v>0.41</v>
      </c>
      <c r="F24" s="198">
        <f>ROUND(E24*MasterData!$C$3,2)</f>
        <v>21177.18</v>
      </c>
      <c r="G24" s="199">
        <f>VLOOKUP($C24,MasterData!$B$62:$L$111,3,FALSE)</f>
        <v>1</v>
      </c>
      <c r="H24" s="198">
        <f>ROUND(G24*MasterData!$D$3,2)</f>
        <v>41516.800000000003</v>
      </c>
      <c r="I24" s="199">
        <f t="shared" si="3"/>
        <v>14.5</v>
      </c>
      <c r="J24" s="199">
        <f>VLOOKUP($C24,MasterData!$B$62:$L$111,4,FALSE)</f>
        <v>13.1</v>
      </c>
      <c r="K24" s="198">
        <f>ROUND(J24*MasterData!$E$3,2)</f>
        <v>421799.04</v>
      </c>
      <c r="L24" s="199">
        <f>VLOOKUP($C24,MasterData!$B$62:$L$111,5,FALSE)</f>
        <v>1.4</v>
      </c>
      <c r="M24" s="200">
        <f>ROUND(L24*MasterData!$F$3,2)</f>
        <v>41496</v>
      </c>
      <c r="N24" s="199">
        <f>VLOOKUP($C24,MasterData!$B$62:$L$111,6,FALSE)</f>
        <v>2.23</v>
      </c>
      <c r="O24" s="200">
        <f>ROUND(N24*MasterData!$G$3,2)</f>
        <v>71802.429999999993</v>
      </c>
      <c r="P24" s="199">
        <f>VLOOKUP($C24,MasterData!$B$62:$L$111,7,FALSE)</f>
        <v>0.22</v>
      </c>
      <c r="Q24" s="198">
        <f>ROUND(P24*MasterData!$H$3,2)</f>
        <v>6520.8</v>
      </c>
      <c r="R24" s="199">
        <f>VLOOKUP($C24,MasterData!$B$62:$L$111,8,FALSE)</f>
        <v>0.12</v>
      </c>
      <c r="S24" s="200">
        <f>ROUND(R24*MasterData!$I$3,2)</f>
        <v>3863.81</v>
      </c>
      <c r="T24" s="201">
        <f t="shared" si="4"/>
        <v>608176.06000000006</v>
      </c>
      <c r="U24" s="200">
        <f>ROUND(T24*MasterData!$C$29,2)</f>
        <v>135684.07999999999</v>
      </c>
      <c r="V24" s="200">
        <f>ROUND(T24*MasterData!$J$29,2)</f>
        <v>2250.25</v>
      </c>
      <c r="W24" s="201">
        <f t="shared" si="5"/>
        <v>743860.14</v>
      </c>
      <c r="X24" s="199">
        <f>VLOOKUP($C24,MasterData!$B$62:$L$111,10,FALSE)*52</f>
        <v>52</v>
      </c>
      <c r="Y24" s="200">
        <f>ROUND(X24*MasterData!$C$7,2)</f>
        <v>3138.72</v>
      </c>
      <c r="Z24" s="199">
        <f>VLOOKUP($C24,MasterData!$B$62:$L$111,11,FALSE)*52</f>
        <v>52</v>
      </c>
      <c r="AA24" s="200">
        <f>ROUND(Z24*MasterData!$D$7,2)</f>
        <v>2201.6799999999998</v>
      </c>
      <c r="AB24" s="201">
        <f t="shared" si="6"/>
        <v>5340.4</v>
      </c>
      <c r="AC24" s="202">
        <f>MasterData!$M$29</f>
        <v>17820.45943877551</v>
      </c>
      <c r="AD24" s="200">
        <f>MasterData!$D$29</f>
        <v>2233.8000000000002</v>
      </c>
      <c r="AE24" s="200">
        <f>MasterData!$E$29</f>
        <v>6471.45</v>
      </c>
      <c r="AF24" s="200">
        <f>MasterData!$F$29</f>
        <v>0</v>
      </c>
      <c r="AG24" s="201">
        <f t="shared" si="0"/>
        <v>775726.24943877559</v>
      </c>
      <c r="AH24" s="200">
        <f>ROUND(AG24*MasterData!$G$29,2)</f>
        <v>93087.15</v>
      </c>
      <c r="AI24" s="200">
        <f>((AG24+AH24)*MasterData!$I$29)-'Model Calculator'!W24*MasterData!$I$29</f>
        <v>2224.1680180102048</v>
      </c>
      <c r="AJ24" s="201">
        <f t="shared" si="1"/>
        <v>873287.81745678582</v>
      </c>
      <c r="AK24" s="201">
        <f t="shared" si="7"/>
        <v>2516.6799999999998</v>
      </c>
    </row>
    <row r="25" spans="1:37" hidden="1">
      <c r="A25" s="197" t="s">
        <v>87</v>
      </c>
      <c r="B25" s="197" t="str">
        <f t="shared" si="2"/>
        <v>B415.0</v>
      </c>
      <c r="C25" s="197" t="s">
        <v>87</v>
      </c>
      <c r="D25" s="197" t="s">
        <v>282</v>
      </c>
      <c r="E25" s="197">
        <f>VLOOKUP($C25,MasterData!$B$62:$L$111,2,FALSE)</f>
        <v>0.41</v>
      </c>
      <c r="F25" s="198">
        <f>ROUND(E25*MasterData!$C$3,2)</f>
        <v>21177.18</v>
      </c>
      <c r="G25" s="199">
        <f>VLOOKUP($C25,MasterData!$B$62:$L$111,3,FALSE)</f>
        <v>1</v>
      </c>
      <c r="H25" s="198">
        <f>ROUND(G25*MasterData!$D$3,2)</f>
        <v>41516.800000000003</v>
      </c>
      <c r="I25" s="199">
        <f t="shared" si="3"/>
        <v>15</v>
      </c>
      <c r="J25" s="199">
        <f>VLOOKUP($C25,MasterData!$B$62:$L$111,4,FALSE)</f>
        <v>13.6</v>
      </c>
      <c r="K25" s="198">
        <f>ROUND(J25*MasterData!$E$3,2)</f>
        <v>437898.23999999999</v>
      </c>
      <c r="L25" s="199">
        <f>VLOOKUP($C25,MasterData!$B$62:$L$111,5,FALSE)</f>
        <v>1.4</v>
      </c>
      <c r="M25" s="200">
        <f>ROUND(L25*MasterData!$F$3,2)</f>
        <v>41496</v>
      </c>
      <c r="N25" s="199">
        <f>VLOOKUP($C25,MasterData!$B$62:$L$111,6,FALSE)</f>
        <v>2.31</v>
      </c>
      <c r="O25" s="200">
        <f>ROUND(N25*MasterData!$G$3,2)</f>
        <v>74378.3</v>
      </c>
      <c r="P25" s="199">
        <f>VLOOKUP($C25,MasterData!$B$62:$L$111,7,FALSE)</f>
        <v>0.22</v>
      </c>
      <c r="Q25" s="198">
        <f>ROUND(P25*MasterData!$H$3,2)</f>
        <v>6520.8</v>
      </c>
      <c r="R25" s="199">
        <f>VLOOKUP($C25,MasterData!$B$62:$L$111,8,FALSE)</f>
        <v>0.12</v>
      </c>
      <c r="S25" s="200">
        <f>ROUND(R25*MasterData!$I$3,2)</f>
        <v>3863.81</v>
      </c>
      <c r="T25" s="201">
        <f t="shared" si="4"/>
        <v>626851.13000000012</v>
      </c>
      <c r="U25" s="200">
        <f>ROUND(T25*MasterData!$C$29,2)</f>
        <v>139850.49</v>
      </c>
      <c r="V25" s="200">
        <f>ROUND(T25*MasterData!$J$29,2)</f>
        <v>2319.35</v>
      </c>
      <c r="W25" s="201">
        <f t="shared" si="5"/>
        <v>766701.62000000011</v>
      </c>
      <c r="X25" s="199">
        <f>VLOOKUP($C25,MasterData!$B$62:$L$111,10,FALSE)*52</f>
        <v>52</v>
      </c>
      <c r="Y25" s="200">
        <f>ROUND(X25*MasterData!$C$7,2)</f>
        <v>3138.72</v>
      </c>
      <c r="Z25" s="199">
        <f>VLOOKUP($C25,MasterData!$B$62:$L$111,11,FALSE)*52</f>
        <v>52</v>
      </c>
      <c r="AA25" s="200">
        <f>ROUND(Z25*MasterData!$D$7,2)</f>
        <v>2201.6799999999998</v>
      </c>
      <c r="AB25" s="201">
        <f t="shared" si="6"/>
        <v>5340.4</v>
      </c>
      <c r="AC25" s="202">
        <f>MasterData!$M$29</f>
        <v>17820.45943877551</v>
      </c>
      <c r="AD25" s="200">
        <f>MasterData!$D$29</f>
        <v>2233.8000000000002</v>
      </c>
      <c r="AE25" s="200">
        <f>MasterData!$E$29</f>
        <v>6471.45</v>
      </c>
      <c r="AF25" s="200">
        <f>MasterData!$F$29</f>
        <v>0</v>
      </c>
      <c r="AG25" s="201">
        <f t="shared" si="0"/>
        <v>798567.72943877568</v>
      </c>
      <c r="AH25" s="200">
        <f>ROUND(AG25*MasterData!$G$29,2)</f>
        <v>95828.13</v>
      </c>
      <c r="AI25" s="200">
        <f>((AG25+AH25)*MasterData!$I$29)-'Model Calculator'!W25*MasterData!$I$29</f>
        <v>2272.9574620102048</v>
      </c>
      <c r="AJ25" s="201">
        <f t="shared" si="1"/>
        <v>898988.16690078587</v>
      </c>
      <c r="AK25" s="201">
        <f t="shared" si="7"/>
        <v>2590.7399999999998</v>
      </c>
    </row>
    <row r="26" spans="1:37" s="210" customFormat="1" hidden="1">
      <c r="A26" s="204" t="s">
        <v>88</v>
      </c>
      <c r="B26" s="197" t="str">
        <f t="shared" si="2"/>
        <v>B415.5</v>
      </c>
      <c r="C26" s="204" t="s">
        <v>88</v>
      </c>
      <c r="D26" s="204" t="s">
        <v>282</v>
      </c>
      <c r="E26" s="204">
        <f>VLOOKUP($C26,MasterData!$B$62:$L$111,2,FALSE)</f>
        <v>0.41</v>
      </c>
      <c r="F26" s="205">
        <f>ROUND(E26*MasterData!$C$3,2)</f>
        <v>21177.18</v>
      </c>
      <c r="G26" s="206">
        <f>VLOOKUP($C26,MasterData!$B$62:$L$111,3,FALSE)</f>
        <v>1</v>
      </c>
      <c r="H26" s="205">
        <f>ROUND(G26*MasterData!$D$3,2)</f>
        <v>41516.800000000003</v>
      </c>
      <c r="I26" s="206">
        <f t="shared" si="3"/>
        <v>15.5</v>
      </c>
      <c r="J26" s="206">
        <f>VLOOKUP($C26,MasterData!$B$62:$L$111,4,FALSE)</f>
        <v>14.1</v>
      </c>
      <c r="K26" s="205">
        <f>ROUND(J26*MasterData!$E$3,2)</f>
        <v>453997.44</v>
      </c>
      <c r="L26" s="206">
        <f>VLOOKUP($C26,MasterData!$B$62:$L$111,5,FALSE)</f>
        <v>1.4</v>
      </c>
      <c r="M26" s="207">
        <f>ROUND(L26*MasterData!$F$3,2)</f>
        <v>41496</v>
      </c>
      <c r="N26" s="206">
        <f>VLOOKUP($C26,MasterData!$B$62:$L$111,6,FALSE)</f>
        <v>2.39</v>
      </c>
      <c r="O26" s="207">
        <f>ROUND(N26*MasterData!$G$3,2)</f>
        <v>76954.179999999993</v>
      </c>
      <c r="P26" s="206">
        <f>VLOOKUP($C26,MasterData!$B$62:$L$111,7,FALSE)</f>
        <v>0.22</v>
      </c>
      <c r="Q26" s="205">
        <f>ROUND(P26*MasterData!$H$3,2)</f>
        <v>6520.8</v>
      </c>
      <c r="R26" s="206">
        <f>VLOOKUP($C26,MasterData!$B$62:$L$111,8,FALSE)</f>
        <v>0.12</v>
      </c>
      <c r="S26" s="207">
        <f>ROUND(R26*MasterData!$I$3,2)</f>
        <v>3863.81</v>
      </c>
      <c r="T26" s="208">
        <f t="shared" si="4"/>
        <v>645526.21</v>
      </c>
      <c r="U26" s="207">
        <f>ROUND(T26*MasterData!$C$29,2)</f>
        <v>144016.9</v>
      </c>
      <c r="V26" s="207">
        <f>ROUND(T26*MasterData!$J$29,2)</f>
        <v>2388.4499999999998</v>
      </c>
      <c r="W26" s="201">
        <f t="shared" si="5"/>
        <v>789543.11</v>
      </c>
      <c r="X26" s="206">
        <f>VLOOKUP($C26,MasterData!$B$62:$L$111,10,FALSE)*52</f>
        <v>52</v>
      </c>
      <c r="Y26" s="207">
        <f>ROUND(X26*MasterData!$C$7,2)</f>
        <v>3138.72</v>
      </c>
      <c r="Z26" s="206">
        <f>VLOOKUP($C26,MasterData!$B$62:$L$111,11,FALSE)*52</f>
        <v>52</v>
      </c>
      <c r="AA26" s="207">
        <f>ROUND(Z26*MasterData!$D$7,2)</f>
        <v>2201.6799999999998</v>
      </c>
      <c r="AB26" s="208">
        <f t="shared" si="6"/>
        <v>5340.4</v>
      </c>
      <c r="AC26" s="209">
        <f>MasterData!$M$29</f>
        <v>17820.45943877551</v>
      </c>
      <c r="AD26" s="207">
        <f>MasterData!$D$29</f>
        <v>2233.8000000000002</v>
      </c>
      <c r="AE26" s="207">
        <f>MasterData!$E$29</f>
        <v>6471.45</v>
      </c>
      <c r="AF26" s="207">
        <f>MasterData!$F$29</f>
        <v>0</v>
      </c>
      <c r="AG26" s="208">
        <f t="shared" si="0"/>
        <v>821409.21943877556</v>
      </c>
      <c r="AH26" s="207">
        <f>ROUND(AG26*MasterData!$G$29,2)</f>
        <v>98569.11</v>
      </c>
      <c r="AI26" s="200">
        <f>((AG26+AH26)*MasterData!$I$29)-'Model Calculator'!W26*MasterData!$I$29</f>
        <v>2321.7469060102048</v>
      </c>
      <c r="AJ26" s="201">
        <f t="shared" si="1"/>
        <v>924688.5263447857</v>
      </c>
      <c r="AK26" s="201">
        <f t="shared" si="7"/>
        <v>2664.81</v>
      </c>
    </row>
    <row r="27" spans="1:37" hidden="1">
      <c r="A27" s="197" t="s">
        <v>89</v>
      </c>
      <c r="B27" s="197" t="str">
        <f t="shared" si="2"/>
        <v>I403.5</v>
      </c>
      <c r="C27" s="197" t="s">
        <v>89</v>
      </c>
      <c r="D27" s="197" t="s">
        <v>282</v>
      </c>
      <c r="E27" s="197">
        <f>VLOOKUP($C27,MasterData!$B$62:$L$111,2,FALSE)</f>
        <v>0.41</v>
      </c>
      <c r="F27" s="198">
        <f>ROUND(E27*MasterData!$C$4,2)</f>
        <v>21177.18</v>
      </c>
      <c r="G27" s="199">
        <f>VLOOKUP($C27,MasterData!$B$62:$L$111,3,FALSE)</f>
        <v>1</v>
      </c>
      <c r="H27" s="198">
        <f>ROUND(G27*MasterData!$D$4,2)</f>
        <v>41516.800000000003</v>
      </c>
      <c r="I27" s="199">
        <f t="shared" si="3"/>
        <v>3.5</v>
      </c>
      <c r="J27" s="199">
        <f>VLOOKUP($C27,MasterData!$B$62:$L$111,4,FALSE)</f>
        <v>2.1</v>
      </c>
      <c r="K27" s="198">
        <f>ROUND(J27*MasterData!$E$4,2)</f>
        <v>69963.600000000006</v>
      </c>
      <c r="L27" s="199">
        <f>VLOOKUP($C27,MasterData!$B$62:$L$111,5,FALSE)</f>
        <v>1.4</v>
      </c>
      <c r="M27" s="200">
        <f>ROUND(L27*MasterData!$F$4,2)</f>
        <v>41496</v>
      </c>
      <c r="N27" s="199">
        <f>VLOOKUP($C27,MasterData!$B$62:$L$111,6,FALSE)</f>
        <v>0.54</v>
      </c>
      <c r="O27" s="211">
        <f>ROUND(N27*MasterData!$G$4,2)</f>
        <v>17990.64</v>
      </c>
      <c r="P27" s="199">
        <f>VLOOKUP($C27,MasterData!$B$62:$L$111,7,FALSE)</f>
        <v>0.22</v>
      </c>
      <c r="Q27" s="198">
        <f>ROUND(P27*MasterData!$H$4,2)</f>
        <v>6520.8</v>
      </c>
      <c r="R27" s="199">
        <f>VLOOKUP($C27,MasterData!$B$62:$L$111,8,FALSE)</f>
        <v>0.12</v>
      </c>
      <c r="S27" s="200">
        <f>ROUND(R27*MasterData!$I$4,2)</f>
        <v>3863.81</v>
      </c>
      <c r="T27" s="201">
        <f t="shared" si="4"/>
        <v>202528.83000000002</v>
      </c>
      <c r="U27" s="200">
        <f>ROUND(T27*MasterData!$C$29,2)</f>
        <v>45184.18</v>
      </c>
      <c r="V27" s="200">
        <f>ROUND(T27*MasterData!$J$29,2)</f>
        <v>749.36</v>
      </c>
      <c r="W27" s="201">
        <f t="shared" si="5"/>
        <v>247713.01</v>
      </c>
      <c r="X27" s="199">
        <f>VLOOKUP($C27,MasterData!$B$62:$L$111,10,FALSE)*52</f>
        <v>104</v>
      </c>
      <c r="Y27" s="200">
        <f>ROUND(X27*MasterData!$C$7,2)</f>
        <v>6277.44</v>
      </c>
      <c r="Z27" s="199">
        <f>VLOOKUP($C27,MasterData!$B$62:$L$111,11,FALSE)*52</f>
        <v>156</v>
      </c>
      <c r="AA27" s="200">
        <f>ROUND(Z27*MasterData!$D$7,2)</f>
        <v>6605.04</v>
      </c>
      <c r="AB27" s="201">
        <f t="shared" si="6"/>
        <v>12882.48</v>
      </c>
      <c r="AC27" s="202">
        <f>MasterData!$M$29</f>
        <v>17820.45943877551</v>
      </c>
      <c r="AD27" s="200">
        <f>MasterData!$D$29</f>
        <v>2233.8000000000002</v>
      </c>
      <c r="AE27" s="200">
        <f>MasterData!$E$29</f>
        <v>6471.45</v>
      </c>
      <c r="AF27" s="200">
        <f>MasterData!$F$29</f>
        <v>0</v>
      </c>
      <c r="AG27" s="201">
        <f t="shared" si="0"/>
        <v>287121.19943877554</v>
      </c>
      <c r="AH27" s="200">
        <f>ROUND(AG27*MasterData!$G$29,2)</f>
        <v>34454.54</v>
      </c>
      <c r="AI27" s="200">
        <f>((AG27+AH27)*MasterData!$I$29)-'Model Calculator'!W27*MasterData!$I$29</f>
        <v>1314.7565840102043</v>
      </c>
      <c r="AJ27" s="201">
        <f t="shared" si="1"/>
        <v>323639.85602278571</v>
      </c>
      <c r="AK27" s="201">
        <f t="shared" si="7"/>
        <v>932.68</v>
      </c>
    </row>
    <row r="28" spans="1:37" hidden="1">
      <c r="A28" s="197" t="s">
        <v>90</v>
      </c>
      <c r="B28" s="197" t="str">
        <f t="shared" si="2"/>
        <v>I404.0</v>
      </c>
      <c r="C28" s="197" t="s">
        <v>90</v>
      </c>
      <c r="D28" s="197" t="s">
        <v>282</v>
      </c>
      <c r="E28" s="197">
        <f>VLOOKUP($C28,MasterData!$B$62:$L$111,2,FALSE)</f>
        <v>0.41</v>
      </c>
      <c r="F28" s="198">
        <f>ROUND(E28*MasterData!$C$4,2)</f>
        <v>21177.18</v>
      </c>
      <c r="G28" s="199">
        <f>VLOOKUP($C28,MasterData!$B$62:$L$111,3,FALSE)</f>
        <v>1</v>
      </c>
      <c r="H28" s="198">
        <f>ROUND(G28*MasterData!$D$4,2)</f>
        <v>41516.800000000003</v>
      </c>
      <c r="I28" s="199">
        <f t="shared" si="3"/>
        <v>4</v>
      </c>
      <c r="J28" s="199">
        <f>VLOOKUP($C28,MasterData!$B$62:$L$111,4,FALSE)</f>
        <v>2.6</v>
      </c>
      <c r="K28" s="198">
        <f>ROUND(J28*MasterData!$E$4,2)</f>
        <v>86621.6</v>
      </c>
      <c r="L28" s="199">
        <f>VLOOKUP($C28,MasterData!$B$62:$L$111,5,FALSE)</f>
        <v>1.4</v>
      </c>
      <c r="M28" s="200">
        <f>ROUND(L28*MasterData!$F$4,2)</f>
        <v>41496</v>
      </c>
      <c r="N28" s="199">
        <f>VLOOKUP($C28,MasterData!$B$62:$L$111,6,FALSE)</f>
        <v>0.62</v>
      </c>
      <c r="O28" s="211">
        <f>ROUND(N28*MasterData!$G$4,2)</f>
        <v>20655.919999999998</v>
      </c>
      <c r="P28" s="199">
        <f>VLOOKUP($C28,MasterData!$B$62:$L$111,7,FALSE)</f>
        <v>0.22</v>
      </c>
      <c r="Q28" s="198">
        <f>ROUND(P28*MasterData!$H$4,2)</f>
        <v>6520.8</v>
      </c>
      <c r="R28" s="199">
        <f>VLOOKUP($C28,MasterData!$B$62:$L$111,8,FALSE)</f>
        <v>0.12</v>
      </c>
      <c r="S28" s="200">
        <f>ROUND(R28*MasterData!$I$4,2)</f>
        <v>3863.81</v>
      </c>
      <c r="T28" s="201">
        <f t="shared" si="4"/>
        <v>221852.11</v>
      </c>
      <c r="U28" s="200">
        <f>ROUND(T28*MasterData!$C$29,2)</f>
        <v>49495.21</v>
      </c>
      <c r="V28" s="200">
        <f>ROUND(T28*MasterData!$J$29,2)</f>
        <v>820.85</v>
      </c>
      <c r="W28" s="201">
        <f t="shared" si="5"/>
        <v>271347.32</v>
      </c>
      <c r="X28" s="199">
        <f>VLOOKUP($C28,MasterData!$B$62:$L$111,10,FALSE)*52</f>
        <v>104</v>
      </c>
      <c r="Y28" s="200">
        <f>ROUND(X28*MasterData!$C$7,2)</f>
        <v>6277.44</v>
      </c>
      <c r="Z28" s="199">
        <f>VLOOKUP($C28,MasterData!$B$62:$L$111,11,FALSE)*52</f>
        <v>156</v>
      </c>
      <c r="AA28" s="200">
        <f>ROUND(Z28*MasterData!$D$7,2)</f>
        <v>6605.04</v>
      </c>
      <c r="AB28" s="201">
        <f t="shared" si="6"/>
        <v>12882.48</v>
      </c>
      <c r="AC28" s="202">
        <f>MasterData!$M$29</f>
        <v>17820.45943877551</v>
      </c>
      <c r="AD28" s="200">
        <f>MasterData!$D$29</f>
        <v>2233.8000000000002</v>
      </c>
      <c r="AE28" s="200">
        <f>MasterData!$E$29</f>
        <v>6471.45</v>
      </c>
      <c r="AF28" s="200">
        <f>MasterData!$F$29</f>
        <v>0</v>
      </c>
      <c r="AG28" s="201">
        <f t="shared" si="0"/>
        <v>310755.50943877548</v>
      </c>
      <c r="AH28" s="200">
        <f>ROUND(AG28*MasterData!$G$29,2)</f>
        <v>37290.660000000003</v>
      </c>
      <c r="AI28" s="200">
        <f>((AG28+AH28)*MasterData!$I$29)-'Model Calculator'!W28*MasterData!$I$29</f>
        <v>1365.2395200102037</v>
      </c>
      <c r="AJ28" s="201">
        <f t="shared" si="1"/>
        <v>350232.25895878568</v>
      </c>
      <c r="AK28" s="201">
        <f t="shared" si="7"/>
        <v>1009.31</v>
      </c>
    </row>
    <row r="29" spans="1:37" hidden="1">
      <c r="A29" s="197" t="s">
        <v>91</v>
      </c>
      <c r="B29" s="197" t="str">
        <f t="shared" si="2"/>
        <v>I404.5</v>
      </c>
      <c r="C29" s="197" t="s">
        <v>91</v>
      </c>
      <c r="D29" s="197" t="s">
        <v>282</v>
      </c>
      <c r="E29" s="197">
        <f>VLOOKUP($C29,MasterData!$B$62:$L$111,2,FALSE)</f>
        <v>0.41</v>
      </c>
      <c r="F29" s="198">
        <f>ROUND(E29*MasterData!$C$4,2)</f>
        <v>21177.18</v>
      </c>
      <c r="G29" s="199">
        <f>VLOOKUP($C29,MasterData!$B$62:$L$111,3,FALSE)</f>
        <v>1</v>
      </c>
      <c r="H29" s="198">
        <f>ROUND(G29*MasterData!$D$4,2)</f>
        <v>41516.800000000003</v>
      </c>
      <c r="I29" s="199">
        <f t="shared" si="3"/>
        <v>4.5</v>
      </c>
      <c r="J29" s="199">
        <f>VLOOKUP($C29,MasterData!$B$62:$L$111,4,FALSE)</f>
        <v>3.1</v>
      </c>
      <c r="K29" s="198">
        <f>ROUND(J29*MasterData!$E$4,2)</f>
        <v>103279.6</v>
      </c>
      <c r="L29" s="199">
        <f>VLOOKUP($C29,MasterData!$B$62:$L$111,5,FALSE)</f>
        <v>1.4</v>
      </c>
      <c r="M29" s="200">
        <f>ROUND(L29*MasterData!$F$4,2)</f>
        <v>41496</v>
      </c>
      <c r="N29" s="199">
        <f>VLOOKUP($C29,MasterData!$B$62:$L$111,6,FALSE)</f>
        <v>0.69</v>
      </c>
      <c r="O29" s="211">
        <f>ROUND(N29*MasterData!$G$4,2)</f>
        <v>22988.04</v>
      </c>
      <c r="P29" s="199">
        <f>VLOOKUP($C29,MasterData!$B$62:$L$111,7,FALSE)</f>
        <v>0.22</v>
      </c>
      <c r="Q29" s="198">
        <f>ROUND(P29*MasterData!$H$4,2)</f>
        <v>6520.8</v>
      </c>
      <c r="R29" s="199">
        <f>VLOOKUP($C29,MasterData!$B$62:$L$111,8,FALSE)</f>
        <v>0.12</v>
      </c>
      <c r="S29" s="200">
        <f>ROUND(R29*MasterData!$I$4,2)</f>
        <v>3863.81</v>
      </c>
      <c r="T29" s="201">
        <f t="shared" si="4"/>
        <v>240842.23</v>
      </c>
      <c r="U29" s="200">
        <f>ROUND(T29*MasterData!$C$29,2)</f>
        <v>53731.9</v>
      </c>
      <c r="V29" s="200">
        <f>ROUND(T29*MasterData!$J$29,2)</f>
        <v>891.12</v>
      </c>
      <c r="W29" s="201">
        <f t="shared" si="5"/>
        <v>294574.13</v>
      </c>
      <c r="X29" s="199">
        <f>VLOOKUP($C29,MasterData!$B$62:$L$111,10,FALSE)*52</f>
        <v>104</v>
      </c>
      <c r="Y29" s="200">
        <f>ROUND(X29*MasterData!$C$7,2)</f>
        <v>6277.44</v>
      </c>
      <c r="Z29" s="199">
        <f>VLOOKUP($C29,MasterData!$B$62:$L$111,11,FALSE)*52</f>
        <v>156</v>
      </c>
      <c r="AA29" s="200">
        <f>ROUND(Z29*MasterData!$D$7,2)</f>
        <v>6605.04</v>
      </c>
      <c r="AB29" s="201">
        <f t="shared" si="6"/>
        <v>12882.48</v>
      </c>
      <c r="AC29" s="202">
        <f>MasterData!$M$29</f>
        <v>17820.45943877551</v>
      </c>
      <c r="AD29" s="200">
        <f>MasterData!$D$29</f>
        <v>2233.8000000000002</v>
      </c>
      <c r="AE29" s="200">
        <f>MasterData!$E$29</f>
        <v>6471.45</v>
      </c>
      <c r="AF29" s="200">
        <f>MasterData!$F$29</f>
        <v>0</v>
      </c>
      <c r="AG29" s="201">
        <f t="shared" si="0"/>
        <v>333982.31943877548</v>
      </c>
      <c r="AH29" s="200">
        <f>ROUND(AG29*MasterData!$G$29,2)</f>
        <v>40077.879999999997</v>
      </c>
      <c r="AI29" s="200">
        <f>((AG29+AH29)*MasterData!$I$29)-'Model Calculator'!W29*MasterData!$I$29</f>
        <v>1414.8520360102029</v>
      </c>
      <c r="AJ29" s="201">
        <f t="shared" si="1"/>
        <v>376366.17147478566</v>
      </c>
      <c r="AK29" s="201">
        <f t="shared" si="7"/>
        <v>1084.6300000000001</v>
      </c>
    </row>
    <row r="30" spans="1:37" hidden="1">
      <c r="A30" s="197" t="s">
        <v>92</v>
      </c>
      <c r="B30" s="197" t="str">
        <f t="shared" si="2"/>
        <v>I405.0</v>
      </c>
      <c r="C30" s="197" t="s">
        <v>92</v>
      </c>
      <c r="D30" s="197" t="s">
        <v>282</v>
      </c>
      <c r="E30" s="197">
        <f>VLOOKUP($C30,MasterData!$B$62:$L$111,2,FALSE)</f>
        <v>0.41</v>
      </c>
      <c r="F30" s="198">
        <f>ROUND(E30*MasterData!$C$4,2)</f>
        <v>21177.18</v>
      </c>
      <c r="G30" s="199">
        <f>VLOOKUP($C30,MasterData!$B$62:$L$111,3,FALSE)</f>
        <v>1</v>
      </c>
      <c r="H30" s="198">
        <f>ROUND(G30*MasterData!$D$4,2)</f>
        <v>41516.800000000003</v>
      </c>
      <c r="I30" s="199">
        <f t="shared" si="3"/>
        <v>5</v>
      </c>
      <c r="J30" s="199">
        <f>VLOOKUP($C30,MasterData!$B$62:$L$111,4,FALSE)</f>
        <v>3.6</v>
      </c>
      <c r="K30" s="198">
        <f>ROUND(J30*MasterData!$E$4,2)</f>
        <v>119937.60000000001</v>
      </c>
      <c r="L30" s="199">
        <f>VLOOKUP($C30,MasterData!$B$62:$L$111,5,FALSE)</f>
        <v>1.4</v>
      </c>
      <c r="M30" s="200">
        <f>ROUND(L30*MasterData!$F$4,2)</f>
        <v>41496</v>
      </c>
      <c r="N30" s="199">
        <f>VLOOKUP($C30,MasterData!$B$62:$L$111,6,FALSE)</f>
        <v>0.77</v>
      </c>
      <c r="O30" s="211">
        <f>ROUND(N30*MasterData!$G$4,2)</f>
        <v>25653.32</v>
      </c>
      <c r="P30" s="199">
        <f>VLOOKUP($C30,MasterData!$B$62:$L$111,7,FALSE)</f>
        <v>0.22</v>
      </c>
      <c r="Q30" s="198">
        <f>ROUND(P30*MasterData!$H$4,2)</f>
        <v>6520.8</v>
      </c>
      <c r="R30" s="199">
        <f>VLOOKUP($C30,MasterData!$B$62:$L$111,8,FALSE)</f>
        <v>0.12</v>
      </c>
      <c r="S30" s="200">
        <f>ROUND(R30*MasterData!$I$4,2)</f>
        <v>3863.81</v>
      </c>
      <c r="T30" s="201">
        <f t="shared" si="4"/>
        <v>260165.51</v>
      </c>
      <c r="U30" s="200">
        <f>ROUND(T30*MasterData!$C$29,2)</f>
        <v>58042.93</v>
      </c>
      <c r="V30" s="200">
        <f>ROUND(T30*MasterData!$J$29,2)</f>
        <v>962.61</v>
      </c>
      <c r="W30" s="201">
        <f t="shared" si="5"/>
        <v>318208.44</v>
      </c>
      <c r="X30" s="199">
        <f>VLOOKUP($C30,MasterData!$B$62:$L$111,10,FALSE)*52</f>
        <v>104</v>
      </c>
      <c r="Y30" s="200">
        <f>ROUND(X30*MasterData!$C$7,2)</f>
        <v>6277.44</v>
      </c>
      <c r="Z30" s="199">
        <f>VLOOKUP($C30,MasterData!$B$62:$L$111,11,FALSE)*52</f>
        <v>156</v>
      </c>
      <c r="AA30" s="200">
        <f>ROUND(Z30*MasterData!$D$7,2)</f>
        <v>6605.04</v>
      </c>
      <c r="AB30" s="201">
        <f t="shared" si="6"/>
        <v>12882.48</v>
      </c>
      <c r="AC30" s="202">
        <f>MasterData!$M$29</f>
        <v>17820.45943877551</v>
      </c>
      <c r="AD30" s="200">
        <f>MasterData!$D$29</f>
        <v>2233.8000000000002</v>
      </c>
      <c r="AE30" s="200">
        <f>MasterData!$E$29</f>
        <v>6471.45</v>
      </c>
      <c r="AF30" s="200">
        <f>MasterData!$F$29</f>
        <v>0</v>
      </c>
      <c r="AG30" s="201">
        <f t="shared" si="0"/>
        <v>357616.62943877548</v>
      </c>
      <c r="AH30" s="200">
        <f>ROUND(AG30*MasterData!$G$29,2)</f>
        <v>42914</v>
      </c>
      <c r="AI30" s="200">
        <f>((AG30+AH30)*MasterData!$I$29)-'Model Calculator'!W30*MasterData!$I$29</f>
        <v>1465.3349720102033</v>
      </c>
      <c r="AJ30" s="201">
        <f t="shared" si="1"/>
        <v>402958.57441078569</v>
      </c>
      <c r="AK30" s="201">
        <f t="shared" si="7"/>
        <v>1161.26</v>
      </c>
    </row>
    <row r="31" spans="1:37" hidden="1">
      <c r="A31" s="197" t="s">
        <v>93</v>
      </c>
      <c r="B31" s="197" t="str">
        <f t="shared" si="2"/>
        <v>I405.5</v>
      </c>
      <c r="C31" s="197" t="s">
        <v>93</v>
      </c>
      <c r="D31" s="197" t="s">
        <v>282</v>
      </c>
      <c r="E31" s="197">
        <f>VLOOKUP($C31,MasterData!$B$62:$L$111,2,FALSE)</f>
        <v>0.41</v>
      </c>
      <c r="F31" s="198">
        <f>ROUND(E31*MasterData!$C$4,2)</f>
        <v>21177.18</v>
      </c>
      <c r="G31" s="199">
        <f>VLOOKUP($C31,MasterData!$B$62:$L$111,3,FALSE)</f>
        <v>1</v>
      </c>
      <c r="H31" s="198">
        <f>ROUND(G31*MasterData!$D$4,2)</f>
        <v>41516.800000000003</v>
      </c>
      <c r="I31" s="199">
        <f t="shared" si="3"/>
        <v>5.5</v>
      </c>
      <c r="J31" s="199">
        <f>VLOOKUP($C31,MasterData!$B$62:$L$111,4,FALSE)</f>
        <v>4.0999999999999996</v>
      </c>
      <c r="K31" s="198">
        <f>ROUND(J31*MasterData!$E$4,2)</f>
        <v>136595.6</v>
      </c>
      <c r="L31" s="199">
        <f>VLOOKUP($C31,MasterData!$B$62:$L$111,5,FALSE)</f>
        <v>1.4</v>
      </c>
      <c r="M31" s="200">
        <f>ROUND(L31*MasterData!$F$4,2)</f>
        <v>41496</v>
      </c>
      <c r="N31" s="199">
        <f>VLOOKUP($C31,MasterData!$B$62:$L$111,6,FALSE)</f>
        <v>0.85</v>
      </c>
      <c r="O31" s="211">
        <f>ROUND(N31*MasterData!$G$4,2)</f>
        <v>28318.6</v>
      </c>
      <c r="P31" s="199">
        <f>VLOOKUP($C31,MasterData!$B$62:$L$111,7,FALSE)</f>
        <v>0.22</v>
      </c>
      <c r="Q31" s="198">
        <f>ROUND(P31*MasterData!$H$4,2)</f>
        <v>6520.8</v>
      </c>
      <c r="R31" s="199">
        <f>VLOOKUP($C31,MasterData!$B$62:$L$111,8,FALSE)</f>
        <v>0.12</v>
      </c>
      <c r="S31" s="200">
        <f>ROUND(R31*MasterData!$I$4,2)</f>
        <v>3863.81</v>
      </c>
      <c r="T31" s="201">
        <f t="shared" si="4"/>
        <v>279488.78999999998</v>
      </c>
      <c r="U31" s="200">
        <f>ROUND(T31*MasterData!$C$29,2)</f>
        <v>62353.95</v>
      </c>
      <c r="V31" s="200">
        <f>ROUND(T31*MasterData!$J$29,2)</f>
        <v>1034.1099999999999</v>
      </c>
      <c r="W31" s="201">
        <f t="shared" si="5"/>
        <v>341842.74</v>
      </c>
      <c r="X31" s="199">
        <f>VLOOKUP($C31,MasterData!$B$62:$L$111,10,FALSE)*52</f>
        <v>104</v>
      </c>
      <c r="Y31" s="200">
        <f>ROUND(X31*MasterData!$C$7,2)</f>
        <v>6277.44</v>
      </c>
      <c r="Z31" s="199">
        <f>VLOOKUP($C31,MasterData!$B$62:$L$111,11,FALSE)*52</f>
        <v>156</v>
      </c>
      <c r="AA31" s="200">
        <f>ROUND(Z31*MasterData!$D$7,2)</f>
        <v>6605.04</v>
      </c>
      <c r="AB31" s="201">
        <f t="shared" si="6"/>
        <v>12882.48</v>
      </c>
      <c r="AC31" s="202">
        <f>MasterData!$M$29</f>
        <v>17820.45943877551</v>
      </c>
      <c r="AD31" s="200">
        <f>MasterData!$D$29</f>
        <v>2233.8000000000002</v>
      </c>
      <c r="AE31" s="200">
        <f>MasterData!$E$29</f>
        <v>6471.45</v>
      </c>
      <c r="AF31" s="200">
        <f>MasterData!$F$29</f>
        <v>0</v>
      </c>
      <c r="AG31" s="201">
        <f t="shared" si="0"/>
        <v>381250.92943877546</v>
      </c>
      <c r="AH31" s="200">
        <f>ROUND(AG31*MasterData!$G$29,2)</f>
        <v>45750.11</v>
      </c>
      <c r="AI31" s="200">
        <f>((AG31+AH31)*MasterData!$I$29)-'Model Calculator'!W31*MasterData!$I$29</f>
        <v>1515.8177300102034</v>
      </c>
      <c r="AJ31" s="201">
        <f t="shared" si="1"/>
        <v>429550.96716878563</v>
      </c>
      <c r="AK31" s="201">
        <f t="shared" si="7"/>
        <v>1237.9000000000001</v>
      </c>
    </row>
    <row r="32" spans="1:37">
      <c r="A32" s="197" t="s">
        <v>213</v>
      </c>
      <c r="B32" s="197" t="str">
        <f t="shared" si="2"/>
        <v>I406.0</v>
      </c>
      <c r="C32" s="197" t="s">
        <v>213</v>
      </c>
      <c r="D32" s="197" t="s">
        <v>282</v>
      </c>
      <c r="E32" s="197">
        <f>VLOOKUP($C32,MasterData!$B$62:$L$111,2,FALSE)</f>
        <v>0.41</v>
      </c>
      <c r="F32" s="198">
        <f>ROUND(E32*MasterData!$C$4,2)</f>
        <v>21177.18</v>
      </c>
      <c r="G32" s="199">
        <f>VLOOKUP($C32,MasterData!$B$62:$L$111,3,FALSE)</f>
        <v>1</v>
      </c>
      <c r="H32" s="198">
        <f>ROUND(G32*MasterData!$D$4,2)</f>
        <v>41516.800000000003</v>
      </c>
      <c r="I32" s="199">
        <f t="shared" si="3"/>
        <v>6</v>
      </c>
      <c r="J32" s="199">
        <f>VLOOKUP($C32,MasterData!$B$62:$L$111,4,FALSE)</f>
        <v>4.5999999999999996</v>
      </c>
      <c r="K32" s="198">
        <f>ROUND(J32*MasterData!$E$4,2)</f>
        <v>153253.6</v>
      </c>
      <c r="L32" s="199">
        <f>VLOOKUP($C32,MasterData!$B$62:$L$111,5,FALSE)</f>
        <v>1.4</v>
      </c>
      <c r="M32" s="200">
        <f>ROUND(L32*MasterData!$F$4,2)</f>
        <v>41496</v>
      </c>
      <c r="N32" s="199">
        <f>VLOOKUP($C32,MasterData!$B$62:$L$111,6,FALSE)</f>
        <v>0.92</v>
      </c>
      <c r="O32" s="211">
        <f>ROUND(N32*MasterData!$G$4,2)</f>
        <v>30650.720000000001</v>
      </c>
      <c r="P32" s="199">
        <f>VLOOKUP($C32,MasterData!$B$62:$L$111,7,FALSE)</f>
        <v>0.22</v>
      </c>
      <c r="Q32" s="198">
        <f>ROUND(P32*MasterData!$H$4,2)</f>
        <v>6520.8</v>
      </c>
      <c r="R32" s="199">
        <f>VLOOKUP($C32,MasterData!$B$62:$L$111,8,FALSE)</f>
        <v>0.12</v>
      </c>
      <c r="S32" s="200">
        <f>ROUND(R32*MasterData!$I$4,2)</f>
        <v>3863.81</v>
      </c>
      <c r="T32" s="201">
        <f t="shared" si="4"/>
        <v>298478.91000000003</v>
      </c>
      <c r="U32" s="200">
        <f>ROUND(T32*MasterData!$C$29,2)</f>
        <v>66590.64</v>
      </c>
      <c r="V32" s="200">
        <f>ROUND(T32*MasterData!$J$29,2)</f>
        <v>1104.3699999999999</v>
      </c>
      <c r="W32" s="201">
        <f t="shared" si="5"/>
        <v>365069.55000000005</v>
      </c>
      <c r="X32" s="199">
        <f>VLOOKUP($C32,MasterData!$B$62:$L$111,10,FALSE)*52</f>
        <v>104</v>
      </c>
      <c r="Y32" s="200">
        <f>ROUND(X32*MasterData!$C$7,2)</f>
        <v>6277.44</v>
      </c>
      <c r="Z32" s="199">
        <f>VLOOKUP($C32,MasterData!$B$62:$L$111,11,FALSE)*52</f>
        <v>156</v>
      </c>
      <c r="AA32" s="200">
        <f>ROUND(Z32*MasterData!$D$7,2)</f>
        <v>6605.04</v>
      </c>
      <c r="AB32" s="201">
        <f t="shared" si="6"/>
        <v>12882.48</v>
      </c>
      <c r="AC32" s="202">
        <f>MasterData!$M$29</f>
        <v>17820.45943877551</v>
      </c>
      <c r="AD32" s="200">
        <f>MasterData!$D$29</f>
        <v>2233.8000000000002</v>
      </c>
      <c r="AE32" s="200">
        <f>MasterData!$E$29</f>
        <v>6471.45</v>
      </c>
      <c r="AF32" s="200">
        <f>MasterData!$F$29</f>
        <v>0</v>
      </c>
      <c r="AG32" s="201">
        <f t="shared" si="0"/>
        <v>404477.73943877552</v>
      </c>
      <c r="AH32" s="200">
        <f>ROUND(AG32*MasterData!$G$29,2)</f>
        <v>48537.33</v>
      </c>
      <c r="AI32" s="200">
        <f>((AG32+AH32)*MasterData!$I$29)-'Model Calculator'!W32*MasterData!$I$29</f>
        <v>1565.4302460102035</v>
      </c>
      <c r="AJ32" s="201">
        <f t="shared" si="1"/>
        <v>455684.86968478572</v>
      </c>
      <c r="AK32" s="201">
        <f t="shared" si="7"/>
        <v>1313.21</v>
      </c>
    </row>
    <row r="33" spans="1:37">
      <c r="A33" s="197" t="s">
        <v>94</v>
      </c>
      <c r="B33" s="197" t="str">
        <f t="shared" si="2"/>
        <v>I406.5</v>
      </c>
      <c r="C33" s="197" t="s">
        <v>94</v>
      </c>
      <c r="D33" s="197" t="s">
        <v>282</v>
      </c>
      <c r="E33" s="197">
        <f>VLOOKUP($C33,MasterData!$B$62:$L$111,2,FALSE)</f>
        <v>0.41</v>
      </c>
      <c r="F33" s="198">
        <f>ROUND(E33*MasterData!$C$4,2)</f>
        <v>21177.18</v>
      </c>
      <c r="G33" s="199">
        <f>VLOOKUP($C33,MasterData!$B$62:$L$111,3,FALSE)</f>
        <v>1</v>
      </c>
      <c r="H33" s="198">
        <f>ROUND(G33*MasterData!$D$4,2)</f>
        <v>41516.800000000003</v>
      </c>
      <c r="I33" s="199">
        <f t="shared" si="3"/>
        <v>6.5</v>
      </c>
      <c r="J33" s="199">
        <f>VLOOKUP($C33,MasterData!$B$62:$L$111,4,FALSE)</f>
        <v>5.0999999999999996</v>
      </c>
      <c r="K33" s="198">
        <f>ROUND(J33*MasterData!$E$4,2)</f>
        <v>169911.6</v>
      </c>
      <c r="L33" s="199">
        <f>VLOOKUP($C33,MasterData!$B$62:$L$111,5,FALSE)</f>
        <v>1.4</v>
      </c>
      <c r="M33" s="200">
        <f>ROUND(L33*MasterData!$F$4,2)</f>
        <v>41496</v>
      </c>
      <c r="N33" s="199">
        <f>VLOOKUP($C33,MasterData!$B$62:$L$111,6,FALSE)</f>
        <v>1</v>
      </c>
      <c r="O33" s="211">
        <f>ROUND(N33*MasterData!$G$4,2)</f>
        <v>33316</v>
      </c>
      <c r="P33" s="199">
        <f>VLOOKUP($C33,MasterData!$B$62:$L$111,7,FALSE)</f>
        <v>0.22</v>
      </c>
      <c r="Q33" s="198">
        <f>ROUND(P33*MasterData!$H$4,2)</f>
        <v>6520.8</v>
      </c>
      <c r="R33" s="199">
        <f>VLOOKUP($C33,MasterData!$B$62:$L$111,8,FALSE)</f>
        <v>0.12</v>
      </c>
      <c r="S33" s="200">
        <f>ROUND(R33*MasterData!$I$4,2)</f>
        <v>3863.81</v>
      </c>
      <c r="T33" s="201">
        <f t="shared" si="4"/>
        <v>317802.19</v>
      </c>
      <c r="U33" s="200">
        <f>ROUND(T33*MasterData!$C$29,2)</f>
        <v>70901.67</v>
      </c>
      <c r="V33" s="200">
        <f>ROUND(T33*MasterData!$J$29,2)</f>
        <v>1175.8699999999999</v>
      </c>
      <c r="W33" s="201">
        <f t="shared" si="5"/>
        <v>388703.86</v>
      </c>
      <c r="X33" s="199">
        <f>VLOOKUP($C33,MasterData!$B$62:$L$111,10,FALSE)*52</f>
        <v>104</v>
      </c>
      <c r="Y33" s="200">
        <f>ROUND(X33*MasterData!$C$7,2)</f>
        <v>6277.44</v>
      </c>
      <c r="Z33" s="199">
        <f>VLOOKUP($C33,MasterData!$B$62:$L$111,11,FALSE)*52</f>
        <v>156</v>
      </c>
      <c r="AA33" s="200">
        <f>ROUND(Z33*MasterData!$D$7,2)</f>
        <v>6605.04</v>
      </c>
      <c r="AB33" s="201">
        <f t="shared" si="6"/>
        <v>12882.48</v>
      </c>
      <c r="AC33" s="202">
        <f>MasterData!$M$29</f>
        <v>17820.45943877551</v>
      </c>
      <c r="AD33" s="200">
        <f>MasterData!$D$29</f>
        <v>2233.8000000000002</v>
      </c>
      <c r="AE33" s="200">
        <f>MasterData!$E$29</f>
        <v>6471.45</v>
      </c>
      <c r="AF33" s="200">
        <f>MasterData!$F$29</f>
        <v>0</v>
      </c>
      <c r="AG33" s="201">
        <f t="shared" si="0"/>
        <v>428112.04943877546</v>
      </c>
      <c r="AH33" s="200">
        <f>ROUND(AG33*MasterData!$G$29,2)</f>
        <v>51373.45</v>
      </c>
      <c r="AI33" s="200">
        <f>((AG33+AH33)*MasterData!$I$29)-'Model Calculator'!W33*MasterData!$I$29</f>
        <v>1615.9131820102029</v>
      </c>
      <c r="AJ33" s="201">
        <f t="shared" si="1"/>
        <v>482277.28262078564</v>
      </c>
      <c r="AK33" s="201">
        <f t="shared" si="7"/>
        <v>1389.85</v>
      </c>
    </row>
    <row r="34" spans="1:37">
      <c r="A34" s="197" t="s">
        <v>95</v>
      </c>
      <c r="B34" s="197" t="str">
        <f t="shared" si="2"/>
        <v>I407.0</v>
      </c>
      <c r="C34" s="197" t="s">
        <v>95</v>
      </c>
      <c r="D34" s="197" t="s">
        <v>282</v>
      </c>
      <c r="E34" s="197">
        <f>VLOOKUP($C34,MasterData!$B$62:$L$111,2,FALSE)</f>
        <v>0.41</v>
      </c>
      <c r="F34" s="198">
        <f>ROUND(E34*MasterData!$C$4,2)</f>
        <v>21177.18</v>
      </c>
      <c r="G34" s="199">
        <f>VLOOKUP($C34,MasterData!$B$62:$L$111,3,FALSE)</f>
        <v>1</v>
      </c>
      <c r="H34" s="198">
        <f>ROUND(G34*MasterData!$D$4,2)</f>
        <v>41516.800000000003</v>
      </c>
      <c r="I34" s="199">
        <f t="shared" si="3"/>
        <v>7</v>
      </c>
      <c r="J34" s="199">
        <f>VLOOKUP($C34,MasterData!$B$62:$L$111,4,FALSE)</f>
        <v>5.6</v>
      </c>
      <c r="K34" s="198">
        <f>ROUND(J34*MasterData!$E$4,2)</f>
        <v>186569.60000000001</v>
      </c>
      <c r="L34" s="199">
        <f>VLOOKUP($C34,MasterData!$B$62:$L$111,5,FALSE)</f>
        <v>1.4</v>
      </c>
      <c r="M34" s="200">
        <f>ROUND(L34*MasterData!$F$4,2)</f>
        <v>41496</v>
      </c>
      <c r="N34" s="199">
        <f>VLOOKUP($C34,MasterData!$B$62:$L$111,6,FALSE)</f>
        <v>1.08</v>
      </c>
      <c r="O34" s="211">
        <f>ROUND(N34*MasterData!$G$4,2)</f>
        <v>35981.279999999999</v>
      </c>
      <c r="P34" s="199">
        <f>VLOOKUP($C34,MasterData!$B$62:$L$111,7,FALSE)</f>
        <v>0.22</v>
      </c>
      <c r="Q34" s="198">
        <f>ROUND(P34*MasterData!$H$4,2)</f>
        <v>6520.8</v>
      </c>
      <c r="R34" s="199">
        <f>VLOOKUP($C34,MasterData!$B$62:$L$111,8,FALSE)</f>
        <v>0.12</v>
      </c>
      <c r="S34" s="200">
        <f>ROUND(R34*MasterData!$I$4,2)</f>
        <v>3863.81</v>
      </c>
      <c r="T34" s="201">
        <f t="shared" si="4"/>
        <v>337125.47</v>
      </c>
      <c r="U34" s="200">
        <f>ROUND(T34*MasterData!$C$29,2)</f>
        <v>75212.69</v>
      </c>
      <c r="V34" s="200">
        <f>ROUND(T34*MasterData!$J$29,2)</f>
        <v>1247.3599999999999</v>
      </c>
      <c r="W34" s="201">
        <f t="shared" si="5"/>
        <v>412338.16</v>
      </c>
      <c r="X34" s="199">
        <f>VLOOKUP($C34,MasterData!$B$62:$L$111,10,FALSE)*52</f>
        <v>104</v>
      </c>
      <c r="Y34" s="200">
        <f>ROUND(X34*MasterData!$C$7,2)</f>
        <v>6277.44</v>
      </c>
      <c r="Z34" s="199">
        <f>VLOOKUP($C34,MasterData!$B$62:$L$111,11,FALSE)*52</f>
        <v>156</v>
      </c>
      <c r="AA34" s="200">
        <f>ROUND(Z34*MasterData!$D$7,2)</f>
        <v>6605.04</v>
      </c>
      <c r="AB34" s="201">
        <f t="shared" si="6"/>
        <v>12882.48</v>
      </c>
      <c r="AC34" s="202">
        <f>MasterData!$M$29</f>
        <v>17820.45943877551</v>
      </c>
      <c r="AD34" s="200">
        <f>MasterData!$D$29</f>
        <v>2233.8000000000002</v>
      </c>
      <c r="AE34" s="200">
        <f>MasterData!$E$29</f>
        <v>6471.45</v>
      </c>
      <c r="AF34" s="200">
        <f>MasterData!$F$29</f>
        <v>0</v>
      </c>
      <c r="AG34" s="201">
        <f t="shared" si="0"/>
        <v>451746.34943877545</v>
      </c>
      <c r="AH34" s="200">
        <f>ROUND(AG34*MasterData!$G$29,2)</f>
        <v>54209.56</v>
      </c>
      <c r="AI34" s="200">
        <f>((AG34+AH34)*MasterData!$I$29)-'Model Calculator'!W34*MasterData!$I$29</f>
        <v>1666.395940010203</v>
      </c>
      <c r="AJ34" s="201">
        <f t="shared" si="1"/>
        <v>508869.66537878563</v>
      </c>
      <c r="AK34" s="201">
        <f t="shared" si="7"/>
        <v>1466.48</v>
      </c>
    </row>
    <row r="35" spans="1:37">
      <c r="A35" s="197" t="s">
        <v>96</v>
      </c>
      <c r="B35" s="197" t="str">
        <f t="shared" si="2"/>
        <v>I407.5</v>
      </c>
      <c r="C35" s="197" t="s">
        <v>96</v>
      </c>
      <c r="D35" s="197" t="s">
        <v>282</v>
      </c>
      <c r="E35" s="197">
        <f>VLOOKUP($C35,MasterData!$B$62:$L$111,2,FALSE)</f>
        <v>0.41</v>
      </c>
      <c r="F35" s="198">
        <f>ROUND(E35*MasterData!$C$4,2)</f>
        <v>21177.18</v>
      </c>
      <c r="G35" s="199">
        <f>VLOOKUP($C35,MasterData!$B$62:$L$111,3,FALSE)</f>
        <v>1</v>
      </c>
      <c r="H35" s="198">
        <f>ROUND(G35*MasterData!$D$4,2)</f>
        <v>41516.800000000003</v>
      </c>
      <c r="I35" s="199">
        <f t="shared" si="3"/>
        <v>7.5</v>
      </c>
      <c r="J35" s="199">
        <f>VLOOKUP($C35,MasterData!$B$62:$L$111,4,FALSE)</f>
        <v>6.1</v>
      </c>
      <c r="K35" s="198">
        <f>ROUND(J35*MasterData!$E$4,2)</f>
        <v>203227.6</v>
      </c>
      <c r="L35" s="199">
        <f>VLOOKUP($C35,MasterData!$B$62:$L$111,5,FALSE)</f>
        <v>1.4</v>
      </c>
      <c r="M35" s="200">
        <f>ROUND(L35*MasterData!$F$4,2)</f>
        <v>41496</v>
      </c>
      <c r="N35" s="199">
        <f>VLOOKUP($C35,MasterData!$B$62:$L$111,6,FALSE)</f>
        <v>1.1599999999999999</v>
      </c>
      <c r="O35" s="211">
        <f>ROUND(N35*MasterData!$G$4,2)</f>
        <v>38646.559999999998</v>
      </c>
      <c r="P35" s="199">
        <f>VLOOKUP($C35,MasterData!$B$62:$L$111,7,FALSE)</f>
        <v>0.22</v>
      </c>
      <c r="Q35" s="198">
        <f>ROUND(P35*MasterData!$H$4,2)</f>
        <v>6520.8</v>
      </c>
      <c r="R35" s="199">
        <f>VLOOKUP($C35,MasterData!$B$62:$L$111,8,FALSE)</f>
        <v>0.12</v>
      </c>
      <c r="S35" s="200">
        <f>ROUND(R35*MasterData!$I$4,2)</f>
        <v>3863.81</v>
      </c>
      <c r="T35" s="201">
        <f t="shared" si="4"/>
        <v>356448.75</v>
      </c>
      <c r="U35" s="200">
        <f>ROUND(T35*MasterData!$C$29,2)</f>
        <v>79523.72</v>
      </c>
      <c r="V35" s="200">
        <f>ROUND(T35*MasterData!$J$29,2)</f>
        <v>1318.86</v>
      </c>
      <c r="W35" s="201">
        <f t="shared" si="5"/>
        <v>435972.47</v>
      </c>
      <c r="X35" s="199">
        <f>VLOOKUP($C35,MasterData!$B$62:$L$111,10,FALSE)*52</f>
        <v>104</v>
      </c>
      <c r="Y35" s="200">
        <f>ROUND(X35*MasterData!$C$7,2)</f>
        <v>6277.44</v>
      </c>
      <c r="Z35" s="199">
        <f>VLOOKUP($C35,MasterData!$B$62:$L$111,11,FALSE)*52</f>
        <v>156</v>
      </c>
      <c r="AA35" s="200">
        <f>ROUND(Z35*MasterData!$D$7,2)</f>
        <v>6605.04</v>
      </c>
      <c r="AB35" s="201">
        <f t="shared" si="6"/>
        <v>12882.48</v>
      </c>
      <c r="AC35" s="202">
        <f>MasterData!$M$29</f>
        <v>17820.45943877551</v>
      </c>
      <c r="AD35" s="200">
        <f>MasterData!$D$29</f>
        <v>2233.8000000000002</v>
      </c>
      <c r="AE35" s="200">
        <f>MasterData!$E$29</f>
        <v>6471.45</v>
      </c>
      <c r="AF35" s="200">
        <f>MasterData!$F$29</f>
        <v>0</v>
      </c>
      <c r="AG35" s="201">
        <f t="shared" si="0"/>
        <v>475380.65943877544</v>
      </c>
      <c r="AH35" s="200">
        <f>ROUND(AG35*MasterData!$G$29,2)</f>
        <v>57045.68</v>
      </c>
      <c r="AI35" s="200">
        <f>((AG35+AH35)*MasterData!$I$29)-'Model Calculator'!W35*MasterData!$I$29</f>
        <v>1716.8788760102025</v>
      </c>
      <c r="AJ35" s="201">
        <f t="shared" si="1"/>
        <v>535462.07831478561</v>
      </c>
      <c r="AK35" s="201">
        <f t="shared" si="7"/>
        <v>1543.12</v>
      </c>
    </row>
    <row r="36" spans="1:37">
      <c r="A36" s="197" t="s">
        <v>97</v>
      </c>
      <c r="B36" s="197" t="str">
        <f t="shared" si="2"/>
        <v>I408.0</v>
      </c>
      <c r="C36" s="197" t="s">
        <v>97</v>
      </c>
      <c r="D36" s="197" t="s">
        <v>282</v>
      </c>
      <c r="E36" s="197">
        <f>VLOOKUP($C36,MasterData!$B$62:$L$111,2,FALSE)</f>
        <v>0.41</v>
      </c>
      <c r="F36" s="198">
        <f>ROUND(E36*MasterData!$C$4,2)</f>
        <v>21177.18</v>
      </c>
      <c r="G36" s="199">
        <f>VLOOKUP($C36,MasterData!$B$62:$L$111,3,FALSE)</f>
        <v>1</v>
      </c>
      <c r="H36" s="198">
        <f>ROUND(G36*MasterData!$D$4,2)</f>
        <v>41516.800000000003</v>
      </c>
      <c r="I36" s="199">
        <f t="shared" si="3"/>
        <v>8</v>
      </c>
      <c r="J36" s="199">
        <f>VLOOKUP($C36,MasterData!$B$62:$L$111,4,FALSE)</f>
        <v>6.6</v>
      </c>
      <c r="K36" s="198">
        <f>ROUND(J36*MasterData!$E$4,2)</f>
        <v>219885.6</v>
      </c>
      <c r="L36" s="199">
        <f>VLOOKUP($C36,MasterData!$B$62:$L$111,5,FALSE)</f>
        <v>1.4</v>
      </c>
      <c r="M36" s="200">
        <f>ROUND(L36*MasterData!$F$4,2)</f>
        <v>41496</v>
      </c>
      <c r="N36" s="199">
        <f>VLOOKUP($C36,MasterData!$B$62:$L$111,6,FALSE)</f>
        <v>1.23</v>
      </c>
      <c r="O36" s="211">
        <f>ROUND(N36*MasterData!$G$4,2)</f>
        <v>40978.68</v>
      </c>
      <c r="P36" s="199">
        <f>VLOOKUP($C36,MasterData!$B$62:$L$111,7,FALSE)</f>
        <v>0.22</v>
      </c>
      <c r="Q36" s="198">
        <f>ROUND(P36*MasterData!$H$4,2)</f>
        <v>6520.8</v>
      </c>
      <c r="R36" s="199">
        <f>VLOOKUP($C36,MasterData!$B$62:$L$111,8,FALSE)</f>
        <v>0.12</v>
      </c>
      <c r="S36" s="200">
        <f>ROUND(R36*MasterData!$I$4,2)</f>
        <v>3863.81</v>
      </c>
      <c r="T36" s="201">
        <f t="shared" si="4"/>
        <v>375438.87</v>
      </c>
      <c r="U36" s="200">
        <f>ROUND(T36*MasterData!$C$29,2)</f>
        <v>83760.41</v>
      </c>
      <c r="V36" s="200">
        <f>ROUND(T36*MasterData!$J$29,2)</f>
        <v>1389.12</v>
      </c>
      <c r="W36" s="201">
        <f t="shared" si="5"/>
        <v>459199.28</v>
      </c>
      <c r="X36" s="199">
        <f>VLOOKUP($C36,MasterData!$B$62:$L$111,10,FALSE)*52</f>
        <v>104</v>
      </c>
      <c r="Y36" s="200">
        <f>ROUND(X36*MasterData!$C$7,2)</f>
        <v>6277.44</v>
      </c>
      <c r="Z36" s="199">
        <f>VLOOKUP($C36,MasterData!$B$62:$L$111,11,FALSE)*52</f>
        <v>156</v>
      </c>
      <c r="AA36" s="200">
        <f>ROUND(Z36*MasterData!$D$7,2)</f>
        <v>6605.04</v>
      </c>
      <c r="AB36" s="201">
        <f t="shared" si="6"/>
        <v>12882.48</v>
      </c>
      <c r="AC36" s="202">
        <f>MasterData!$M$29</f>
        <v>17820.45943877551</v>
      </c>
      <c r="AD36" s="200">
        <f>MasterData!$D$29</f>
        <v>2233.8000000000002</v>
      </c>
      <c r="AE36" s="200">
        <f>MasterData!$E$29</f>
        <v>6471.45</v>
      </c>
      <c r="AF36" s="200">
        <f>MasterData!$F$29</f>
        <v>0</v>
      </c>
      <c r="AG36" s="201">
        <f t="shared" si="0"/>
        <v>498607.4694387755</v>
      </c>
      <c r="AH36" s="200">
        <f>ROUND(AG36*MasterData!$G$29,2)</f>
        <v>59832.9</v>
      </c>
      <c r="AI36" s="200">
        <f>((AG36+AH36)*MasterData!$I$29)-'Model Calculator'!W36*MasterData!$I$29</f>
        <v>1766.4913920102017</v>
      </c>
      <c r="AJ36" s="201">
        <f t="shared" si="1"/>
        <v>561595.9808307857</v>
      </c>
      <c r="AK36" s="201">
        <f t="shared" si="7"/>
        <v>1618.43</v>
      </c>
    </row>
    <row r="37" spans="1:37">
      <c r="A37" s="197" t="s">
        <v>98</v>
      </c>
      <c r="B37" s="197" t="str">
        <f t="shared" si="2"/>
        <v>I408.5</v>
      </c>
      <c r="C37" s="197" t="s">
        <v>98</v>
      </c>
      <c r="D37" s="197" t="s">
        <v>282</v>
      </c>
      <c r="E37" s="197">
        <f>VLOOKUP($C37,MasterData!$B$62:$L$111,2,FALSE)</f>
        <v>0.41</v>
      </c>
      <c r="F37" s="198">
        <f>ROUND(E37*MasterData!$C$4,2)</f>
        <v>21177.18</v>
      </c>
      <c r="G37" s="199">
        <f>VLOOKUP($C37,MasterData!$B$62:$L$111,3,FALSE)</f>
        <v>1</v>
      </c>
      <c r="H37" s="198">
        <f>ROUND(G37*MasterData!$D$4,2)</f>
        <v>41516.800000000003</v>
      </c>
      <c r="I37" s="199">
        <f t="shared" si="3"/>
        <v>8.5</v>
      </c>
      <c r="J37" s="199">
        <f>VLOOKUP($C37,MasterData!$B$62:$L$111,4,FALSE)</f>
        <v>7.1</v>
      </c>
      <c r="K37" s="198">
        <f>ROUND(J37*MasterData!$E$4,2)</f>
        <v>236543.6</v>
      </c>
      <c r="L37" s="199">
        <f>VLOOKUP($C37,MasterData!$B$62:$L$111,5,FALSE)</f>
        <v>1.4</v>
      </c>
      <c r="M37" s="200">
        <f>ROUND(L37*MasterData!$F$4,2)</f>
        <v>41496</v>
      </c>
      <c r="N37" s="199">
        <f>VLOOKUP($C37,MasterData!$B$62:$L$111,6,FALSE)</f>
        <v>1.31</v>
      </c>
      <c r="O37" s="211">
        <f>ROUND(N37*MasterData!$G$4,2)</f>
        <v>43643.96</v>
      </c>
      <c r="P37" s="199">
        <f>VLOOKUP($C37,MasterData!$B$62:$L$111,7,FALSE)</f>
        <v>0.22</v>
      </c>
      <c r="Q37" s="198">
        <f>ROUND(P37*MasterData!$H$4,2)</f>
        <v>6520.8</v>
      </c>
      <c r="R37" s="199">
        <f>VLOOKUP($C37,MasterData!$B$62:$L$111,8,FALSE)</f>
        <v>0.12</v>
      </c>
      <c r="S37" s="200">
        <f>ROUND(R37*MasterData!$I$4,2)</f>
        <v>3863.81</v>
      </c>
      <c r="T37" s="201">
        <f t="shared" si="4"/>
        <v>394762.15</v>
      </c>
      <c r="U37" s="200">
        <f>ROUND(T37*MasterData!$C$29,2)</f>
        <v>88071.44</v>
      </c>
      <c r="V37" s="200">
        <f>ROUND(T37*MasterData!$J$29,2)</f>
        <v>1460.62</v>
      </c>
      <c r="W37" s="201">
        <f t="shared" si="5"/>
        <v>482833.59</v>
      </c>
      <c r="X37" s="199">
        <f>VLOOKUP($C37,MasterData!$B$62:$L$111,10,FALSE)*52</f>
        <v>104</v>
      </c>
      <c r="Y37" s="200">
        <f>ROUND(X37*MasterData!$C$7,2)</f>
        <v>6277.44</v>
      </c>
      <c r="Z37" s="199">
        <f>VLOOKUP($C37,MasterData!$B$62:$L$111,11,FALSE)*52</f>
        <v>156</v>
      </c>
      <c r="AA37" s="200">
        <f>ROUND(Z37*MasterData!$D$7,2)</f>
        <v>6605.04</v>
      </c>
      <c r="AB37" s="201">
        <f t="shared" si="6"/>
        <v>12882.48</v>
      </c>
      <c r="AC37" s="202">
        <f>MasterData!$M$29</f>
        <v>17820.45943877551</v>
      </c>
      <c r="AD37" s="200">
        <f>MasterData!$D$29</f>
        <v>2233.8000000000002</v>
      </c>
      <c r="AE37" s="200">
        <f>MasterData!$E$29</f>
        <v>6471.45</v>
      </c>
      <c r="AF37" s="200">
        <f>MasterData!$F$29</f>
        <v>0</v>
      </c>
      <c r="AG37" s="201">
        <f t="shared" si="0"/>
        <v>522241.7794387755</v>
      </c>
      <c r="AH37" s="200">
        <f>ROUND(AG37*MasterData!$G$29,2)</f>
        <v>62669.01</v>
      </c>
      <c r="AI37" s="200">
        <f>((AG37+AH37)*MasterData!$I$29)-'Model Calculator'!W37*MasterData!$I$29</f>
        <v>1816.9741500102045</v>
      </c>
      <c r="AJ37" s="201">
        <f t="shared" si="1"/>
        <v>588188.38358878565</v>
      </c>
      <c r="AK37" s="201">
        <f t="shared" si="7"/>
        <v>1695.07</v>
      </c>
    </row>
    <row r="38" spans="1:37">
      <c r="A38" s="197" t="s">
        <v>99</v>
      </c>
      <c r="B38" s="197" t="str">
        <f t="shared" si="2"/>
        <v>I409.0</v>
      </c>
      <c r="C38" s="197" t="s">
        <v>99</v>
      </c>
      <c r="D38" s="197" t="s">
        <v>282</v>
      </c>
      <c r="E38" s="197">
        <f>VLOOKUP($C38,MasterData!$B$62:$L$111,2,FALSE)</f>
        <v>0.41</v>
      </c>
      <c r="F38" s="198">
        <f>ROUND(E38*MasterData!$C$4,2)</f>
        <v>21177.18</v>
      </c>
      <c r="G38" s="199">
        <f>VLOOKUP($C38,MasterData!$B$62:$L$111,3,FALSE)</f>
        <v>1</v>
      </c>
      <c r="H38" s="198">
        <f>ROUND(G38*MasterData!$D$4,2)</f>
        <v>41516.800000000003</v>
      </c>
      <c r="I38" s="199">
        <f t="shared" si="3"/>
        <v>9</v>
      </c>
      <c r="J38" s="199">
        <f>VLOOKUP($C38,MasterData!$B$62:$L$111,4,FALSE)</f>
        <v>7.6</v>
      </c>
      <c r="K38" s="198">
        <f>ROUND(J38*MasterData!$E$4,2)</f>
        <v>253201.6</v>
      </c>
      <c r="L38" s="199">
        <f>VLOOKUP($C38,MasterData!$B$62:$L$111,5,FALSE)</f>
        <v>1.4</v>
      </c>
      <c r="M38" s="200">
        <f>ROUND(L38*MasterData!$F$4,2)</f>
        <v>41496</v>
      </c>
      <c r="N38" s="199">
        <f>VLOOKUP($C38,MasterData!$B$62:$L$111,6,FALSE)</f>
        <v>1.39</v>
      </c>
      <c r="O38" s="211">
        <f>ROUND(N38*MasterData!$G$4,2)</f>
        <v>46309.24</v>
      </c>
      <c r="P38" s="199">
        <f>VLOOKUP($C38,MasterData!$B$62:$L$111,7,FALSE)</f>
        <v>0.22</v>
      </c>
      <c r="Q38" s="198">
        <f>ROUND(P38*MasterData!$H$4,2)</f>
        <v>6520.8</v>
      </c>
      <c r="R38" s="199">
        <f>VLOOKUP($C38,MasterData!$B$62:$L$111,8,FALSE)</f>
        <v>0.12</v>
      </c>
      <c r="S38" s="200">
        <f>ROUND(R38*MasterData!$I$4,2)</f>
        <v>3863.81</v>
      </c>
      <c r="T38" s="201">
        <f t="shared" si="4"/>
        <v>414085.43</v>
      </c>
      <c r="U38" s="200">
        <f>ROUND(T38*MasterData!$C$29,2)</f>
        <v>92382.46</v>
      </c>
      <c r="V38" s="200">
        <f>ROUND(T38*MasterData!$J$29,2)</f>
        <v>1532.12</v>
      </c>
      <c r="W38" s="201">
        <f t="shared" si="5"/>
        <v>506467.89</v>
      </c>
      <c r="X38" s="199">
        <f>VLOOKUP($C38,MasterData!$B$62:$L$111,10,FALSE)*52</f>
        <v>104</v>
      </c>
      <c r="Y38" s="200">
        <f>ROUND(X38*MasterData!$C$7,2)</f>
        <v>6277.44</v>
      </c>
      <c r="Z38" s="199">
        <f>VLOOKUP($C38,MasterData!$B$62:$L$111,11,FALSE)*52</f>
        <v>156</v>
      </c>
      <c r="AA38" s="200">
        <f>ROUND(Z38*MasterData!$D$7,2)</f>
        <v>6605.04</v>
      </c>
      <c r="AB38" s="201">
        <f t="shared" si="6"/>
        <v>12882.48</v>
      </c>
      <c r="AC38" s="202">
        <f>MasterData!$M$29</f>
        <v>17820.45943877551</v>
      </c>
      <c r="AD38" s="200">
        <f>MasterData!$D$29</f>
        <v>2233.8000000000002</v>
      </c>
      <c r="AE38" s="200">
        <f>MasterData!$E$29</f>
        <v>6471.45</v>
      </c>
      <c r="AF38" s="200">
        <f>MasterData!$F$29</f>
        <v>0</v>
      </c>
      <c r="AG38" s="201">
        <f t="shared" si="0"/>
        <v>545876.07943877554</v>
      </c>
      <c r="AH38" s="200">
        <f>ROUND(AG38*MasterData!$G$29,2)</f>
        <v>65505.13</v>
      </c>
      <c r="AI38" s="200">
        <f>((AG38+AH38)*MasterData!$I$29)-'Model Calculator'!W38*MasterData!$I$29</f>
        <v>1867.4570860102049</v>
      </c>
      <c r="AJ38" s="201">
        <f t="shared" si="1"/>
        <v>614780.7865247858</v>
      </c>
      <c r="AK38" s="201">
        <f t="shared" si="7"/>
        <v>1771.7</v>
      </c>
    </row>
    <row r="39" spans="1:37">
      <c r="A39" s="197" t="s">
        <v>100</v>
      </c>
      <c r="B39" s="197" t="str">
        <f t="shared" si="2"/>
        <v>I409.5</v>
      </c>
      <c r="C39" s="197" t="s">
        <v>100</v>
      </c>
      <c r="D39" s="197" t="s">
        <v>282</v>
      </c>
      <c r="E39" s="197">
        <f>VLOOKUP($C39,MasterData!$B$62:$L$111,2,FALSE)</f>
        <v>0.41</v>
      </c>
      <c r="F39" s="198">
        <f>ROUND(E39*MasterData!$C$4,2)</f>
        <v>21177.18</v>
      </c>
      <c r="G39" s="199">
        <f>VLOOKUP($C39,MasterData!$B$62:$L$111,3,FALSE)</f>
        <v>1</v>
      </c>
      <c r="H39" s="198">
        <f>ROUND(G39*MasterData!$D$4,2)</f>
        <v>41516.800000000003</v>
      </c>
      <c r="I39" s="199">
        <f t="shared" si="3"/>
        <v>9.5</v>
      </c>
      <c r="J39" s="199">
        <f>VLOOKUP($C39,MasterData!$B$62:$L$111,4,FALSE)</f>
        <v>8.1</v>
      </c>
      <c r="K39" s="198">
        <f>ROUND(J39*MasterData!$E$4,2)</f>
        <v>269859.59999999998</v>
      </c>
      <c r="L39" s="199">
        <f>VLOOKUP($C39,MasterData!$B$62:$L$111,5,FALSE)</f>
        <v>1.4</v>
      </c>
      <c r="M39" s="200">
        <f>ROUND(L39*MasterData!$F$4,2)</f>
        <v>41496</v>
      </c>
      <c r="N39" s="199">
        <f>VLOOKUP($C39,MasterData!$B$62:$L$111,6,FALSE)</f>
        <v>1.46</v>
      </c>
      <c r="O39" s="211">
        <f>ROUND(N39*MasterData!$G$4,2)</f>
        <v>48641.36</v>
      </c>
      <c r="P39" s="199">
        <f>VLOOKUP($C39,MasterData!$B$62:$L$111,7,FALSE)</f>
        <v>0.22</v>
      </c>
      <c r="Q39" s="198">
        <f>ROUND(P39*MasterData!$H$4,2)</f>
        <v>6520.8</v>
      </c>
      <c r="R39" s="199">
        <f>VLOOKUP($C39,MasterData!$B$62:$L$111,8,FALSE)</f>
        <v>0.12</v>
      </c>
      <c r="S39" s="200">
        <f>ROUND(R39*MasterData!$I$4,2)</f>
        <v>3863.81</v>
      </c>
      <c r="T39" s="201">
        <f t="shared" si="4"/>
        <v>433075.54999999993</v>
      </c>
      <c r="U39" s="200">
        <f>ROUND(T39*MasterData!$C$29,2)</f>
        <v>96619.16</v>
      </c>
      <c r="V39" s="200">
        <f>ROUND(T39*MasterData!$J$29,2)</f>
        <v>1602.38</v>
      </c>
      <c r="W39" s="201">
        <f t="shared" si="5"/>
        <v>529694.71</v>
      </c>
      <c r="X39" s="199">
        <f>VLOOKUP($C39,MasterData!$B$62:$L$111,10,FALSE)*52</f>
        <v>104</v>
      </c>
      <c r="Y39" s="200">
        <f>ROUND(X39*MasterData!$C$7,2)</f>
        <v>6277.44</v>
      </c>
      <c r="Z39" s="199">
        <f>VLOOKUP($C39,MasterData!$B$62:$L$111,11,FALSE)*52</f>
        <v>156</v>
      </c>
      <c r="AA39" s="200">
        <f>ROUND(Z39*MasterData!$D$7,2)</f>
        <v>6605.04</v>
      </c>
      <c r="AB39" s="201">
        <f t="shared" si="6"/>
        <v>12882.48</v>
      </c>
      <c r="AC39" s="202">
        <f>MasterData!$M$29</f>
        <v>17820.45943877551</v>
      </c>
      <c r="AD39" s="200">
        <f>MasterData!$D$29</f>
        <v>2233.8000000000002</v>
      </c>
      <c r="AE39" s="200">
        <f>MasterData!$E$29</f>
        <v>6471.45</v>
      </c>
      <c r="AF39" s="200">
        <f>MasterData!$F$29</f>
        <v>0</v>
      </c>
      <c r="AG39" s="201">
        <f t="shared" si="0"/>
        <v>569102.89943877549</v>
      </c>
      <c r="AH39" s="200">
        <f>ROUND(AG39*MasterData!$G$29,2)</f>
        <v>68292.350000000006</v>
      </c>
      <c r="AI39" s="200">
        <f>((AG39+AH39)*MasterData!$I$29)-'Model Calculator'!W39*MasterData!$I$29</f>
        <v>1917.0696020102041</v>
      </c>
      <c r="AJ39" s="201">
        <f t="shared" si="1"/>
        <v>640914.69904078566</v>
      </c>
      <c r="AK39" s="201">
        <f t="shared" si="7"/>
        <v>1847.02</v>
      </c>
    </row>
    <row r="40" spans="1:37">
      <c r="A40" s="197" t="s">
        <v>101</v>
      </c>
      <c r="B40" s="197" t="str">
        <f t="shared" si="2"/>
        <v>I410.0</v>
      </c>
      <c r="C40" s="197" t="s">
        <v>101</v>
      </c>
      <c r="D40" s="197" t="s">
        <v>282</v>
      </c>
      <c r="E40" s="197">
        <f>VLOOKUP($C40,MasterData!$B$62:$L$111,2,FALSE)</f>
        <v>0.41</v>
      </c>
      <c r="F40" s="198">
        <f>ROUND(E40*MasterData!$C$4,2)</f>
        <v>21177.18</v>
      </c>
      <c r="G40" s="199">
        <f>VLOOKUP($C40,MasterData!$B$62:$L$111,3,FALSE)</f>
        <v>1</v>
      </c>
      <c r="H40" s="198">
        <f>ROUND(G40*MasterData!$D$4,2)</f>
        <v>41516.800000000003</v>
      </c>
      <c r="I40" s="199">
        <f t="shared" si="3"/>
        <v>10</v>
      </c>
      <c r="J40" s="199">
        <f>VLOOKUP($C40,MasterData!$B$62:$L$111,4,FALSE)</f>
        <v>8.6</v>
      </c>
      <c r="K40" s="198">
        <f>ROUND(J40*MasterData!$E$4,2)</f>
        <v>286517.59999999998</v>
      </c>
      <c r="L40" s="199">
        <f>VLOOKUP($C40,MasterData!$B$62:$L$111,5,FALSE)</f>
        <v>1.4</v>
      </c>
      <c r="M40" s="200">
        <f>ROUND(L40*MasterData!$F$4,2)</f>
        <v>41496</v>
      </c>
      <c r="N40" s="199">
        <f>VLOOKUP($C40,MasterData!$B$62:$L$111,6,FALSE)</f>
        <v>1.54</v>
      </c>
      <c r="O40" s="211">
        <f>ROUND(N40*MasterData!$G$4,2)</f>
        <v>51306.64</v>
      </c>
      <c r="P40" s="199">
        <f>VLOOKUP($C40,MasterData!$B$62:$L$111,7,FALSE)</f>
        <v>0.22</v>
      </c>
      <c r="Q40" s="198">
        <f>ROUND(P40*MasterData!$H$4,2)</f>
        <v>6520.8</v>
      </c>
      <c r="R40" s="199">
        <f>VLOOKUP($C40,MasterData!$B$62:$L$111,8,FALSE)</f>
        <v>0.12</v>
      </c>
      <c r="S40" s="200">
        <f>ROUND(R40*MasterData!$I$4,2)</f>
        <v>3863.81</v>
      </c>
      <c r="T40" s="201">
        <f t="shared" si="4"/>
        <v>452398.82999999996</v>
      </c>
      <c r="U40" s="200">
        <f>ROUND(T40*MasterData!$C$29,2)</f>
        <v>100930.18</v>
      </c>
      <c r="V40" s="200">
        <f>ROUND(T40*MasterData!$J$29,2)</f>
        <v>1673.88</v>
      </c>
      <c r="W40" s="201">
        <f t="shared" si="5"/>
        <v>553329.01</v>
      </c>
      <c r="X40" s="199">
        <f>VLOOKUP($C40,MasterData!$B$62:$L$111,10,FALSE)*52</f>
        <v>104</v>
      </c>
      <c r="Y40" s="200">
        <f>ROUND(X40*MasterData!$C$7,2)</f>
        <v>6277.44</v>
      </c>
      <c r="Z40" s="199">
        <f>VLOOKUP($C40,MasterData!$B$62:$L$111,11,FALSE)*52</f>
        <v>156</v>
      </c>
      <c r="AA40" s="200">
        <f>ROUND(Z40*MasterData!$D$7,2)</f>
        <v>6605.04</v>
      </c>
      <c r="AB40" s="201">
        <f t="shared" si="6"/>
        <v>12882.48</v>
      </c>
      <c r="AC40" s="202">
        <f>MasterData!$M$29</f>
        <v>17820.45943877551</v>
      </c>
      <c r="AD40" s="200">
        <f>MasterData!$D$29</f>
        <v>2233.8000000000002</v>
      </c>
      <c r="AE40" s="200">
        <f>MasterData!$E$29</f>
        <v>6471.45</v>
      </c>
      <c r="AF40" s="200">
        <f>MasterData!$F$29</f>
        <v>0</v>
      </c>
      <c r="AG40" s="201">
        <f t="shared" si="0"/>
        <v>592737.19943877554</v>
      </c>
      <c r="AH40" s="200">
        <f>ROUND(AG40*MasterData!$G$29,2)</f>
        <v>71128.460000000006</v>
      </c>
      <c r="AI40" s="200">
        <f>((AG40+AH40)*MasterData!$I$29)-'Model Calculator'!W40*MasterData!$I$29</f>
        <v>1967.5523600102042</v>
      </c>
      <c r="AJ40" s="201">
        <f t="shared" si="1"/>
        <v>667507.09179878572</v>
      </c>
      <c r="AK40" s="201">
        <f t="shared" si="7"/>
        <v>1923.65</v>
      </c>
    </row>
    <row r="41" spans="1:37">
      <c r="A41" s="197" t="s">
        <v>102</v>
      </c>
      <c r="B41" s="197" t="str">
        <f t="shared" si="2"/>
        <v>I410.5</v>
      </c>
      <c r="C41" s="197" t="s">
        <v>102</v>
      </c>
      <c r="D41" s="197" t="s">
        <v>282</v>
      </c>
      <c r="E41" s="197">
        <f>VLOOKUP($C41,MasterData!$B$62:$L$111,2,FALSE)</f>
        <v>0.41</v>
      </c>
      <c r="F41" s="198">
        <f>ROUND(E41*MasterData!$C$4,2)</f>
        <v>21177.18</v>
      </c>
      <c r="G41" s="199">
        <f>VLOOKUP($C41,MasterData!$B$62:$L$111,3,FALSE)</f>
        <v>1</v>
      </c>
      <c r="H41" s="198">
        <f>ROUND(G41*MasterData!$D$4,2)</f>
        <v>41516.800000000003</v>
      </c>
      <c r="I41" s="199">
        <f t="shared" si="3"/>
        <v>10.5</v>
      </c>
      <c r="J41" s="199">
        <f>VLOOKUP($C41,MasterData!$B$62:$L$111,4,FALSE)</f>
        <v>9.1</v>
      </c>
      <c r="K41" s="198">
        <f>ROUND(J41*MasterData!$E$4,2)</f>
        <v>303175.59999999998</v>
      </c>
      <c r="L41" s="199">
        <f>VLOOKUP($C41,MasterData!$B$62:$L$111,5,FALSE)</f>
        <v>1.4</v>
      </c>
      <c r="M41" s="200">
        <f>ROUND(L41*MasterData!$F$4,2)</f>
        <v>41496</v>
      </c>
      <c r="N41" s="199">
        <f>VLOOKUP($C41,MasterData!$B$62:$L$111,6,FALSE)</f>
        <v>1.62</v>
      </c>
      <c r="O41" s="211">
        <f>ROUND(N41*MasterData!$G$4,2)</f>
        <v>53971.92</v>
      </c>
      <c r="P41" s="199">
        <f>VLOOKUP($C41,MasterData!$B$62:$L$111,7,FALSE)</f>
        <v>0.22</v>
      </c>
      <c r="Q41" s="198">
        <f>ROUND(P41*MasterData!$H$4,2)</f>
        <v>6520.8</v>
      </c>
      <c r="R41" s="199">
        <f>VLOOKUP($C41,MasterData!$B$62:$L$111,8,FALSE)</f>
        <v>0.12</v>
      </c>
      <c r="S41" s="200">
        <f>ROUND(R41*MasterData!$I$4,2)</f>
        <v>3863.81</v>
      </c>
      <c r="T41" s="201">
        <f t="shared" si="4"/>
        <v>471722.10999999993</v>
      </c>
      <c r="U41" s="200">
        <f>ROUND(T41*MasterData!$C$29,2)</f>
        <v>105241.2</v>
      </c>
      <c r="V41" s="200">
        <f>ROUND(T41*MasterData!$J$29,2)</f>
        <v>1745.37</v>
      </c>
      <c r="W41" s="201">
        <f t="shared" si="5"/>
        <v>576963.30999999994</v>
      </c>
      <c r="X41" s="199">
        <f>VLOOKUP($C41,MasterData!$B$62:$L$111,10,FALSE)*52</f>
        <v>104</v>
      </c>
      <c r="Y41" s="200">
        <f>ROUND(X41*MasterData!$C$7,2)</f>
        <v>6277.44</v>
      </c>
      <c r="Z41" s="199">
        <f>VLOOKUP($C41,MasterData!$B$62:$L$111,11,FALSE)*52</f>
        <v>156</v>
      </c>
      <c r="AA41" s="200">
        <f>ROUND(Z41*MasterData!$D$7,2)</f>
        <v>6605.04</v>
      </c>
      <c r="AB41" s="201">
        <f t="shared" si="6"/>
        <v>12882.48</v>
      </c>
      <c r="AC41" s="202">
        <f>MasterData!$M$29</f>
        <v>17820.45943877551</v>
      </c>
      <c r="AD41" s="200">
        <f>MasterData!$D$29</f>
        <v>2233.8000000000002</v>
      </c>
      <c r="AE41" s="200">
        <f>MasterData!$E$29</f>
        <v>6471.45</v>
      </c>
      <c r="AF41" s="200">
        <f>MasterData!$F$29</f>
        <v>0</v>
      </c>
      <c r="AG41" s="201">
        <f t="shared" si="0"/>
        <v>616371.49943877547</v>
      </c>
      <c r="AH41" s="200">
        <f>ROUND(AG41*MasterData!$G$29,2)</f>
        <v>73964.58</v>
      </c>
      <c r="AI41" s="200">
        <f>((AG41+AH41)*MasterData!$I$29)-'Model Calculator'!W41*MasterData!$I$29</f>
        <v>2018.0352960102027</v>
      </c>
      <c r="AJ41" s="201">
        <f t="shared" si="1"/>
        <v>694099.48473478563</v>
      </c>
      <c r="AK41" s="201">
        <f t="shared" si="7"/>
        <v>2000.29</v>
      </c>
    </row>
    <row r="42" spans="1:37">
      <c r="A42" s="197" t="s">
        <v>103</v>
      </c>
      <c r="B42" s="197" t="str">
        <f t="shared" si="2"/>
        <v>I411.0</v>
      </c>
      <c r="C42" s="197" t="s">
        <v>103</v>
      </c>
      <c r="D42" s="197" t="s">
        <v>282</v>
      </c>
      <c r="E42" s="197">
        <f>VLOOKUP($C42,MasterData!$B$62:$L$111,2,FALSE)</f>
        <v>0.41</v>
      </c>
      <c r="F42" s="198">
        <f>ROUND(E42*MasterData!$C$4,2)</f>
        <v>21177.18</v>
      </c>
      <c r="G42" s="199">
        <f>VLOOKUP($C42,MasterData!$B$62:$L$111,3,FALSE)</f>
        <v>1</v>
      </c>
      <c r="H42" s="198">
        <f>ROUND(G42*MasterData!$D$4,2)</f>
        <v>41516.800000000003</v>
      </c>
      <c r="I42" s="199">
        <f t="shared" si="3"/>
        <v>11</v>
      </c>
      <c r="J42" s="199">
        <f>VLOOKUP($C42,MasterData!$B$62:$L$111,4,FALSE)</f>
        <v>9.6</v>
      </c>
      <c r="K42" s="198">
        <f>ROUND(J42*MasterData!$E$4,2)</f>
        <v>319833.59999999998</v>
      </c>
      <c r="L42" s="199">
        <f>VLOOKUP($C42,MasterData!$B$62:$L$111,5,FALSE)</f>
        <v>1.4</v>
      </c>
      <c r="M42" s="200">
        <f>ROUND(L42*MasterData!$F$4,2)</f>
        <v>41496</v>
      </c>
      <c r="N42" s="199">
        <f>VLOOKUP($C42,MasterData!$B$62:$L$111,6,FALSE)</f>
        <v>1.69</v>
      </c>
      <c r="O42" s="211">
        <f>ROUND(N42*MasterData!$G$4,2)</f>
        <v>56304.04</v>
      </c>
      <c r="P42" s="199">
        <f>VLOOKUP($C42,MasterData!$B$62:$L$111,7,FALSE)</f>
        <v>0.22</v>
      </c>
      <c r="Q42" s="198">
        <f>ROUND(P42*MasterData!$H$4,2)</f>
        <v>6520.8</v>
      </c>
      <c r="R42" s="199">
        <f>VLOOKUP($C42,MasterData!$B$62:$L$111,8,FALSE)</f>
        <v>0.12</v>
      </c>
      <c r="S42" s="200">
        <f>ROUND(R42*MasterData!$I$4,2)</f>
        <v>3863.81</v>
      </c>
      <c r="T42" s="201">
        <f t="shared" si="4"/>
        <v>490712.22999999992</v>
      </c>
      <c r="U42" s="200">
        <f>ROUND(T42*MasterData!$C$29,2)</f>
        <v>109477.9</v>
      </c>
      <c r="V42" s="200">
        <f>ROUND(T42*MasterData!$J$29,2)</f>
        <v>1815.64</v>
      </c>
      <c r="W42" s="201">
        <f t="shared" si="5"/>
        <v>600190.12999999989</v>
      </c>
      <c r="X42" s="199">
        <f>VLOOKUP($C42,MasterData!$B$62:$L$111,10,FALSE)*52</f>
        <v>104</v>
      </c>
      <c r="Y42" s="200">
        <f>ROUND(X42*MasterData!$C$7,2)</f>
        <v>6277.44</v>
      </c>
      <c r="Z42" s="199">
        <f>VLOOKUP($C42,MasterData!$B$62:$L$111,11,FALSE)*52</f>
        <v>156</v>
      </c>
      <c r="AA42" s="200">
        <f>ROUND(Z42*MasterData!$D$7,2)</f>
        <v>6605.04</v>
      </c>
      <c r="AB42" s="201">
        <f t="shared" si="6"/>
        <v>12882.48</v>
      </c>
      <c r="AC42" s="202">
        <f>MasterData!$M$29</f>
        <v>17820.45943877551</v>
      </c>
      <c r="AD42" s="200">
        <f>MasterData!$D$29</f>
        <v>2233.8000000000002</v>
      </c>
      <c r="AE42" s="200">
        <f>MasterData!$E$29</f>
        <v>6471.45</v>
      </c>
      <c r="AF42" s="200">
        <f>MasterData!$F$29</f>
        <v>0</v>
      </c>
      <c r="AG42" s="201">
        <f t="shared" si="0"/>
        <v>639598.31943877542</v>
      </c>
      <c r="AH42" s="200">
        <f>ROUND(AG42*MasterData!$G$29,2)</f>
        <v>76751.8</v>
      </c>
      <c r="AI42" s="200">
        <f>((AG42+AH42)*MasterData!$I$29)-'Model Calculator'!W42*MasterData!$I$29</f>
        <v>2067.6478120102056</v>
      </c>
      <c r="AJ42" s="201">
        <f t="shared" si="1"/>
        <v>720233.40725078573</v>
      </c>
      <c r="AK42" s="201">
        <f t="shared" si="7"/>
        <v>2075.6</v>
      </c>
    </row>
    <row r="43" spans="1:37">
      <c r="A43" s="197" t="s">
        <v>104</v>
      </c>
      <c r="B43" s="197" t="str">
        <f t="shared" si="2"/>
        <v>I411.5</v>
      </c>
      <c r="C43" s="197" t="s">
        <v>104</v>
      </c>
      <c r="D43" s="197" t="s">
        <v>282</v>
      </c>
      <c r="E43" s="197">
        <f>VLOOKUP($C43,MasterData!$B$62:$L$111,2,FALSE)</f>
        <v>0.41</v>
      </c>
      <c r="F43" s="198">
        <f>ROUND(E43*MasterData!$C$4,2)</f>
        <v>21177.18</v>
      </c>
      <c r="G43" s="199">
        <f>VLOOKUP($C43,MasterData!$B$62:$L$111,3,FALSE)</f>
        <v>1</v>
      </c>
      <c r="H43" s="198">
        <f>ROUND(G43*MasterData!$D$4,2)</f>
        <v>41516.800000000003</v>
      </c>
      <c r="I43" s="199">
        <f t="shared" si="3"/>
        <v>11.5</v>
      </c>
      <c r="J43" s="199">
        <f>VLOOKUP($C43,MasterData!$B$62:$L$111,4,FALSE)</f>
        <v>10.1</v>
      </c>
      <c r="K43" s="198">
        <f>ROUND(J43*MasterData!$E$4,2)</f>
        <v>336491.6</v>
      </c>
      <c r="L43" s="199">
        <f>VLOOKUP($C43,MasterData!$B$62:$L$111,5,FALSE)</f>
        <v>1.4</v>
      </c>
      <c r="M43" s="200">
        <f>ROUND(L43*MasterData!$F$4,2)</f>
        <v>41496</v>
      </c>
      <c r="N43" s="199">
        <f>VLOOKUP($C43,MasterData!$B$62:$L$111,6,FALSE)</f>
        <v>1.77</v>
      </c>
      <c r="O43" s="211">
        <f>ROUND(N43*MasterData!$G$4,2)</f>
        <v>58969.32</v>
      </c>
      <c r="P43" s="199">
        <f>VLOOKUP($C43,MasterData!$B$62:$L$111,7,FALSE)</f>
        <v>0.22</v>
      </c>
      <c r="Q43" s="198">
        <f>ROUND(P43*MasterData!$H$4,2)</f>
        <v>6520.8</v>
      </c>
      <c r="R43" s="199">
        <f>VLOOKUP($C43,MasterData!$B$62:$L$111,8,FALSE)</f>
        <v>0.12</v>
      </c>
      <c r="S43" s="200">
        <f>ROUND(R43*MasterData!$I$4,2)</f>
        <v>3863.81</v>
      </c>
      <c r="T43" s="201">
        <f t="shared" si="4"/>
        <v>510035.50999999995</v>
      </c>
      <c r="U43" s="200">
        <f>ROUND(T43*MasterData!$C$29,2)</f>
        <v>113788.92</v>
      </c>
      <c r="V43" s="200">
        <f>ROUND(T43*MasterData!$J$29,2)</f>
        <v>1887.13</v>
      </c>
      <c r="W43" s="201">
        <f t="shared" si="5"/>
        <v>623824.42999999993</v>
      </c>
      <c r="X43" s="199">
        <f>VLOOKUP($C43,MasterData!$B$62:$L$111,10,FALSE)*52</f>
        <v>104</v>
      </c>
      <c r="Y43" s="200">
        <f>ROUND(X43*MasterData!$C$7,2)</f>
        <v>6277.44</v>
      </c>
      <c r="Z43" s="199">
        <f>VLOOKUP($C43,MasterData!$B$62:$L$111,11,FALSE)*52</f>
        <v>156</v>
      </c>
      <c r="AA43" s="200">
        <f>ROUND(Z43*MasterData!$D$7,2)</f>
        <v>6605.04</v>
      </c>
      <c r="AB43" s="201">
        <f t="shared" si="6"/>
        <v>12882.48</v>
      </c>
      <c r="AC43" s="202">
        <f>MasterData!$M$29</f>
        <v>17820.45943877551</v>
      </c>
      <c r="AD43" s="200">
        <f>MasterData!$D$29</f>
        <v>2233.8000000000002</v>
      </c>
      <c r="AE43" s="200">
        <f>MasterData!$E$29</f>
        <v>6471.45</v>
      </c>
      <c r="AF43" s="200">
        <f>MasterData!$F$29</f>
        <v>0</v>
      </c>
      <c r="AG43" s="201">
        <f t="shared" si="0"/>
        <v>663232.61943877547</v>
      </c>
      <c r="AH43" s="200">
        <f>ROUND(AG43*MasterData!$G$29,2)</f>
        <v>79587.91</v>
      </c>
      <c r="AI43" s="200">
        <f>((AG43+AH43)*MasterData!$I$29)-'Model Calculator'!W43*MasterData!$I$29</f>
        <v>2118.1305700102057</v>
      </c>
      <c r="AJ43" s="201">
        <f t="shared" si="1"/>
        <v>746825.79000878567</v>
      </c>
      <c r="AK43" s="201">
        <f t="shared" si="7"/>
        <v>2152.2399999999998</v>
      </c>
    </row>
    <row r="44" spans="1:37">
      <c r="A44" s="197" t="s">
        <v>105</v>
      </c>
      <c r="B44" s="197" t="str">
        <f t="shared" si="2"/>
        <v>I412.0</v>
      </c>
      <c r="C44" s="197" t="s">
        <v>105</v>
      </c>
      <c r="D44" s="197" t="s">
        <v>282</v>
      </c>
      <c r="E44" s="197">
        <f>VLOOKUP($C44,MasterData!$B$62:$L$111,2,FALSE)</f>
        <v>0.41</v>
      </c>
      <c r="F44" s="198">
        <f>ROUND(E44*MasterData!$C$4,2)</f>
        <v>21177.18</v>
      </c>
      <c r="G44" s="199">
        <f>VLOOKUP($C44,MasterData!$B$62:$L$111,3,FALSE)</f>
        <v>1</v>
      </c>
      <c r="H44" s="198">
        <f>ROUND(G44*MasterData!$D$4,2)</f>
        <v>41516.800000000003</v>
      </c>
      <c r="I44" s="199">
        <f t="shared" si="3"/>
        <v>12</v>
      </c>
      <c r="J44" s="199">
        <f>VLOOKUP($C44,MasterData!$B$62:$L$111,4,FALSE)</f>
        <v>10.6</v>
      </c>
      <c r="K44" s="198">
        <f>ROUND(J44*MasterData!$E$4,2)</f>
        <v>353149.6</v>
      </c>
      <c r="L44" s="199">
        <f>VLOOKUP($C44,MasterData!$B$62:$L$111,5,FALSE)</f>
        <v>1.4</v>
      </c>
      <c r="M44" s="200">
        <f>ROUND(L44*MasterData!$F$4,2)</f>
        <v>41496</v>
      </c>
      <c r="N44" s="199">
        <f>VLOOKUP($C44,MasterData!$B$62:$L$111,6,FALSE)</f>
        <v>1.85</v>
      </c>
      <c r="O44" s="211">
        <f>ROUND(N44*MasterData!$G$4,2)</f>
        <v>61634.6</v>
      </c>
      <c r="P44" s="199">
        <f>VLOOKUP($C44,MasterData!$B$62:$L$111,7,FALSE)</f>
        <v>0.22</v>
      </c>
      <c r="Q44" s="198">
        <f>ROUND(P44*MasterData!$H$4,2)</f>
        <v>6520.8</v>
      </c>
      <c r="R44" s="199">
        <f>VLOOKUP($C44,MasterData!$B$62:$L$111,8,FALSE)</f>
        <v>0.12</v>
      </c>
      <c r="S44" s="200">
        <f>ROUND(R44*MasterData!$I$4,2)</f>
        <v>3863.81</v>
      </c>
      <c r="T44" s="201">
        <f t="shared" si="4"/>
        <v>529358.79</v>
      </c>
      <c r="U44" s="200">
        <f>ROUND(T44*MasterData!$C$29,2)</f>
        <v>118099.95</v>
      </c>
      <c r="V44" s="200">
        <f>ROUND(T44*MasterData!$J$29,2)</f>
        <v>1958.63</v>
      </c>
      <c r="W44" s="201">
        <f t="shared" si="5"/>
        <v>647458.74</v>
      </c>
      <c r="X44" s="199">
        <f>VLOOKUP($C44,MasterData!$B$62:$L$111,10,FALSE)*52</f>
        <v>104</v>
      </c>
      <c r="Y44" s="200">
        <f>ROUND(X44*MasterData!$C$7,2)</f>
        <v>6277.44</v>
      </c>
      <c r="Z44" s="199">
        <f>VLOOKUP($C44,MasterData!$B$62:$L$111,11,FALSE)*52</f>
        <v>156</v>
      </c>
      <c r="AA44" s="200">
        <f>ROUND(Z44*MasterData!$D$7,2)</f>
        <v>6605.04</v>
      </c>
      <c r="AB44" s="201">
        <f t="shared" si="6"/>
        <v>12882.48</v>
      </c>
      <c r="AC44" s="202">
        <f>MasterData!$M$29</f>
        <v>17820.45943877551</v>
      </c>
      <c r="AD44" s="200">
        <f>MasterData!$D$29</f>
        <v>2233.8000000000002</v>
      </c>
      <c r="AE44" s="200">
        <f>MasterData!$E$29</f>
        <v>6471.45</v>
      </c>
      <c r="AF44" s="200">
        <f>MasterData!$F$29</f>
        <v>0</v>
      </c>
      <c r="AG44" s="201">
        <f t="shared" si="0"/>
        <v>686866.92943877552</v>
      </c>
      <c r="AH44" s="200">
        <f>ROUND(AG44*MasterData!$G$29,2)</f>
        <v>82424.03</v>
      </c>
      <c r="AI44" s="200">
        <f>((AG44+AH44)*MasterData!$I$29)-'Model Calculator'!W44*MasterData!$I$29</f>
        <v>2168.6135060102042</v>
      </c>
      <c r="AJ44" s="201">
        <f t="shared" si="1"/>
        <v>773418.20294478571</v>
      </c>
      <c r="AK44" s="201">
        <f t="shared" si="7"/>
        <v>2228.87</v>
      </c>
    </row>
    <row r="45" spans="1:37">
      <c r="A45" s="197" t="s">
        <v>106</v>
      </c>
      <c r="B45" s="197" t="str">
        <f t="shared" si="2"/>
        <v>I412.5</v>
      </c>
      <c r="C45" s="197" t="s">
        <v>106</v>
      </c>
      <c r="D45" s="197" t="s">
        <v>282</v>
      </c>
      <c r="E45" s="197">
        <f>VLOOKUP($C45,MasterData!$B$62:$L$111,2,FALSE)</f>
        <v>0.41</v>
      </c>
      <c r="F45" s="198">
        <f>ROUND(E45*MasterData!$C$4,2)</f>
        <v>21177.18</v>
      </c>
      <c r="G45" s="199">
        <f>VLOOKUP($C45,MasterData!$B$62:$L$111,3,FALSE)</f>
        <v>1</v>
      </c>
      <c r="H45" s="198">
        <f>ROUND(G45*MasterData!$D$4,2)</f>
        <v>41516.800000000003</v>
      </c>
      <c r="I45" s="199">
        <f t="shared" si="3"/>
        <v>12.5</v>
      </c>
      <c r="J45" s="199">
        <f>VLOOKUP($C45,MasterData!$B$62:$L$111,4,FALSE)</f>
        <v>11.1</v>
      </c>
      <c r="K45" s="198">
        <f>ROUND(J45*MasterData!$E$4,2)</f>
        <v>369807.6</v>
      </c>
      <c r="L45" s="199">
        <f>VLOOKUP($C45,MasterData!$B$62:$L$111,5,FALSE)</f>
        <v>1.4</v>
      </c>
      <c r="M45" s="200">
        <f>ROUND(L45*MasterData!$F$4,2)</f>
        <v>41496</v>
      </c>
      <c r="N45" s="199">
        <f>VLOOKUP($C45,MasterData!$B$62:$L$111,6,FALSE)</f>
        <v>1.93</v>
      </c>
      <c r="O45" s="211">
        <f>ROUND(N45*MasterData!$G$4,2)</f>
        <v>64299.88</v>
      </c>
      <c r="P45" s="199">
        <f>VLOOKUP($C45,MasterData!$B$62:$L$111,7,FALSE)</f>
        <v>0.22</v>
      </c>
      <c r="Q45" s="198">
        <f>ROUND(P45*MasterData!$H$4,2)</f>
        <v>6520.8</v>
      </c>
      <c r="R45" s="199">
        <f>VLOOKUP($C45,MasterData!$B$62:$L$111,8,FALSE)</f>
        <v>0.12</v>
      </c>
      <c r="S45" s="200">
        <f>ROUND(R45*MasterData!$I$4,2)</f>
        <v>3863.81</v>
      </c>
      <c r="T45" s="201">
        <f t="shared" si="4"/>
        <v>548682.07000000007</v>
      </c>
      <c r="U45" s="200">
        <f>ROUND(T45*MasterData!$C$29,2)</f>
        <v>122410.97</v>
      </c>
      <c r="V45" s="200">
        <f>ROUND(T45*MasterData!$J$29,2)</f>
        <v>2030.12</v>
      </c>
      <c r="W45" s="201">
        <f t="shared" si="5"/>
        <v>671093.04</v>
      </c>
      <c r="X45" s="199">
        <f>VLOOKUP($C45,MasterData!$B$62:$L$111,10,FALSE)*52</f>
        <v>104</v>
      </c>
      <c r="Y45" s="200">
        <f>ROUND(X45*MasterData!$C$7,2)</f>
        <v>6277.44</v>
      </c>
      <c r="Z45" s="199">
        <f>VLOOKUP($C45,MasterData!$B$62:$L$111,11,FALSE)*52</f>
        <v>156</v>
      </c>
      <c r="AA45" s="200">
        <f>ROUND(Z45*MasterData!$D$7,2)</f>
        <v>6605.04</v>
      </c>
      <c r="AB45" s="201">
        <f t="shared" si="6"/>
        <v>12882.48</v>
      </c>
      <c r="AC45" s="202">
        <f>MasterData!$M$29</f>
        <v>17820.45943877551</v>
      </c>
      <c r="AD45" s="200">
        <f>MasterData!$D$29</f>
        <v>2233.8000000000002</v>
      </c>
      <c r="AE45" s="200">
        <f>MasterData!$E$29</f>
        <v>6471.45</v>
      </c>
      <c r="AF45" s="200">
        <f>MasterData!$F$29</f>
        <v>0</v>
      </c>
      <c r="AG45" s="201">
        <f t="shared" si="0"/>
        <v>710501.22943877557</v>
      </c>
      <c r="AH45" s="200">
        <f>ROUND(AG45*MasterData!$G$29,2)</f>
        <v>85260.15</v>
      </c>
      <c r="AI45" s="200">
        <f>((AG45+AH45)*MasterData!$I$29)-'Model Calculator'!W45*MasterData!$I$29</f>
        <v>2219.0964420102064</v>
      </c>
      <c r="AJ45" s="201">
        <f t="shared" si="1"/>
        <v>800010.59588078584</v>
      </c>
      <c r="AK45" s="201">
        <f t="shared" si="7"/>
        <v>2305.5100000000002</v>
      </c>
    </row>
    <row r="46" spans="1:37">
      <c r="A46" s="197" t="s">
        <v>107</v>
      </c>
      <c r="B46" s="197" t="str">
        <f t="shared" si="2"/>
        <v>I413.0</v>
      </c>
      <c r="C46" s="197" t="s">
        <v>107</v>
      </c>
      <c r="D46" s="197" t="s">
        <v>282</v>
      </c>
      <c r="E46" s="197">
        <f>VLOOKUP($C46,MasterData!$B$62:$L$111,2,FALSE)</f>
        <v>0.41</v>
      </c>
      <c r="F46" s="198">
        <f>ROUND(E46*MasterData!$C$4,2)</f>
        <v>21177.18</v>
      </c>
      <c r="G46" s="199">
        <f>VLOOKUP($C46,MasterData!$B$62:$L$111,3,FALSE)</f>
        <v>1</v>
      </c>
      <c r="H46" s="198">
        <f>ROUND(G46*MasterData!$D$4,2)</f>
        <v>41516.800000000003</v>
      </c>
      <c r="I46" s="199">
        <f t="shared" si="3"/>
        <v>13</v>
      </c>
      <c r="J46" s="199">
        <f>VLOOKUP($C46,MasterData!$B$62:$L$111,4,FALSE)</f>
        <v>11.6</v>
      </c>
      <c r="K46" s="198">
        <f>ROUND(J46*MasterData!$E$4,2)</f>
        <v>386465.6</v>
      </c>
      <c r="L46" s="199">
        <f>VLOOKUP($C46,MasterData!$B$62:$L$111,5,FALSE)</f>
        <v>1.4</v>
      </c>
      <c r="M46" s="200">
        <f>ROUND(L46*MasterData!$F$4,2)</f>
        <v>41496</v>
      </c>
      <c r="N46" s="199">
        <f>VLOOKUP($C46,MasterData!$B$62:$L$111,6,FALSE)</f>
        <v>2</v>
      </c>
      <c r="O46" s="211">
        <f>ROUND(N46*MasterData!$G$4,2)</f>
        <v>66632</v>
      </c>
      <c r="P46" s="199">
        <f>VLOOKUP($C46,MasterData!$B$62:$L$111,7,FALSE)</f>
        <v>0.22</v>
      </c>
      <c r="Q46" s="198">
        <f>ROUND(P46*MasterData!$H$4,2)</f>
        <v>6520.8</v>
      </c>
      <c r="R46" s="199">
        <f>VLOOKUP($C46,MasterData!$B$62:$L$111,8,FALSE)</f>
        <v>0.12</v>
      </c>
      <c r="S46" s="200">
        <f>ROUND(R46*MasterData!$I$4,2)</f>
        <v>3863.81</v>
      </c>
      <c r="T46" s="201">
        <f t="shared" si="4"/>
        <v>567672.19000000006</v>
      </c>
      <c r="U46" s="200">
        <f>ROUND(T46*MasterData!$C$29,2)</f>
        <v>126647.67</v>
      </c>
      <c r="V46" s="200">
        <f>ROUND(T46*MasterData!$J$29,2)</f>
        <v>2100.39</v>
      </c>
      <c r="W46" s="201">
        <f t="shared" si="5"/>
        <v>694319.8600000001</v>
      </c>
      <c r="X46" s="199">
        <f>VLOOKUP($C46,MasterData!$B$62:$L$111,10,FALSE)*52</f>
        <v>104</v>
      </c>
      <c r="Y46" s="200">
        <f>ROUND(X46*MasterData!$C$7,2)</f>
        <v>6277.44</v>
      </c>
      <c r="Z46" s="199">
        <f>VLOOKUP($C46,MasterData!$B$62:$L$111,11,FALSE)*52</f>
        <v>156</v>
      </c>
      <c r="AA46" s="200">
        <f>ROUND(Z46*MasterData!$D$7,2)</f>
        <v>6605.04</v>
      </c>
      <c r="AB46" s="201">
        <f t="shared" si="6"/>
        <v>12882.48</v>
      </c>
      <c r="AC46" s="202">
        <f>MasterData!$M$29</f>
        <v>17820.45943877551</v>
      </c>
      <c r="AD46" s="200">
        <f>MasterData!$D$29</f>
        <v>2233.8000000000002</v>
      </c>
      <c r="AE46" s="200">
        <f>MasterData!$E$29</f>
        <v>6471.45</v>
      </c>
      <c r="AF46" s="200">
        <f>MasterData!$F$29</f>
        <v>0</v>
      </c>
      <c r="AG46" s="201">
        <f t="shared" si="0"/>
        <v>733728.04943877563</v>
      </c>
      <c r="AH46" s="200">
        <f>ROUND(AG46*MasterData!$G$29,2)</f>
        <v>88047.37</v>
      </c>
      <c r="AI46" s="200">
        <f>((AG46+AH46)*MasterData!$I$29)-'Model Calculator'!W46*MasterData!$I$29</f>
        <v>2268.7089580102056</v>
      </c>
      <c r="AJ46" s="201">
        <f t="shared" si="1"/>
        <v>826144.51839678583</v>
      </c>
      <c r="AK46" s="201">
        <f t="shared" si="7"/>
        <v>2380.8200000000002</v>
      </c>
    </row>
    <row r="47" spans="1:37">
      <c r="A47" s="197" t="s">
        <v>108</v>
      </c>
      <c r="B47" s="197" t="str">
        <f t="shared" si="2"/>
        <v>I413.5</v>
      </c>
      <c r="C47" s="197" t="s">
        <v>108</v>
      </c>
      <c r="D47" s="197" t="s">
        <v>282</v>
      </c>
      <c r="E47" s="197">
        <f>VLOOKUP($C47,MasterData!$B$62:$L$111,2,FALSE)</f>
        <v>0.41</v>
      </c>
      <c r="F47" s="198">
        <f>ROUND(E47*MasterData!$C$4,2)</f>
        <v>21177.18</v>
      </c>
      <c r="G47" s="199">
        <f>VLOOKUP($C47,MasterData!$B$62:$L$111,3,FALSE)</f>
        <v>1</v>
      </c>
      <c r="H47" s="198">
        <f>ROUND(G47*MasterData!$D$4,2)</f>
        <v>41516.800000000003</v>
      </c>
      <c r="I47" s="199">
        <f t="shared" si="3"/>
        <v>13.5</v>
      </c>
      <c r="J47" s="199">
        <f>VLOOKUP($C47,MasterData!$B$62:$L$111,4,FALSE)</f>
        <v>12.1</v>
      </c>
      <c r="K47" s="198">
        <f>ROUND(J47*MasterData!$E$4,2)</f>
        <v>403123.6</v>
      </c>
      <c r="L47" s="199">
        <f>VLOOKUP($C47,MasterData!$B$62:$L$111,5,FALSE)</f>
        <v>1.4</v>
      </c>
      <c r="M47" s="200">
        <f>ROUND(L47*MasterData!$F$4,2)</f>
        <v>41496</v>
      </c>
      <c r="N47" s="199">
        <f>VLOOKUP($C47,MasterData!$B$62:$L$111,6,FALSE)</f>
        <v>2.08</v>
      </c>
      <c r="O47" s="211">
        <f>ROUND(N47*MasterData!$G$4,2)</f>
        <v>69297.279999999999</v>
      </c>
      <c r="P47" s="199">
        <f>VLOOKUP($C47,MasterData!$B$62:$L$111,7,FALSE)</f>
        <v>0.22</v>
      </c>
      <c r="Q47" s="198">
        <f>ROUND(P47*MasterData!$H$4,2)</f>
        <v>6520.8</v>
      </c>
      <c r="R47" s="199">
        <f>VLOOKUP($C47,MasterData!$B$62:$L$111,8,FALSE)</f>
        <v>0.12</v>
      </c>
      <c r="S47" s="200">
        <f>ROUND(R47*MasterData!$I$4,2)</f>
        <v>3863.81</v>
      </c>
      <c r="T47" s="201">
        <f t="shared" si="4"/>
        <v>586995.47000000009</v>
      </c>
      <c r="U47" s="200">
        <f>ROUND(T47*MasterData!$C$29,2)</f>
        <v>130958.69</v>
      </c>
      <c r="V47" s="200">
        <f>ROUND(T47*MasterData!$J$29,2)</f>
        <v>2171.88</v>
      </c>
      <c r="W47" s="201">
        <f t="shared" si="5"/>
        <v>717954.16000000015</v>
      </c>
      <c r="X47" s="199">
        <f>VLOOKUP($C47,MasterData!$B$62:$L$111,10,FALSE)*52</f>
        <v>104</v>
      </c>
      <c r="Y47" s="200">
        <f>ROUND(X47*MasterData!$C$7,2)</f>
        <v>6277.44</v>
      </c>
      <c r="Z47" s="199">
        <f>VLOOKUP($C47,MasterData!$B$62:$L$111,11,FALSE)*52</f>
        <v>156</v>
      </c>
      <c r="AA47" s="200">
        <f>ROUND(Z47*MasterData!$D$7,2)</f>
        <v>6605.04</v>
      </c>
      <c r="AB47" s="201">
        <f t="shared" si="6"/>
        <v>12882.48</v>
      </c>
      <c r="AC47" s="202">
        <f>MasterData!$M$29</f>
        <v>17820.45943877551</v>
      </c>
      <c r="AD47" s="200">
        <f>MasterData!$D$29</f>
        <v>2233.8000000000002</v>
      </c>
      <c r="AE47" s="200">
        <f>MasterData!$E$29</f>
        <v>6471.45</v>
      </c>
      <c r="AF47" s="200">
        <f>MasterData!$F$29</f>
        <v>0</v>
      </c>
      <c r="AG47" s="201">
        <f t="shared" si="0"/>
        <v>757362.34943877568</v>
      </c>
      <c r="AH47" s="200">
        <f>ROUND(AG47*MasterData!$G$29,2)</f>
        <v>90883.48</v>
      </c>
      <c r="AI47" s="200">
        <f>((AG47+AH47)*MasterData!$I$29)-'Model Calculator'!W47*MasterData!$I$29</f>
        <v>2319.1917160102039</v>
      </c>
      <c r="AJ47" s="201">
        <f t="shared" si="1"/>
        <v>852736.90115478588</v>
      </c>
      <c r="AK47" s="201">
        <f t="shared" si="7"/>
        <v>2457.46</v>
      </c>
    </row>
    <row r="48" spans="1:37">
      <c r="A48" s="197" t="s">
        <v>109</v>
      </c>
      <c r="B48" s="197" t="str">
        <f t="shared" si="2"/>
        <v>I414.0</v>
      </c>
      <c r="C48" s="197" t="s">
        <v>109</v>
      </c>
      <c r="D48" s="197" t="s">
        <v>282</v>
      </c>
      <c r="E48" s="197">
        <f>VLOOKUP($C48,MasterData!$B$62:$L$111,2,FALSE)</f>
        <v>0.41</v>
      </c>
      <c r="F48" s="198">
        <f>ROUND(E48*MasterData!$C$4,2)</f>
        <v>21177.18</v>
      </c>
      <c r="G48" s="199">
        <f>VLOOKUP($C48,MasterData!$B$62:$L$111,3,FALSE)</f>
        <v>1</v>
      </c>
      <c r="H48" s="198">
        <f>ROUND(G48*MasterData!$D$4,2)</f>
        <v>41516.800000000003</v>
      </c>
      <c r="I48" s="199">
        <f t="shared" si="3"/>
        <v>14</v>
      </c>
      <c r="J48" s="199">
        <f>VLOOKUP($C48,MasterData!$B$62:$L$111,4,FALSE)</f>
        <v>12.6</v>
      </c>
      <c r="K48" s="198">
        <f>ROUND(J48*MasterData!$E$4,2)</f>
        <v>419781.6</v>
      </c>
      <c r="L48" s="199">
        <f>VLOOKUP($C48,MasterData!$B$62:$L$111,5,FALSE)</f>
        <v>1.4</v>
      </c>
      <c r="M48" s="200">
        <f>ROUND(L48*MasterData!$F$4,2)</f>
        <v>41496</v>
      </c>
      <c r="N48" s="199">
        <f>VLOOKUP($C48,MasterData!$B$62:$L$111,6,FALSE)</f>
        <v>2.16</v>
      </c>
      <c r="O48" s="211">
        <f>ROUND(N48*MasterData!$G$4,2)</f>
        <v>71962.559999999998</v>
      </c>
      <c r="P48" s="199">
        <f>VLOOKUP($C48,MasterData!$B$62:$L$111,7,FALSE)</f>
        <v>0.22</v>
      </c>
      <c r="Q48" s="198">
        <f>ROUND(P48*MasterData!$H$4,2)</f>
        <v>6520.8</v>
      </c>
      <c r="R48" s="199">
        <f>VLOOKUP($C48,MasterData!$B$62:$L$111,8,FALSE)</f>
        <v>0.12</v>
      </c>
      <c r="S48" s="200">
        <f>ROUND(R48*MasterData!$I$4,2)</f>
        <v>3863.81</v>
      </c>
      <c r="T48" s="201">
        <f t="shared" si="4"/>
        <v>606318.75</v>
      </c>
      <c r="U48" s="200">
        <f>ROUND(T48*MasterData!$C$29,2)</f>
        <v>135269.71</v>
      </c>
      <c r="V48" s="200">
        <f>ROUND(T48*MasterData!$J$29,2)</f>
        <v>2243.38</v>
      </c>
      <c r="W48" s="201">
        <f t="shared" si="5"/>
        <v>741588.46</v>
      </c>
      <c r="X48" s="199">
        <f>VLOOKUP($C48,MasterData!$B$62:$L$111,10,FALSE)*52</f>
        <v>104</v>
      </c>
      <c r="Y48" s="200">
        <f>ROUND(X48*MasterData!$C$7,2)</f>
        <v>6277.44</v>
      </c>
      <c r="Z48" s="199">
        <f>VLOOKUP($C48,MasterData!$B$62:$L$111,11,FALSE)*52</f>
        <v>156</v>
      </c>
      <c r="AA48" s="200">
        <f>ROUND(Z48*MasterData!$D$7,2)</f>
        <v>6605.04</v>
      </c>
      <c r="AB48" s="201">
        <f t="shared" si="6"/>
        <v>12882.48</v>
      </c>
      <c r="AC48" s="202">
        <f>MasterData!$M$29</f>
        <v>17820.45943877551</v>
      </c>
      <c r="AD48" s="200">
        <f>MasterData!$D$29</f>
        <v>2233.8000000000002</v>
      </c>
      <c r="AE48" s="200">
        <f>MasterData!$E$29</f>
        <v>6471.45</v>
      </c>
      <c r="AF48" s="200">
        <f>MasterData!$F$29</f>
        <v>0</v>
      </c>
      <c r="AG48" s="201">
        <f t="shared" si="0"/>
        <v>780996.64943877549</v>
      </c>
      <c r="AH48" s="200">
        <f>ROUND(AG48*MasterData!$G$29,2)</f>
        <v>93719.6</v>
      </c>
      <c r="AI48" s="200">
        <f>((AG48+AH48)*MasterData!$I$29)-'Model Calculator'!W48*MasterData!$I$29</f>
        <v>2369.6746520102042</v>
      </c>
      <c r="AJ48" s="201">
        <f t="shared" si="1"/>
        <v>879329.30409078568</v>
      </c>
      <c r="AK48" s="201">
        <f t="shared" si="7"/>
        <v>2534.09</v>
      </c>
    </row>
    <row r="49" spans="1:37">
      <c r="A49" s="197" t="s">
        <v>110</v>
      </c>
      <c r="B49" s="197" t="str">
        <f t="shared" si="2"/>
        <v>I414.5</v>
      </c>
      <c r="C49" s="197" t="s">
        <v>110</v>
      </c>
      <c r="D49" s="197" t="s">
        <v>282</v>
      </c>
      <c r="E49" s="197">
        <f>VLOOKUP($C49,MasterData!$B$62:$L$111,2,FALSE)</f>
        <v>0.41</v>
      </c>
      <c r="F49" s="198">
        <f>ROUND(E49*MasterData!$C$4,2)</f>
        <v>21177.18</v>
      </c>
      <c r="G49" s="199">
        <f>VLOOKUP($C49,MasterData!$B$62:$L$111,3,FALSE)</f>
        <v>1</v>
      </c>
      <c r="H49" s="198">
        <f>ROUND(G49*MasterData!$D$4,2)</f>
        <v>41516.800000000003</v>
      </c>
      <c r="I49" s="199">
        <f t="shared" si="3"/>
        <v>14.5</v>
      </c>
      <c r="J49" s="199">
        <f>VLOOKUP($C49,MasterData!$B$62:$L$111,4,FALSE)</f>
        <v>13.1</v>
      </c>
      <c r="K49" s="198">
        <f>ROUND(J49*MasterData!$E$4,2)</f>
        <v>436439.6</v>
      </c>
      <c r="L49" s="199">
        <f>VLOOKUP($C49,MasterData!$B$62:$L$111,5,FALSE)</f>
        <v>1.4</v>
      </c>
      <c r="M49" s="200">
        <f>ROUND(L49*MasterData!$F$4,2)</f>
        <v>41496</v>
      </c>
      <c r="N49" s="199">
        <f>VLOOKUP($C49,MasterData!$B$62:$L$111,6,FALSE)</f>
        <v>2.23</v>
      </c>
      <c r="O49" s="211">
        <f>ROUND(N49*MasterData!$G$4,2)</f>
        <v>74294.679999999993</v>
      </c>
      <c r="P49" s="199">
        <f>VLOOKUP($C49,MasterData!$B$62:$L$111,7,FALSE)</f>
        <v>0.22</v>
      </c>
      <c r="Q49" s="198">
        <f>ROUND(P49*MasterData!$H$4,2)</f>
        <v>6520.8</v>
      </c>
      <c r="R49" s="199">
        <f>VLOOKUP($C49,MasterData!$B$62:$L$111,8,FALSE)</f>
        <v>0.12</v>
      </c>
      <c r="S49" s="200">
        <f>ROUND(R49*MasterData!$I$4,2)</f>
        <v>3863.81</v>
      </c>
      <c r="T49" s="201">
        <f t="shared" si="4"/>
        <v>625308.87000000011</v>
      </c>
      <c r="U49" s="200">
        <f>ROUND(T49*MasterData!$C$29,2)</f>
        <v>139506.41</v>
      </c>
      <c r="V49" s="200">
        <f>ROUND(T49*MasterData!$J$29,2)</f>
        <v>2313.64</v>
      </c>
      <c r="W49" s="201">
        <f t="shared" si="5"/>
        <v>764815.28000000014</v>
      </c>
      <c r="X49" s="199">
        <f>VLOOKUP($C49,MasterData!$B$62:$L$111,10,FALSE)*52</f>
        <v>104</v>
      </c>
      <c r="Y49" s="200">
        <f>ROUND(X49*MasterData!$C$7,2)</f>
        <v>6277.44</v>
      </c>
      <c r="Z49" s="199">
        <f>VLOOKUP($C49,MasterData!$B$62:$L$111,11,FALSE)*52</f>
        <v>156</v>
      </c>
      <c r="AA49" s="200">
        <f>ROUND(Z49*MasterData!$D$7,2)</f>
        <v>6605.04</v>
      </c>
      <c r="AB49" s="201">
        <f t="shared" si="6"/>
        <v>12882.48</v>
      </c>
      <c r="AC49" s="202">
        <f>MasterData!$M$29</f>
        <v>17820.45943877551</v>
      </c>
      <c r="AD49" s="200">
        <f>MasterData!$D$29</f>
        <v>2233.8000000000002</v>
      </c>
      <c r="AE49" s="200">
        <f>MasterData!$E$29</f>
        <v>6471.45</v>
      </c>
      <c r="AF49" s="200">
        <f>MasterData!$F$29</f>
        <v>0</v>
      </c>
      <c r="AG49" s="201">
        <f t="shared" si="0"/>
        <v>804223.46943877568</v>
      </c>
      <c r="AH49" s="200">
        <f>ROUND(AG49*MasterData!$G$29,2)</f>
        <v>96506.82</v>
      </c>
      <c r="AI49" s="200">
        <f>((AG49+AH49)*MasterData!$I$29)-'Model Calculator'!W49*MasterData!$I$29</f>
        <v>2419.2871680102053</v>
      </c>
      <c r="AJ49" s="201">
        <f t="shared" si="1"/>
        <v>905463.21660678601</v>
      </c>
      <c r="AK49" s="201">
        <f t="shared" si="7"/>
        <v>2609.4</v>
      </c>
    </row>
    <row r="50" spans="1:37">
      <c r="A50" s="197" t="s">
        <v>111</v>
      </c>
      <c r="B50" s="197" t="str">
        <f t="shared" si="2"/>
        <v>I415.0</v>
      </c>
      <c r="C50" s="197" t="s">
        <v>111</v>
      </c>
      <c r="D50" s="197" t="s">
        <v>282</v>
      </c>
      <c r="E50" s="197">
        <f>VLOOKUP($C50,MasterData!$B$62:$L$111,2,FALSE)</f>
        <v>0.41</v>
      </c>
      <c r="F50" s="198">
        <f>ROUND(E50*MasterData!$C$4,2)</f>
        <v>21177.18</v>
      </c>
      <c r="G50" s="199">
        <f>VLOOKUP($C50,MasterData!$B$62:$L$111,3,FALSE)</f>
        <v>1</v>
      </c>
      <c r="H50" s="198">
        <f>ROUND(G50*MasterData!$D$4,2)</f>
        <v>41516.800000000003</v>
      </c>
      <c r="I50" s="199">
        <f t="shared" si="3"/>
        <v>15</v>
      </c>
      <c r="J50" s="199">
        <f>VLOOKUP($C50,MasterData!$B$62:$L$111,4,FALSE)</f>
        <v>13.6</v>
      </c>
      <c r="K50" s="198">
        <f>ROUND(J50*MasterData!$E$4,2)</f>
        <v>453097.6</v>
      </c>
      <c r="L50" s="199">
        <f>VLOOKUP($C50,MasterData!$B$62:$L$111,5,FALSE)</f>
        <v>1.4</v>
      </c>
      <c r="M50" s="200">
        <f>ROUND(L50*MasterData!$F$4,2)</f>
        <v>41496</v>
      </c>
      <c r="N50" s="199">
        <f>VLOOKUP($C50,MasterData!$B$62:$L$111,6,FALSE)</f>
        <v>2.31</v>
      </c>
      <c r="O50" s="211">
        <f>ROUND(N50*MasterData!$G$4,2)</f>
        <v>76959.960000000006</v>
      </c>
      <c r="P50" s="199">
        <f>VLOOKUP($C50,MasterData!$B$62:$L$111,7,FALSE)</f>
        <v>0.22</v>
      </c>
      <c r="Q50" s="198">
        <f>ROUND(P50*MasterData!$H$4,2)</f>
        <v>6520.8</v>
      </c>
      <c r="R50" s="199">
        <f>VLOOKUP($C50,MasterData!$B$62:$L$111,8,FALSE)</f>
        <v>0.12</v>
      </c>
      <c r="S50" s="200">
        <f>ROUND(R50*MasterData!$I$4,2)</f>
        <v>3863.81</v>
      </c>
      <c r="T50" s="201">
        <f t="shared" si="4"/>
        <v>644632.15</v>
      </c>
      <c r="U50" s="200">
        <f>ROUND(T50*MasterData!$C$29,2)</f>
        <v>143817.43</v>
      </c>
      <c r="V50" s="200">
        <f>ROUND(T50*MasterData!$J$29,2)</f>
        <v>2385.14</v>
      </c>
      <c r="W50" s="201">
        <f t="shared" si="5"/>
        <v>788449.58000000007</v>
      </c>
      <c r="X50" s="199">
        <f>VLOOKUP($C50,MasterData!$B$62:$L$111,10,FALSE)*52</f>
        <v>104</v>
      </c>
      <c r="Y50" s="200">
        <f>ROUND(X50*MasterData!$C$7,2)</f>
        <v>6277.44</v>
      </c>
      <c r="Z50" s="199">
        <f>VLOOKUP($C50,MasterData!$B$62:$L$111,11,FALSE)*52</f>
        <v>156</v>
      </c>
      <c r="AA50" s="200">
        <f>ROUND(Z50*MasterData!$D$7,2)</f>
        <v>6605.04</v>
      </c>
      <c r="AB50" s="201">
        <f t="shared" si="6"/>
        <v>12882.48</v>
      </c>
      <c r="AC50" s="202">
        <f>MasterData!$M$29</f>
        <v>17820.45943877551</v>
      </c>
      <c r="AD50" s="200">
        <f>MasterData!$D$29</f>
        <v>2233.8000000000002</v>
      </c>
      <c r="AE50" s="200">
        <f>MasterData!$E$29</f>
        <v>6471.45</v>
      </c>
      <c r="AF50" s="200">
        <f>MasterData!$F$29</f>
        <v>0</v>
      </c>
      <c r="AG50" s="201">
        <f t="shared" si="0"/>
        <v>827857.76943877561</v>
      </c>
      <c r="AH50" s="200">
        <f>ROUND(AG50*MasterData!$G$29,2)</f>
        <v>99342.93</v>
      </c>
      <c r="AI50" s="200">
        <f>((AG50+AH50)*MasterData!$I$29)-'Model Calculator'!W50*MasterData!$I$29</f>
        <v>2469.7699260102054</v>
      </c>
      <c r="AJ50" s="201">
        <f t="shared" si="1"/>
        <v>932055.60936478584</v>
      </c>
      <c r="AK50" s="201">
        <f t="shared" si="7"/>
        <v>2686.04</v>
      </c>
    </row>
    <row r="51" spans="1:37" s="210" customFormat="1">
      <c r="A51" s="204" t="s">
        <v>112</v>
      </c>
      <c r="B51" s="197" t="str">
        <f t="shared" si="2"/>
        <v>I415.5</v>
      </c>
      <c r="C51" s="204" t="s">
        <v>112</v>
      </c>
      <c r="D51" s="204" t="s">
        <v>282</v>
      </c>
      <c r="E51" s="204">
        <f>VLOOKUP($C51,MasterData!$B$62:$L$111,2,FALSE)</f>
        <v>0.41</v>
      </c>
      <c r="F51" s="205">
        <f>ROUND(E51*MasterData!$C$4,2)</f>
        <v>21177.18</v>
      </c>
      <c r="G51" s="206">
        <f>VLOOKUP($C51,MasterData!$B$62:$L$111,3,FALSE)</f>
        <v>1</v>
      </c>
      <c r="H51" s="205">
        <f>ROUND(G51*MasterData!$D$4,2)</f>
        <v>41516.800000000003</v>
      </c>
      <c r="I51" s="206">
        <f t="shared" si="3"/>
        <v>15.5</v>
      </c>
      <c r="J51" s="206">
        <f>VLOOKUP($C51,MasterData!$B$62:$L$111,4,FALSE)</f>
        <v>14.1</v>
      </c>
      <c r="K51" s="205">
        <f>ROUND(J51*MasterData!$E$4,2)</f>
        <v>469755.6</v>
      </c>
      <c r="L51" s="206">
        <f>VLOOKUP($C51,MasterData!$B$62:$L$111,5,FALSE)</f>
        <v>1.4</v>
      </c>
      <c r="M51" s="207">
        <f>ROUND(L51*MasterData!$F$4,2)</f>
        <v>41496</v>
      </c>
      <c r="N51" s="206">
        <f>VLOOKUP($C51,MasterData!$B$62:$L$111,6,FALSE)</f>
        <v>2.39</v>
      </c>
      <c r="O51" s="207">
        <f>ROUND(N51*MasterData!$G$4,2)</f>
        <v>79625.240000000005</v>
      </c>
      <c r="P51" s="206">
        <f>VLOOKUP($C51,MasterData!$B$62:$L$111,7,FALSE)</f>
        <v>0.22</v>
      </c>
      <c r="Q51" s="205">
        <f>ROUND(P51*MasterData!$H$4,2)</f>
        <v>6520.8</v>
      </c>
      <c r="R51" s="206">
        <f>VLOOKUP($C51,MasterData!$B$62:$L$111,8,FALSE)</f>
        <v>0.12</v>
      </c>
      <c r="S51" s="207">
        <f>ROUND(R51*MasterData!$I$4,2)</f>
        <v>3863.81</v>
      </c>
      <c r="T51" s="208">
        <f t="shared" si="4"/>
        <v>663955.43000000005</v>
      </c>
      <c r="U51" s="207">
        <f>ROUND(T51*MasterData!$C$29,2)</f>
        <v>148128.46</v>
      </c>
      <c r="V51" s="207">
        <f>ROUND(T51*MasterData!$J$29,2)</f>
        <v>2456.64</v>
      </c>
      <c r="W51" s="201">
        <f t="shared" si="5"/>
        <v>812083.89</v>
      </c>
      <c r="X51" s="206">
        <f>VLOOKUP($C51,MasterData!$B$62:$L$111,10,FALSE)*52</f>
        <v>104</v>
      </c>
      <c r="Y51" s="207">
        <f>ROUND(X51*MasterData!$C$7,2)</f>
        <v>6277.44</v>
      </c>
      <c r="Z51" s="206">
        <f>VLOOKUP($C51,MasterData!$B$62:$L$111,11,FALSE)*52</f>
        <v>156</v>
      </c>
      <c r="AA51" s="207">
        <f>ROUND(Z51*MasterData!$D$7,2)</f>
        <v>6605.04</v>
      </c>
      <c r="AB51" s="208">
        <f t="shared" si="6"/>
        <v>12882.48</v>
      </c>
      <c r="AC51" s="209">
        <f>MasterData!$M$29</f>
        <v>17820.45943877551</v>
      </c>
      <c r="AD51" s="207">
        <f>MasterData!$D$29</f>
        <v>2233.8000000000002</v>
      </c>
      <c r="AE51" s="207">
        <f>MasterData!$E$29</f>
        <v>6471.45</v>
      </c>
      <c r="AF51" s="207">
        <f>MasterData!$F$29</f>
        <v>0</v>
      </c>
      <c r="AG51" s="208">
        <f t="shared" si="0"/>
        <v>851492.07943877554</v>
      </c>
      <c r="AH51" s="207">
        <f>ROUND(AG51*MasterData!$G$29,2)</f>
        <v>102179.05</v>
      </c>
      <c r="AI51" s="200">
        <f>((AG51+AH51)*MasterData!$I$29)-'Model Calculator'!W51*MasterData!$I$29</f>
        <v>2520.2528620102039</v>
      </c>
      <c r="AJ51" s="201">
        <f t="shared" si="1"/>
        <v>958648.02230078576</v>
      </c>
      <c r="AK51" s="201">
        <f t="shared" si="7"/>
        <v>2762.67</v>
      </c>
    </row>
    <row r="52" spans="1:37" hidden="1">
      <c r="A52" s="197" t="s">
        <v>89</v>
      </c>
      <c r="B52" s="197" t="str">
        <f>CONCATENATE(LEFT(C52,1),LEFT(D52,1),MID(C52,2,4),RIGHT(C52,1))</f>
        <v>M403.51</v>
      </c>
      <c r="C52" s="197" t="s">
        <v>113</v>
      </c>
      <c r="D52" s="197" t="s">
        <v>282</v>
      </c>
      <c r="E52" s="197">
        <f>VLOOKUP($C27,MasterData!$B$62:$L$111,2,FALSE)</f>
        <v>0.41</v>
      </c>
      <c r="F52" s="198">
        <f>ROUND(E52*MasterData!$C$4,2)</f>
        <v>21177.18</v>
      </c>
      <c r="G52" s="199">
        <f>VLOOKUP($C27,MasterData!$B$62:$L$111,3,FALSE)</f>
        <v>1</v>
      </c>
      <c r="H52" s="198">
        <f>ROUND(G52*MasterData!$D$4,2)</f>
        <v>41516.800000000003</v>
      </c>
      <c r="I52" s="199">
        <f t="shared" si="3"/>
        <v>3.5</v>
      </c>
      <c r="J52" s="199">
        <f>VLOOKUP($C27,MasterData!$B$62:$L$111,4,FALSE)</f>
        <v>2.1</v>
      </c>
      <c r="K52" s="198">
        <f>ROUND(J52*MasterData!$B$26,2)</f>
        <v>83187.89</v>
      </c>
      <c r="L52" s="199">
        <f>VLOOKUP($C27,MasterData!$B$62:$L$111,5,FALSE)</f>
        <v>1.4</v>
      </c>
      <c r="M52" s="200">
        <f>ROUND(L52*MasterData!$F$4,2)</f>
        <v>41496</v>
      </c>
      <c r="N52" s="199">
        <f>VLOOKUP($A52,MasterData!$B$62:$L$111,6,FALSE)</f>
        <v>0.54</v>
      </c>
      <c r="O52" s="211">
        <f>ROUND(N52*MasterData!$C$26,2)</f>
        <v>18674.490000000002</v>
      </c>
      <c r="P52" s="199">
        <f>VLOOKUP($A52,MasterData!$B$62:$L$111,7,FALSE)</f>
        <v>0.22</v>
      </c>
      <c r="Q52" s="198">
        <f>ROUND(P52*MasterData!$H$4,2)</f>
        <v>6520.8</v>
      </c>
      <c r="R52" s="199">
        <f>VLOOKUP($A52,MasterData!$B$62:$L$111,8,FALSE)</f>
        <v>0.12</v>
      </c>
      <c r="S52" s="200">
        <f>ROUND(R52*MasterData!$I$4,2)</f>
        <v>3863.81</v>
      </c>
      <c r="T52" s="201">
        <f t="shared" si="4"/>
        <v>216436.96999999997</v>
      </c>
      <c r="U52" s="200">
        <f>ROUND(T52*MasterData!$C$29,2)</f>
        <v>48287.09</v>
      </c>
      <c r="V52" s="200">
        <f>ROUND(T52*MasterData!$J$29,2)</f>
        <v>800.82</v>
      </c>
      <c r="W52" s="201">
        <f t="shared" si="5"/>
        <v>264724.05999999994</v>
      </c>
      <c r="X52" s="212">
        <f>VLOOKUP($A52,MasterData!$B$62:$L$111,10,FALSE)*52</f>
        <v>104</v>
      </c>
      <c r="Y52" s="200">
        <f>ROUND(X52*MasterData!$C$7,2)</f>
        <v>6277.44</v>
      </c>
      <c r="Z52" s="199">
        <f>VLOOKUP($A52,MasterData!$B$62:$L$111,11,FALSE)*52</f>
        <v>156</v>
      </c>
      <c r="AA52" s="200">
        <f>ROUND(Z52*MasterData!$D$7,2)</f>
        <v>6605.04</v>
      </c>
      <c r="AB52" s="201">
        <f t="shared" si="6"/>
        <v>12882.48</v>
      </c>
      <c r="AC52" s="202">
        <f>MasterData!$M$29</f>
        <v>17820.45943877551</v>
      </c>
      <c r="AD52" s="200">
        <f>MasterData!$D$29</f>
        <v>2233.8000000000002</v>
      </c>
      <c r="AE52" s="200">
        <f>MasterData!$E$29</f>
        <v>6471.45</v>
      </c>
      <c r="AF52" s="200">
        <f>MasterData!$F$29</f>
        <v>0</v>
      </c>
      <c r="AG52" s="201">
        <f t="shared" si="0"/>
        <v>304132.24943877541</v>
      </c>
      <c r="AH52" s="200">
        <f>ROUND(AG52*MasterData!$G$29,2)</f>
        <v>36495.870000000003</v>
      </c>
      <c r="AI52" s="200">
        <f>((AG52+AH52)*MasterData!$I$29)-'Model Calculator'!W52*MasterData!$I$29</f>
        <v>1351.0922580102033</v>
      </c>
      <c r="AJ52" s="201">
        <f t="shared" si="1"/>
        <v>342780.03169678559</v>
      </c>
      <c r="AK52" s="201">
        <f t="shared" si="7"/>
        <v>987.84</v>
      </c>
    </row>
    <row r="53" spans="1:37" hidden="1">
      <c r="A53" s="197" t="s">
        <v>90</v>
      </c>
      <c r="B53" s="197" t="str">
        <f t="shared" ref="B53:B116" si="8">CONCATENATE(LEFT(C53,1),LEFT(D53,1),MID(C53,2,4),RIGHT(C53,1))</f>
        <v>M404.01</v>
      </c>
      <c r="C53" s="197" t="s">
        <v>114</v>
      </c>
      <c r="D53" s="197" t="s">
        <v>282</v>
      </c>
      <c r="E53" s="197">
        <f>VLOOKUP($C28,MasterData!$B$62:$L$111,2,FALSE)</f>
        <v>0.41</v>
      </c>
      <c r="F53" s="198">
        <f>ROUND(E53*MasterData!$C$4,2)</f>
        <v>21177.18</v>
      </c>
      <c r="G53" s="199">
        <f>VLOOKUP($C28,MasterData!$B$62:$L$111,3,FALSE)</f>
        <v>1</v>
      </c>
      <c r="H53" s="198">
        <f>ROUND(G53*MasterData!$D$4,2)</f>
        <v>41516.800000000003</v>
      </c>
      <c r="I53" s="199">
        <f t="shared" si="3"/>
        <v>4</v>
      </c>
      <c r="J53" s="199">
        <f>VLOOKUP($C28,MasterData!$B$62:$L$111,4,FALSE)</f>
        <v>2.6</v>
      </c>
      <c r="K53" s="198">
        <f>ROUND(J53*MasterData!$B$26,2)</f>
        <v>102994.53</v>
      </c>
      <c r="L53" s="199">
        <f>VLOOKUP($C28,MasterData!$B$62:$L$111,5,FALSE)</f>
        <v>1.4</v>
      </c>
      <c r="M53" s="200">
        <f>ROUND(L53*MasterData!$F$4,2)</f>
        <v>41496</v>
      </c>
      <c r="N53" s="199">
        <f>VLOOKUP($A53,MasterData!$B$62:$L$111,6,FALSE)</f>
        <v>0.62</v>
      </c>
      <c r="O53" s="211">
        <f>ROUND(N53*MasterData!$C$26,2)</f>
        <v>21441.08</v>
      </c>
      <c r="P53" s="199">
        <f>VLOOKUP($A53,MasterData!$B$62:$L$111,7,FALSE)</f>
        <v>0.22</v>
      </c>
      <c r="Q53" s="198">
        <f>ROUND(P53*MasterData!$H$4,2)</f>
        <v>6520.8</v>
      </c>
      <c r="R53" s="199">
        <f>VLOOKUP($A53,MasterData!$B$62:$L$111,8,FALSE)</f>
        <v>0.12</v>
      </c>
      <c r="S53" s="200">
        <f>ROUND(R53*MasterData!$I$4,2)</f>
        <v>3863.81</v>
      </c>
      <c r="T53" s="201">
        <f t="shared" si="4"/>
        <v>239010.2</v>
      </c>
      <c r="U53" s="200">
        <f>ROUND(T53*MasterData!$C$29,2)</f>
        <v>53323.18</v>
      </c>
      <c r="V53" s="200">
        <f>ROUND(T53*MasterData!$J$29,2)</f>
        <v>884.34</v>
      </c>
      <c r="W53" s="201">
        <f t="shared" si="5"/>
        <v>292333.38</v>
      </c>
      <c r="X53" s="212">
        <f>VLOOKUP($A53,MasterData!$B$62:$L$111,10,FALSE)*52</f>
        <v>104</v>
      </c>
      <c r="Y53" s="200">
        <f>ROUND(X53*MasterData!$C$7,2)</f>
        <v>6277.44</v>
      </c>
      <c r="Z53" s="199">
        <f>VLOOKUP($A53,MasterData!$B$62:$L$111,11,FALSE)*52</f>
        <v>156</v>
      </c>
      <c r="AA53" s="200">
        <f>ROUND(Z53*MasterData!$D$7,2)</f>
        <v>6605.04</v>
      </c>
      <c r="AB53" s="201">
        <f t="shared" si="6"/>
        <v>12882.48</v>
      </c>
      <c r="AC53" s="202">
        <f>MasterData!$M$29</f>
        <v>17820.45943877551</v>
      </c>
      <c r="AD53" s="200">
        <f>MasterData!$D$29</f>
        <v>2233.8000000000002</v>
      </c>
      <c r="AE53" s="200">
        <f>MasterData!$E$29</f>
        <v>6471.45</v>
      </c>
      <c r="AF53" s="200">
        <f>MasterData!$F$29</f>
        <v>0</v>
      </c>
      <c r="AG53" s="201">
        <f t="shared" si="0"/>
        <v>331741.56943877548</v>
      </c>
      <c r="AH53" s="200">
        <f>ROUND(AG53*MasterData!$G$29,2)</f>
        <v>39808.99</v>
      </c>
      <c r="AI53" s="200">
        <f>((AG53+AH53)*MasterData!$I$29)-'Model Calculator'!W53*MasterData!$I$29</f>
        <v>1410.0657940102037</v>
      </c>
      <c r="AJ53" s="201">
        <f t="shared" si="1"/>
        <v>373844.96523278567</v>
      </c>
      <c r="AK53" s="201">
        <f t="shared" si="7"/>
        <v>1077.3599999999999</v>
      </c>
    </row>
    <row r="54" spans="1:37" hidden="1">
      <c r="A54" s="197" t="s">
        <v>91</v>
      </c>
      <c r="B54" s="197" t="str">
        <f t="shared" si="8"/>
        <v>M404.51</v>
      </c>
      <c r="C54" s="197" t="s">
        <v>115</v>
      </c>
      <c r="D54" s="197" t="s">
        <v>282</v>
      </c>
      <c r="E54" s="197">
        <f>VLOOKUP($C29,MasterData!$B$62:$L$111,2,FALSE)</f>
        <v>0.41</v>
      </c>
      <c r="F54" s="198">
        <f>ROUND(E54*MasterData!$C$4,2)</f>
        <v>21177.18</v>
      </c>
      <c r="G54" s="199">
        <f>VLOOKUP($C29,MasterData!$B$62:$L$111,3,FALSE)</f>
        <v>1</v>
      </c>
      <c r="H54" s="198">
        <f>ROUND(G54*MasterData!$D$4,2)</f>
        <v>41516.800000000003</v>
      </c>
      <c r="I54" s="199">
        <f t="shared" si="3"/>
        <v>4.5</v>
      </c>
      <c r="J54" s="199">
        <f>VLOOKUP($C29,MasterData!$B$62:$L$111,4,FALSE)</f>
        <v>3.1</v>
      </c>
      <c r="K54" s="198">
        <f>ROUND(J54*MasterData!$B$26,2)</f>
        <v>122801.17</v>
      </c>
      <c r="L54" s="199">
        <f>VLOOKUP($C29,MasterData!$B$62:$L$111,5,FALSE)</f>
        <v>1.4</v>
      </c>
      <c r="M54" s="200">
        <f>ROUND(L54*MasterData!$F$4,2)</f>
        <v>41496</v>
      </c>
      <c r="N54" s="199">
        <f>VLOOKUP($A54,MasterData!$B$62:$L$111,6,FALSE)</f>
        <v>0.69</v>
      </c>
      <c r="O54" s="211">
        <f>ROUND(N54*MasterData!$C$26,2)</f>
        <v>23861.85</v>
      </c>
      <c r="P54" s="199">
        <f>VLOOKUP($A54,MasterData!$B$62:$L$111,7,FALSE)</f>
        <v>0.22</v>
      </c>
      <c r="Q54" s="198">
        <f>ROUND(P54*MasterData!$H$4,2)</f>
        <v>6520.8</v>
      </c>
      <c r="R54" s="199">
        <f>VLOOKUP($A54,MasterData!$B$62:$L$111,8,FALSE)</f>
        <v>0.12</v>
      </c>
      <c r="S54" s="200">
        <f>ROUND(R54*MasterData!$I$4,2)</f>
        <v>3863.81</v>
      </c>
      <c r="T54" s="201">
        <f t="shared" si="4"/>
        <v>261237.61</v>
      </c>
      <c r="U54" s="200">
        <f>ROUND(T54*MasterData!$C$29,2)</f>
        <v>58282.11</v>
      </c>
      <c r="V54" s="200">
        <f>ROUND(T54*MasterData!$J$29,2)</f>
        <v>966.58</v>
      </c>
      <c r="W54" s="201">
        <f t="shared" si="5"/>
        <v>319519.71999999997</v>
      </c>
      <c r="X54" s="212">
        <f>VLOOKUP($A54,MasterData!$B$62:$L$111,10,FALSE)*52</f>
        <v>104</v>
      </c>
      <c r="Y54" s="200">
        <f>ROUND(X54*MasterData!$C$7,2)</f>
        <v>6277.44</v>
      </c>
      <c r="Z54" s="199">
        <f>VLOOKUP($A54,MasterData!$B$62:$L$111,11,FALSE)*52</f>
        <v>156</v>
      </c>
      <c r="AA54" s="200">
        <f>ROUND(Z54*MasterData!$D$7,2)</f>
        <v>6605.04</v>
      </c>
      <c r="AB54" s="201">
        <f t="shared" si="6"/>
        <v>12882.48</v>
      </c>
      <c r="AC54" s="202">
        <f>MasterData!$M$29</f>
        <v>17820.45943877551</v>
      </c>
      <c r="AD54" s="200">
        <f>MasterData!$D$29</f>
        <v>2233.8000000000002</v>
      </c>
      <c r="AE54" s="200">
        <f>MasterData!$E$29</f>
        <v>6471.45</v>
      </c>
      <c r="AF54" s="200">
        <f>MasterData!$F$29</f>
        <v>0</v>
      </c>
      <c r="AG54" s="201">
        <f t="shared" si="0"/>
        <v>358927.90943877544</v>
      </c>
      <c r="AH54" s="200">
        <f>ROUND(AG54*MasterData!$G$29,2)</f>
        <v>43071.35</v>
      </c>
      <c r="AI54" s="200">
        <f>((AG54+AH54)*MasterData!$I$29)-'Model Calculator'!W54*MasterData!$I$29</f>
        <v>1468.1358020102034</v>
      </c>
      <c r="AJ54" s="201">
        <f t="shared" si="1"/>
        <v>404433.97524078563</v>
      </c>
      <c r="AK54" s="201">
        <f t="shared" si="7"/>
        <v>1165.52</v>
      </c>
    </row>
    <row r="55" spans="1:37" hidden="1">
      <c r="A55" s="197" t="s">
        <v>92</v>
      </c>
      <c r="B55" s="197" t="str">
        <f t="shared" si="8"/>
        <v>M405.01</v>
      </c>
      <c r="C55" s="197" t="s">
        <v>116</v>
      </c>
      <c r="D55" s="197" t="s">
        <v>282</v>
      </c>
      <c r="E55" s="197">
        <f>VLOOKUP($C30,MasterData!$B$62:$L$111,2,FALSE)</f>
        <v>0.41</v>
      </c>
      <c r="F55" s="198">
        <f>ROUND(E55*MasterData!$C$4,2)</f>
        <v>21177.18</v>
      </c>
      <c r="G55" s="199">
        <f>VLOOKUP($C30,MasterData!$B$62:$L$111,3,FALSE)</f>
        <v>1</v>
      </c>
      <c r="H55" s="198">
        <f>ROUND(G55*MasterData!$D$4,2)</f>
        <v>41516.800000000003</v>
      </c>
      <c r="I55" s="199">
        <f t="shared" si="3"/>
        <v>5</v>
      </c>
      <c r="J55" s="199">
        <f>VLOOKUP($C30,MasterData!$B$62:$L$111,4,FALSE)</f>
        <v>3.6</v>
      </c>
      <c r="K55" s="198">
        <f>ROUND(J55*MasterData!$B$26,2)</f>
        <v>142607.81</v>
      </c>
      <c r="L55" s="199">
        <f>VLOOKUP($C30,MasterData!$B$62:$L$111,5,FALSE)</f>
        <v>1.4</v>
      </c>
      <c r="M55" s="200">
        <f>ROUND(L55*MasterData!$F$4,2)</f>
        <v>41496</v>
      </c>
      <c r="N55" s="199">
        <f>VLOOKUP($A55,MasterData!$B$62:$L$111,6,FALSE)</f>
        <v>0.77</v>
      </c>
      <c r="O55" s="211">
        <f>ROUND(N55*MasterData!$C$26,2)</f>
        <v>26628.44</v>
      </c>
      <c r="P55" s="199">
        <f>VLOOKUP($A55,MasterData!$B$62:$L$111,7,FALSE)</f>
        <v>0.22</v>
      </c>
      <c r="Q55" s="198">
        <f>ROUND(P55*MasterData!$H$4,2)</f>
        <v>6520.8</v>
      </c>
      <c r="R55" s="199">
        <f>VLOOKUP($A55,MasterData!$B$62:$L$111,8,FALSE)</f>
        <v>0.12</v>
      </c>
      <c r="S55" s="200">
        <f>ROUND(R55*MasterData!$I$4,2)</f>
        <v>3863.81</v>
      </c>
      <c r="T55" s="201">
        <f t="shared" si="4"/>
        <v>283810.83999999997</v>
      </c>
      <c r="U55" s="200">
        <f>ROUND(T55*MasterData!$C$29,2)</f>
        <v>63318.2</v>
      </c>
      <c r="V55" s="200">
        <f>ROUND(T55*MasterData!$J$29,2)</f>
        <v>1050.0999999999999</v>
      </c>
      <c r="W55" s="201">
        <f t="shared" si="5"/>
        <v>347129.04</v>
      </c>
      <c r="X55" s="212">
        <f>VLOOKUP($A55,MasterData!$B$62:$L$111,10,FALSE)*52</f>
        <v>104</v>
      </c>
      <c r="Y55" s="200">
        <f>ROUND(X55*MasterData!$C$7,2)</f>
        <v>6277.44</v>
      </c>
      <c r="Z55" s="199">
        <f>VLOOKUP($A55,MasterData!$B$62:$L$111,11,FALSE)*52</f>
        <v>156</v>
      </c>
      <c r="AA55" s="200">
        <f>ROUND(Z55*MasterData!$D$7,2)</f>
        <v>6605.04</v>
      </c>
      <c r="AB55" s="201">
        <f t="shared" si="6"/>
        <v>12882.48</v>
      </c>
      <c r="AC55" s="202">
        <f>MasterData!$M$29</f>
        <v>17820.45943877551</v>
      </c>
      <c r="AD55" s="200">
        <f>MasterData!$D$29</f>
        <v>2233.8000000000002</v>
      </c>
      <c r="AE55" s="200">
        <f>MasterData!$E$29</f>
        <v>6471.45</v>
      </c>
      <c r="AF55" s="200">
        <f>MasterData!$F$29</f>
        <v>0</v>
      </c>
      <c r="AG55" s="201">
        <f t="shared" si="0"/>
        <v>386537.22943877545</v>
      </c>
      <c r="AH55" s="200">
        <f>ROUND(AG55*MasterData!$G$29,2)</f>
        <v>46384.47</v>
      </c>
      <c r="AI55" s="200">
        <f>((AG55+AH55)*MasterData!$I$29)-'Model Calculator'!W55*MasterData!$I$29</f>
        <v>1527.1093380102029</v>
      </c>
      <c r="AJ55" s="201">
        <f t="shared" si="1"/>
        <v>435498.9087767856</v>
      </c>
      <c r="AK55" s="201">
        <f t="shared" si="7"/>
        <v>1255.04</v>
      </c>
    </row>
    <row r="56" spans="1:37" hidden="1">
      <c r="A56" s="197" t="s">
        <v>93</v>
      </c>
      <c r="B56" s="197" t="str">
        <f t="shared" si="8"/>
        <v>M405.51</v>
      </c>
      <c r="C56" s="197" t="s">
        <v>117</v>
      </c>
      <c r="D56" s="197" t="s">
        <v>282</v>
      </c>
      <c r="E56" s="197">
        <f>VLOOKUP($C31,MasterData!$B$62:$L$111,2,FALSE)</f>
        <v>0.41</v>
      </c>
      <c r="F56" s="198">
        <f>ROUND(E56*MasterData!$C$4,2)</f>
        <v>21177.18</v>
      </c>
      <c r="G56" s="199">
        <f>VLOOKUP($C31,MasterData!$B$62:$L$111,3,FALSE)</f>
        <v>1</v>
      </c>
      <c r="H56" s="198">
        <f>ROUND(G56*MasterData!$D$4,2)</f>
        <v>41516.800000000003</v>
      </c>
      <c r="I56" s="199">
        <f t="shared" si="3"/>
        <v>5.5</v>
      </c>
      <c r="J56" s="199">
        <f>VLOOKUP($C31,MasterData!$B$62:$L$111,4,FALSE)</f>
        <v>4.0999999999999996</v>
      </c>
      <c r="K56" s="198">
        <f>ROUND(J56*MasterData!$B$26,2)</f>
        <v>162414.45000000001</v>
      </c>
      <c r="L56" s="199">
        <f>VLOOKUP($C31,MasterData!$B$62:$L$111,5,FALSE)</f>
        <v>1.4</v>
      </c>
      <c r="M56" s="200">
        <f>ROUND(L56*MasterData!$F$4,2)</f>
        <v>41496</v>
      </c>
      <c r="N56" s="199">
        <f>VLOOKUP($A56,MasterData!$B$62:$L$111,6,FALSE)</f>
        <v>0.85</v>
      </c>
      <c r="O56" s="211">
        <f>ROUND(N56*MasterData!$C$26,2)</f>
        <v>29395.03</v>
      </c>
      <c r="P56" s="199">
        <f>VLOOKUP($A56,MasterData!$B$62:$L$111,7,FALSE)</f>
        <v>0.22</v>
      </c>
      <c r="Q56" s="198">
        <f>ROUND(P56*MasterData!$H$4,2)</f>
        <v>6520.8</v>
      </c>
      <c r="R56" s="199">
        <f>VLOOKUP($A56,MasterData!$B$62:$L$111,8,FALSE)</f>
        <v>0.12</v>
      </c>
      <c r="S56" s="200">
        <f>ROUND(R56*MasterData!$I$4,2)</f>
        <v>3863.81</v>
      </c>
      <c r="T56" s="201">
        <f t="shared" si="4"/>
        <v>306384.07000000007</v>
      </c>
      <c r="U56" s="200">
        <f>ROUND(T56*MasterData!$C$29,2)</f>
        <v>68354.289999999994</v>
      </c>
      <c r="V56" s="200">
        <f>ROUND(T56*MasterData!$J$29,2)</f>
        <v>1133.6199999999999</v>
      </c>
      <c r="W56" s="201">
        <f t="shared" si="5"/>
        <v>374738.36000000004</v>
      </c>
      <c r="X56" s="212">
        <f>VLOOKUP($A56,MasterData!$B$62:$L$111,10,FALSE)*52</f>
        <v>104</v>
      </c>
      <c r="Y56" s="200">
        <f>ROUND(X56*MasterData!$C$7,2)</f>
        <v>6277.44</v>
      </c>
      <c r="Z56" s="199">
        <f>VLOOKUP($A56,MasterData!$B$62:$L$111,11,FALSE)*52</f>
        <v>156</v>
      </c>
      <c r="AA56" s="200">
        <f>ROUND(Z56*MasterData!$D$7,2)</f>
        <v>6605.04</v>
      </c>
      <c r="AB56" s="201">
        <f t="shared" si="6"/>
        <v>12882.48</v>
      </c>
      <c r="AC56" s="202">
        <f>MasterData!$M$29</f>
        <v>17820.45943877551</v>
      </c>
      <c r="AD56" s="200">
        <f>MasterData!$D$29</f>
        <v>2233.8000000000002</v>
      </c>
      <c r="AE56" s="200">
        <f>MasterData!$E$29</f>
        <v>6471.45</v>
      </c>
      <c r="AF56" s="200">
        <f>MasterData!$F$29</f>
        <v>0</v>
      </c>
      <c r="AG56" s="201">
        <f t="shared" si="0"/>
        <v>414146.54943877552</v>
      </c>
      <c r="AH56" s="200">
        <f>ROUND(AG56*MasterData!$G$29,2)</f>
        <v>49697.59</v>
      </c>
      <c r="AI56" s="200">
        <f>((AG56+AH56)*MasterData!$I$29)-'Model Calculator'!W56*MasterData!$I$29</f>
        <v>1586.0828740102033</v>
      </c>
      <c r="AJ56" s="201">
        <f t="shared" si="1"/>
        <v>466563.84231278568</v>
      </c>
      <c r="AK56" s="201">
        <f t="shared" si="7"/>
        <v>1344.56</v>
      </c>
    </row>
    <row r="57" spans="1:37">
      <c r="A57" s="197" t="s">
        <v>213</v>
      </c>
      <c r="B57" s="197" t="str">
        <f t="shared" si="8"/>
        <v>M406.01</v>
      </c>
      <c r="C57" s="197" t="s">
        <v>214</v>
      </c>
      <c r="D57" s="197" t="s">
        <v>282</v>
      </c>
      <c r="E57" s="197">
        <f>VLOOKUP($C32,MasterData!$B$62:$L$111,2,FALSE)</f>
        <v>0.41</v>
      </c>
      <c r="F57" s="198">
        <f>ROUND(E57*MasterData!$C$4,2)</f>
        <v>21177.18</v>
      </c>
      <c r="G57" s="199">
        <f>VLOOKUP($C32,MasterData!$B$62:$L$111,3,FALSE)</f>
        <v>1</v>
      </c>
      <c r="H57" s="198">
        <f>ROUND(G57*MasterData!$D$4,2)</f>
        <v>41516.800000000003</v>
      </c>
      <c r="I57" s="199">
        <f t="shared" si="3"/>
        <v>6</v>
      </c>
      <c r="J57" s="199">
        <f>VLOOKUP($C32,MasterData!$B$62:$L$111,4,FALSE)</f>
        <v>4.5999999999999996</v>
      </c>
      <c r="K57" s="198">
        <f>ROUND(J57*MasterData!$B$26,2)</f>
        <v>182221.09</v>
      </c>
      <c r="L57" s="199">
        <f>VLOOKUP($C32,MasterData!$B$62:$L$111,5,FALSE)</f>
        <v>1.4</v>
      </c>
      <c r="M57" s="200">
        <f>ROUND(L57*MasterData!$F$4,2)</f>
        <v>41496</v>
      </c>
      <c r="N57" s="199">
        <f>VLOOKUP($A57,MasterData!$B$62:$L$111,6,FALSE)</f>
        <v>0.92</v>
      </c>
      <c r="O57" s="211">
        <f>ROUND(N57*MasterData!$C$26,2)</f>
        <v>31815.8</v>
      </c>
      <c r="P57" s="199">
        <f>VLOOKUP($A57,MasterData!$B$62:$L$111,7,FALSE)</f>
        <v>0.22</v>
      </c>
      <c r="Q57" s="198">
        <f>ROUND(P57*MasterData!$H$4,2)</f>
        <v>6520.8</v>
      </c>
      <c r="R57" s="199">
        <f>VLOOKUP($A57,MasterData!$B$62:$L$111,8,FALSE)</f>
        <v>0.12</v>
      </c>
      <c r="S57" s="200">
        <f>ROUND(R57*MasterData!$I$4,2)</f>
        <v>3863.81</v>
      </c>
      <c r="T57" s="201">
        <f t="shared" si="4"/>
        <v>328611.48</v>
      </c>
      <c r="U57" s="200">
        <f>ROUND(T57*MasterData!$C$29,2)</f>
        <v>73313.22</v>
      </c>
      <c r="V57" s="200">
        <f>ROUND(T57*MasterData!$J$29,2)</f>
        <v>1215.8599999999999</v>
      </c>
      <c r="W57" s="201">
        <f t="shared" si="5"/>
        <v>401924.69999999995</v>
      </c>
      <c r="X57" s="212">
        <f>VLOOKUP($A57,MasterData!$B$62:$L$111,10,FALSE)*52</f>
        <v>104</v>
      </c>
      <c r="Y57" s="200">
        <f>ROUND(X57*MasterData!$C$7,2)</f>
        <v>6277.44</v>
      </c>
      <c r="Z57" s="199">
        <f>VLOOKUP($A57,MasterData!$B$62:$L$111,11,FALSE)*52</f>
        <v>156</v>
      </c>
      <c r="AA57" s="200">
        <f>ROUND(Z57*MasterData!$D$7,2)</f>
        <v>6605.04</v>
      </c>
      <c r="AB57" s="201">
        <f t="shared" si="6"/>
        <v>12882.48</v>
      </c>
      <c r="AC57" s="202">
        <f>MasterData!$M$29</f>
        <v>17820.45943877551</v>
      </c>
      <c r="AD57" s="200">
        <f>MasterData!$D$29</f>
        <v>2233.8000000000002</v>
      </c>
      <c r="AE57" s="200">
        <f>MasterData!$E$29</f>
        <v>6471.45</v>
      </c>
      <c r="AF57" s="200">
        <f>MasterData!$F$29</f>
        <v>0</v>
      </c>
      <c r="AG57" s="201">
        <f t="shared" si="0"/>
        <v>441332.88943877543</v>
      </c>
      <c r="AH57" s="200">
        <f>ROUND(AG57*MasterData!$G$29,2)</f>
        <v>52959.95</v>
      </c>
      <c r="AI57" s="200">
        <f>((AG57+AH57)*MasterData!$I$29)-'Model Calculator'!W57*MasterData!$I$29</f>
        <v>1644.1528820102039</v>
      </c>
      <c r="AJ57" s="201">
        <f t="shared" si="1"/>
        <v>497152.85232078563</v>
      </c>
      <c r="AK57" s="201">
        <f t="shared" si="7"/>
        <v>1432.72</v>
      </c>
    </row>
    <row r="58" spans="1:37">
      <c r="A58" s="197" t="s">
        <v>94</v>
      </c>
      <c r="B58" s="197" t="str">
        <f t="shared" si="8"/>
        <v>M406.51</v>
      </c>
      <c r="C58" s="197" t="s">
        <v>118</v>
      </c>
      <c r="D58" s="197" t="s">
        <v>282</v>
      </c>
      <c r="E58" s="197">
        <f>VLOOKUP($C33,MasterData!$B$62:$L$111,2,FALSE)</f>
        <v>0.41</v>
      </c>
      <c r="F58" s="198">
        <f>ROUND(E58*MasterData!$C$4,2)</f>
        <v>21177.18</v>
      </c>
      <c r="G58" s="199">
        <f>VLOOKUP($C33,MasterData!$B$62:$L$111,3,FALSE)</f>
        <v>1</v>
      </c>
      <c r="H58" s="198">
        <f>ROUND(G58*MasterData!$D$4,2)</f>
        <v>41516.800000000003</v>
      </c>
      <c r="I58" s="199">
        <f t="shared" si="3"/>
        <v>6.5</v>
      </c>
      <c r="J58" s="199">
        <f>VLOOKUP($C33,MasterData!$B$62:$L$111,4,FALSE)</f>
        <v>5.0999999999999996</v>
      </c>
      <c r="K58" s="198">
        <f>ROUND(J58*MasterData!$B$26,2)</f>
        <v>202027.73</v>
      </c>
      <c r="L58" s="199">
        <f>VLOOKUP($C33,MasterData!$B$62:$L$111,5,FALSE)</f>
        <v>1.4</v>
      </c>
      <c r="M58" s="200">
        <f>ROUND(L58*MasterData!$F$4,2)</f>
        <v>41496</v>
      </c>
      <c r="N58" s="199">
        <f>VLOOKUP($A58,MasterData!$B$62:$L$111,6,FALSE)</f>
        <v>1</v>
      </c>
      <c r="O58" s="211">
        <f>ROUND(N58*MasterData!$C$26,2)</f>
        <v>34582.39</v>
      </c>
      <c r="P58" s="199">
        <f>VLOOKUP($A58,MasterData!$B$62:$L$111,7,FALSE)</f>
        <v>0.22</v>
      </c>
      <c r="Q58" s="198">
        <f>ROUND(P58*MasterData!$H$4,2)</f>
        <v>6520.8</v>
      </c>
      <c r="R58" s="199">
        <f>VLOOKUP($A58,MasterData!$B$62:$L$111,8,FALSE)</f>
        <v>0.12</v>
      </c>
      <c r="S58" s="200">
        <f>ROUND(R58*MasterData!$I$4,2)</f>
        <v>3863.81</v>
      </c>
      <c r="T58" s="201">
        <f t="shared" si="4"/>
        <v>351184.71</v>
      </c>
      <c r="U58" s="200">
        <f>ROUND(T58*MasterData!$C$29,2)</f>
        <v>78349.31</v>
      </c>
      <c r="V58" s="200">
        <f>ROUND(T58*MasterData!$J$29,2)</f>
        <v>1299.3800000000001</v>
      </c>
      <c r="W58" s="201">
        <f t="shared" si="5"/>
        <v>429534.02</v>
      </c>
      <c r="X58" s="212">
        <f>VLOOKUP($A58,MasterData!$B$62:$L$111,10,FALSE)*52</f>
        <v>104</v>
      </c>
      <c r="Y58" s="200">
        <f>ROUND(X58*MasterData!$C$7,2)</f>
        <v>6277.44</v>
      </c>
      <c r="Z58" s="199">
        <f>VLOOKUP($A58,MasterData!$B$62:$L$111,11,FALSE)*52</f>
        <v>156</v>
      </c>
      <c r="AA58" s="200">
        <f>ROUND(Z58*MasterData!$D$7,2)</f>
        <v>6605.04</v>
      </c>
      <c r="AB58" s="201">
        <f t="shared" si="6"/>
        <v>12882.48</v>
      </c>
      <c r="AC58" s="202">
        <f>MasterData!$M$29</f>
        <v>17820.45943877551</v>
      </c>
      <c r="AD58" s="200">
        <f>MasterData!$D$29</f>
        <v>2233.8000000000002</v>
      </c>
      <c r="AE58" s="200">
        <f>MasterData!$E$29</f>
        <v>6471.45</v>
      </c>
      <c r="AF58" s="200">
        <f>MasterData!$F$29</f>
        <v>0</v>
      </c>
      <c r="AG58" s="201">
        <f t="shared" si="0"/>
        <v>468942.20943877549</v>
      </c>
      <c r="AH58" s="200">
        <f>ROUND(AG58*MasterData!$G$29,2)</f>
        <v>56273.07</v>
      </c>
      <c r="AI58" s="200">
        <f>((AG58+AH58)*MasterData!$I$29)-'Model Calculator'!W58*MasterData!$I$29</f>
        <v>1703.1264180102035</v>
      </c>
      <c r="AJ58" s="201">
        <f t="shared" si="1"/>
        <v>528217.78585678572</v>
      </c>
      <c r="AK58" s="201">
        <f t="shared" si="7"/>
        <v>1522.24</v>
      </c>
    </row>
    <row r="59" spans="1:37">
      <c r="A59" s="197" t="s">
        <v>95</v>
      </c>
      <c r="B59" s="197" t="str">
        <f t="shared" si="8"/>
        <v>M407.01</v>
      </c>
      <c r="C59" s="197" t="s">
        <v>119</v>
      </c>
      <c r="D59" s="197" t="s">
        <v>282</v>
      </c>
      <c r="E59" s="197">
        <f>VLOOKUP($C34,MasterData!$B$62:$L$111,2,FALSE)</f>
        <v>0.41</v>
      </c>
      <c r="F59" s="198">
        <f>ROUND(E59*MasterData!$C$4,2)</f>
        <v>21177.18</v>
      </c>
      <c r="G59" s="199">
        <f>VLOOKUP($C34,MasterData!$B$62:$L$111,3,FALSE)</f>
        <v>1</v>
      </c>
      <c r="H59" s="198">
        <f>ROUND(G59*MasterData!$D$4,2)</f>
        <v>41516.800000000003</v>
      </c>
      <c r="I59" s="199">
        <f t="shared" si="3"/>
        <v>7</v>
      </c>
      <c r="J59" s="199">
        <f>VLOOKUP($C34,MasterData!$B$62:$L$111,4,FALSE)</f>
        <v>5.6</v>
      </c>
      <c r="K59" s="198">
        <f>ROUND(J59*MasterData!$B$26,2)</f>
        <v>221834.37</v>
      </c>
      <c r="L59" s="199">
        <f>VLOOKUP($C34,MasterData!$B$62:$L$111,5,FALSE)</f>
        <v>1.4</v>
      </c>
      <c r="M59" s="200">
        <f>ROUND(L59*MasterData!$F$4,2)</f>
        <v>41496</v>
      </c>
      <c r="N59" s="199">
        <f>VLOOKUP($A59,MasterData!$B$62:$L$111,6,FALSE)</f>
        <v>1.08</v>
      </c>
      <c r="O59" s="211">
        <f>ROUND(N59*MasterData!$C$26,2)</f>
        <v>37348.980000000003</v>
      </c>
      <c r="P59" s="199">
        <f>VLOOKUP($A59,MasterData!$B$62:$L$111,7,FALSE)</f>
        <v>0.22</v>
      </c>
      <c r="Q59" s="198">
        <f>ROUND(P59*MasterData!$H$4,2)</f>
        <v>6520.8</v>
      </c>
      <c r="R59" s="199">
        <f>VLOOKUP($A59,MasterData!$B$62:$L$111,8,FALSE)</f>
        <v>0.12</v>
      </c>
      <c r="S59" s="200">
        <f>ROUND(R59*MasterData!$I$4,2)</f>
        <v>3863.81</v>
      </c>
      <c r="T59" s="201">
        <f t="shared" si="4"/>
        <v>373757.93999999994</v>
      </c>
      <c r="U59" s="200">
        <f>ROUND(T59*MasterData!$C$29,2)</f>
        <v>83385.399999999994</v>
      </c>
      <c r="V59" s="200">
        <f>ROUND(T59*MasterData!$J$29,2)</f>
        <v>1382.9</v>
      </c>
      <c r="W59" s="201">
        <f t="shared" si="5"/>
        <v>457143.33999999997</v>
      </c>
      <c r="X59" s="212">
        <f>VLOOKUP($A59,MasterData!$B$62:$L$111,10,FALSE)*52</f>
        <v>104</v>
      </c>
      <c r="Y59" s="200">
        <f>ROUND(X59*MasterData!$C$7,2)</f>
        <v>6277.44</v>
      </c>
      <c r="Z59" s="199">
        <f>VLOOKUP($A59,MasterData!$B$62:$L$111,11,FALSE)*52</f>
        <v>156</v>
      </c>
      <c r="AA59" s="200">
        <f>ROUND(Z59*MasterData!$D$7,2)</f>
        <v>6605.04</v>
      </c>
      <c r="AB59" s="201">
        <f t="shared" si="6"/>
        <v>12882.48</v>
      </c>
      <c r="AC59" s="202">
        <f>MasterData!$M$29</f>
        <v>17820.45943877551</v>
      </c>
      <c r="AD59" s="200">
        <f>MasterData!$D$29</f>
        <v>2233.8000000000002</v>
      </c>
      <c r="AE59" s="200">
        <f>MasterData!$E$29</f>
        <v>6471.45</v>
      </c>
      <c r="AF59" s="200">
        <f>MasterData!$F$29</f>
        <v>0</v>
      </c>
      <c r="AG59" s="201">
        <f t="shared" si="0"/>
        <v>496551.52943877544</v>
      </c>
      <c r="AH59" s="200">
        <f>ROUND(AG59*MasterData!$G$29,2)</f>
        <v>59586.18</v>
      </c>
      <c r="AI59" s="200">
        <f>((AG59+AH59)*MasterData!$I$29)-'Model Calculator'!W59*MasterData!$I$29</f>
        <v>1762.0997760102027</v>
      </c>
      <c r="AJ59" s="201">
        <f t="shared" si="1"/>
        <v>559282.7092147856</v>
      </c>
      <c r="AK59" s="201">
        <f t="shared" si="7"/>
        <v>1611.77</v>
      </c>
    </row>
    <row r="60" spans="1:37">
      <c r="A60" s="197" t="s">
        <v>96</v>
      </c>
      <c r="B60" s="197" t="str">
        <f t="shared" si="8"/>
        <v>M407.51</v>
      </c>
      <c r="C60" s="197" t="s">
        <v>120</v>
      </c>
      <c r="D60" s="197" t="s">
        <v>282</v>
      </c>
      <c r="E60" s="197">
        <f>VLOOKUP($C35,MasterData!$B$62:$L$111,2,FALSE)</f>
        <v>0.41</v>
      </c>
      <c r="F60" s="198">
        <f>ROUND(E60*MasterData!$C$4,2)</f>
        <v>21177.18</v>
      </c>
      <c r="G60" s="199">
        <f>VLOOKUP($C35,MasterData!$B$62:$L$111,3,FALSE)</f>
        <v>1</v>
      </c>
      <c r="H60" s="198">
        <f>ROUND(G60*MasterData!$D$4,2)</f>
        <v>41516.800000000003</v>
      </c>
      <c r="I60" s="199">
        <f t="shared" si="3"/>
        <v>7.5</v>
      </c>
      <c r="J60" s="199">
        <f>VLOOKUP($C35,MasterData!$B$62:$L$111,4,FALSE)</f>
        <v>6.1</v>
      </c>
      <c r="K60" s="198">
        <f>ROUND(J60*MasterData!$B$26,2)</f>
        <v>241641.01</v>
      </c>
      <c r="L60" s="199">
        <f>VLOOKUP($C35,MasterData!$B$62:$L$111,5,FALSE)</f>
        <v>1.4</v>
      </c>
      <c r="M60" s="200">
        <f>ROUND(L60*MasterData!$F$4,2)</f>
        <v>41496</v>
      </c>
      <c r="N60" s="199">
        <f>VLOOKUP($A60,MasterData!$B$62:$L$111,6,FALSE)</f>
        <v>1.1599999999999999</v>
      </c>
      <c r="O60" s="211">
        <f>ROUND(N60*MasterData!$C$26,2)</f>
        <v>40115.58</v>
      </c>
      <c r="P60" s="199">
        <f>VLOOKUP($A60,MasterData!$B$62:$L$111,7,FALSE)</f>
        <v>0.22</v>
      </c>
      <c r="Q60" s="198">
        <f>ROUND(P60*MasterData!$H$4,2)</f>
        <v>6520.8</v>
      </c>
      <c r="R60" s="199">
        <f>VLOOKUP($A60,MasterData!$B$62:$L$111,8,FALSE)</f>
        <v>0.12</v>
      </c>
      <c r="S60" s="200">
        <f>ROUND(R60*MasterData!$I$4,2)</f>
        <v>3863.81</v>
      </c>
      <c r="T60" s="201">
        <f t="shared" si="4"/>
        <v>396331.18</v>
      </c>
      <c r="U60" s="200">
        <f>ROUND(T60*MasterData!$C$29,2)</f>
        <v>88421.49</v>
      </c>
      <c r="V60" s="200">
        <f>ROUND(T60*MasterData!$J$29,2)</f>
        <v>1466.43</v>
      </c>
      <c r="W60" s="201">
        <f t="shared" si="5"/>
        <v>484752.67</v>
      </c>
      <c r="X60" s="212">
        <f>VLOOKUP($A60,MasterData!$B$62:$L$111,10,FALSE)*52</f>
        <v>104</v>
      </c>
      <c r="Y60" s="200">
        <f>ROUND(X60*MasterData!$C$7,2)</f>
        <v>6277.44</v>
      </c>
      <c r="Z60" s="199">
        <f>VLOOKUP($A60,MasterData!$B$62:$L$111,11,FALSE)*52</f>
        <v>156</v>
      </c>
      <c r="AA60" s="200">
        <f>ROUND(Z60*MasterData!$D$7,2)</f>
        <v>6605.04</v>
      </c>
      <c r="AB60" s="201">
        <f t="shared" si="6"/>
        <v>12882.48</v>
      </c>
      <c r="AC60" s="202">
        <f>MasterData!$M$29</f>
        <v>17820.45943877551</v>
      </c>
      <c r="AD60" s="200">
        <f>MasterData!$D$29</f>
        <v>2233.8000000000002</v>
      </c>
      <c r="AE60" s="200">
        <f>MasterData!$E$29</f>
        <v>6471.45</v>
      </c>
      <c r="AF60" s="200">
        <f>MasterData!$F$29</f>
        <v>0</v>
      </c>
      <c r="AG60" s="201">
        <f t="shared" si="0"/>
        <v>524160.85943877546</v>
      </c>
      <c r="AH60" s="200">
        <f>ROUND(AG60*MasterData!$G$29,2)</f>
        <v>62899.3</v>
      </c>
      <c r="AI60" s="200">
        <f>((AG60+AH60)*MasterData!$I$29)-'Model Calculator'!W60*MasterData!$I$29</f>
        <v>1821.073312010205</v>
      </c>
      <c r="AJ60" s="201">
        <f t="shared" si="1"/>
        <v>590347.6627507857</v>
      </c>
      <c r="AK60" s="201">
        <f t="shared" si="7"/>
        <v>1701.29</v>
      </c>
    </row>
    <row r="61" spans="1:37">
      <c r="A61" s="197" t="s">
        <v>97</v>
      </c>
      <c r="B61" s="197" t="str">
        <f t="shared" si="8"/>
        <v>M408.01</v>
      </c>
      <c r="C61" s="197" t="s">
        <v>121</v>
      </c>
      <c r="D61" s="197" t="s">
        <v>282</v>
      </c>
      <c r="E61" s="197">
        <f>VLOOKUP($C36,MasterData!$B$62:$L$111,2,FALSE)</f>
        <v>0.41</v>
      </c>
      <c r="F61" s="198">
        <f>ROUND(E61*MasterData!$C$4,2)</f>
        <v>21177.18</v>
      </c>
      <c r="G61" s="199">
        <f>VLOOKUP($C36,MasterData!$B$62:$L$111,3,FALSE)</f>
        <v>1</v>
      </c>
      <c r="H61" s="198">
        <f>ROUND(G61*MasterData!$D$4,2)</f>
        <v>41516.800000000003</v>
      </c>
      <c r="I61" s="199">
        <f t="shared" si="3"/>
        <v>8</v>
      </c>
      <c r="J61" s="199">
        <f>VLOOKUP($C36,MasterData!$B$62:$L$111,4,FALSE)</f>
        <v>6.6</v>
      </c>
      <c r="K61" s="198">
        <f>ROUND(J61*MasterData!$B$26,2)</f>
        <v>261447.65</v>
      </c>
      <c r="L61" s="199">
        <f>VLOOKUP($C36,MasterData!$B$62:$L$111,5,FALSE)</f>
        <v>1.4</v>
      </c>
      <c r="M61" s="200">
        <f>ROUND(L61*MasterData!$F$4,2)</f>
        <v>41496</v>
      </c>
      <c r="N61" s="199">
        <f>VLOOKUP($A61,MasterData!$B$62:$L$111,6,FALSE)</f>
        <v>1.23</v>
      </c>
      <c r="O61" s="211">
        <f>ROUND(N61*MasterData!$C$26,2)</f>
        <v>42536.34</v>
      </c>
      <c r="P61" s="199">
        <f>VLOOKUP($A61,MasterData!$B$62:$L$111,7,FALSE)</f>
        <v>0.22</v>
      </c>
      <c r="Q61" s="198">
        <f>ROUND(P61*MasterData!$H$4,2)</f>
        <v>6520.8</v>
      </c>
      <c r="R61" s="199">
        <f>VLOOKUP($A61,MasterData!$B$62:$L$111,8,FALSE)</f>
        <v>0.12</v>
      </c>
      <c r="S61" s="200">
        <f>ROUND(R61*MasterData!$I$4,2)</f>
        <v>3863.81</v>
      </c>
      <c r="T61" s="201">
        <f t="shared" si="4"/>
        <v>418558.57999999996</v>
      </c>
      <c r="U61" s="200">
        <f>ROUND(T61*MasterData!$C$29,2)</f>
        <v>93380.42</v>
      </c>
      <c r="V61" s="200">
        <f>ROUND(T61*MasterData!$J$29,2)</f>
        <v>1548.67</v>
      </c>
      <c r="W61" s="201">
        <f t="shared" si="5"/>
        <v>511938.99999999994</v>
      </c>
      <c r="X61" s="212">
        <f>VLOOKUP($A61,MasterData!$B$62:$L$111,10,FALSE)*52</f>
        <v>104</v>
      </c>
      <c r="Y61" s="200">
        <f>ROUND(X61*MasterData!$C$7,2)</f>
        <v>6277.44</v>
      </c>
      <c r="Z61" s="199">
        <f>VLOOKUP($A61,MasterData!$B$62:$L$111,11,FALSE)*52</f>
        <v>156</v>
      </c>
      <c r="AA61" s="200">
        <f>ROUND(Z61*MasterData!$D$7,2)</f>
        <v>6605.04</v>
      </c>
      <c r="AB61" s="201">
        <f t="shared" si="6"/>
        <v>12882.48</v>
      </c>
      <c r="AC61" s="202">
        <f>MasterData!$M$29</f>
        <v>17820.45943877551</v>
      </c>
      <c r="AD61" s="200">
        <f>MasterData!$D$29</f>
        <v>2233.8000000000002</v>
      </c>
      <c r="AE61" s="200">
        <f>MasterData!$E$29</f>
        <v>6471.45</v>
      </c>
      <c r="AF61" s="200">
        <f>MasterData!$F$29</f>
        <v>0</v>
      </c>
      <c r="AG61" s="201">
        <f t="shared" si="0"/>
        <v>551347.18943877553</v>
      </c>
      <c r="AH61" s="200">
        <f>ROUND(AG61*MasterData!$G$29,2)</f>
        <v>66161.66</v>
      </c>
      <c r="AI61" s="200">
        <f>((AG61+AH61)*MasterData!$I$29)-'Model Calculator'!W61*MasterData!$I$29</f>
        <v>1879.1433200102056</v>
      </c>
      <c r="AJ61" s="201">
        <f t="shared" si="1"/>
        <v>620936.66275878577</v>
      </c>
      <c r="AK61" s="201">
        <f t="shared" si="7"/>
        <v>1789.44</v>
      </c>
    </row>
    <row r="62" spans="1:37">
      <c r="A62" s="197" t="s">
        <v>98</v>
      </c>
      <c r="B62" s="197" t="str">
        <f t="shared" si="8"/>
        <v>M408.51</v>
      </c>
      <c r="C62" s="197" t="s">
        <v>122</v>
      </c>
      <c r="D62" s="197" t="s">
        <v>282</v>
      </c>
      <c r="E62" s="197">
        <f>VLOOKUP($C37,MasterData!$B$62:$L$111,2,FALSE)</f>
        <v>0.41</v>
      </c>
      <c r="F62" s="198">
        <f>ROUND(E62*MasterData!$C$4,2)</f>
        <v>21177.18</v>
      </c>
      <c r="G62" s="199">
        <f>VLOOKUP($C37,MasterData!$B$62:$L$111,3,FALSE)</f>
        <v>1</v>
      </c>
      <c r="H62" s="198">
        <f>ROUND(G62*MasterData!$D$4,2)</f>
        <v>41516.800000000003</v>
      </c>
      <c r="I62" s="199">
        <f t="shared" si="3"/>
        <v>8.5</v>
      </c>
      <c r="J62" s="199">
        <f>VLOOKUP($C37,MasterData!$B$62:$L$111,4,FALSE)</f>
        <v>7.1</v>
      </c>
      <c r="K62" s="198">
        <f>ROUND(J62*MasterData!$B$26,2)</f>
        <v>281254.28999999998</v>
      </c>
      <c r="L62" s="199">
        <f>VLOOKUP($C37,MasterData!$B$62:$L$111,5,FALSE)</f>
        <v>1.4</v>
      </c>
      <c r="M62" s="200">
        <f>ROUND(L62*MasterData!$F$4,2)</f>
        <v>41496</v>
      </c>
      <c r="N62" s="199">
        <f>VLOOKUP($A62,MasterData!$B$62:$L$111,6,FALSE)</f>
        <v>1.31</v>
      </c>
      <c r="O62" s="211">
        <f>ROUND(N62*MasterData!$C$26,2)</f>
        <v>45302.94</v>
      </c>
      <c r="P62" s="199">
        <f>VLOOKUP($A62,MasterData!$B$62:$L$111,7,FALSE)</f>
        <v>0.22</v>
      </c>
      <c r="Q62" s="198">
        <f>ROUND(P62*MasterData!$H$4,2)</f>
        <v>6520.8</v>
      </c>
      <c r="R62" s="199">
        <f>VLOOKUP($A62,MasterData!$B$62:$L$111,8,FALSE)</f>
        <v>0.12</v>
      </c>
      <c r="S62" s="200">
        <f>ROUND(R62*MasterData!$I$4,2)</f>
        <v>3863.81</v>
      </c>
      <c r="T62" s="201">
        <f t="shared" si="4"/>
        <v>441131.81999999995</v>
      </c>
      <c r="U62" s="200">
        <f>ROUND(T62*MasterData!$C$29,2)</f>
        <v>98416.51</v>
      </c>
      <c r="V62" s="200">
        <f>ROUND(T62*MasterData!$J$29,2)</f>
        <v>1632.19</v>
      </c>
      <c r="W62" s="201">
        <f t="shared" si="5"/>
        <v>539548.32999999996</v>
      </c>
      <c r="X62" s="212">
        <f>VLOOKUP($A62,MasterData!$B$62:$L$111,10,FALSE)*52</f>
        <v>104</v>
      </c>
      <c r="Y62" s="200">
        <f>ROUND(X62*MasterData!$C$7,2)</f>
        <v>6277.44</v>
      </c>
      <c r="Z62" s="199">
        <f>VLOOKUP($A62,MasterData!$B$62:$L$111,11,FALSE)*52</f>
        <v>156</v>
      </c>
      <c r="AA62" s="200">
        <f>ROUND(Z62*MasterData!$D$7,2)</f>
        <v>6605.04</v>
      </c>
      <c r="AB62" s="201">
        <f t="shared" si="6"/>
        <v>12882.48</v>
      </c>
      <c r="AC62" s="202">
        <f>MasterData!$M$29</f>
        <v>17820.45943877551</v>
      </c>
      <c r="AD62" s="200">
        <f>MasterData!$D$29</f>
        <v>2233.8000000000002</v>
      </c>
      <c r="AE62" s="200">
        <f>MasterData!$E$29</f>
        <v>6471.45</v>
      </c>
      <c r="AF62" s="200">
        <f>MasterData!$F$29</f>
        <v>0</v>
      </c>
      <c r="AG62" s="201">
        <f t="shared" si="0"/>
        <v>578956.51943877549</v>
      </c>
      <c r="AH62" s="200">
        <f>ROUND(AG62*MasterData!$G$29,2)</f>
        <v>69474.78</v>
      </c>
      <c r="AI62" s="200">
        <f>((AG62+AH62)*MasterData!$I$29)-'Model Calculator'!W62*MasterData!$I$29</f>
        <v>1938.1168560102051</v>
      </c>
      <c r="AJ62" s="201">
        <f t="shared" si="1"/>
        <v>652001.60629478563</v>
      </c>
      <c r="AK62" s="201">
        <f t="shared" si="7"/>
        <v>1878.97</v>
      </c>
    </row>
    <row r="63" spans="1:37">
      <c r="A63" s="197" t="s">
        <v>99</v>
      </c>
      <c r="B63" s="197" t="str">
        <f t="shared" si="8"/>
        <v>M409.01</v>
      </c>
      <c r="C63" s="197" t="s">
        <v>123</v>
      </c>
      <c r="D63" s="197" t="s">
        <v>282</v>
      </c>
      <c r="E63" s="197">
        <f>VLOOKUP($C38,MasterData!$B$62:$L$111,2,FALSE)</f>
        <v>0.41</v>
      </c>
      <c r="F63" s="198">
        <f>ROUND(E63*MasterData!$C$4,2)</f>
        <v>21177.18</v>
      </c>
      <c r="G63" s="199">
        <f>VLOOKUP($C38,MasterData!$B$62:$L$111,3,FALSE)</f>
        <v>1</v>
      </c>
      <c r="H63" s="198">
        <f>ROUND(G63*MasterData!$D$4,2)</f>
        <v>41516.800000000003</v>
      </c>
      <c r="I63" s="199">
        <f t="shared" si="3"/>
        <v>9</v>
      </c>
      <c r="J63" s="199">
        <f>VLOOKUP($C38,MasterData!$B$62:$L$111,4,FALSE)</f>
        <v>7.6</v>
      </c>
      <c r="K63" s="198">
        <f>ROUND(J63*MasterData!$B$26,2)</f>
        <v>301060.93</v>
      </c>
      <c r="L63" s="199">
        <f>VLOOKUP($C38,MasterData!$B$62:$L$111,5,FALSE)</f>
        <v>1.4</v>
      </c>
      <c r="M63" s="200">
        <f>ROUND(L63*MasterData!$F$4,2)</f>
        <v>41496</v>
      </c>
      <c r="N63" s="199">
        <f>VLOOKUP($A63,MasterData!$B$62:$L$111,6,FALSE)</f>
        <v>1.39</v>
      </c>
      <c r="O63" s="211">
        <f>ROUND(N63*MasterData!$C$26,2)</f>
        <v>48069.53</v>
      </c>
      <c r="P63" s="199">
        <f>VLOOKUP($A63,MasterData!$B$62:$L$111,7,FALSE)</f>
        <v>0.22</v>
      </c>
      <c r="Q63" s="198">
        <f>ROUND(P63*MasterData!$H$4,2)</f>
        <v>6520.8</v>
      </c>
      <c r="R63" s="199">
        <f>VLOOKUP($A63,MasterData!$B$62:$L$111,8,FALSE)</f>
        <v>0.12</v>
      </c>
      <c r="S63" s="200">
        <f>ROUND(R63*MasterData!$I$4,2)</f>
        <v>3863.81</v>
      </c>
      <c r="T63" s="201">
        <f t="shared" si="4"/>
        <v>463705.04999999993</v>
      </c>
      <c r="U63" s="200">
        <f>ROUND(T63*MasterData!$C$29,2)</f>
        <v>103452.6</v>
      </c>
      <c r="V63" s="200">
        <f>ROUND(T63*MasterData!$J$29,2)</f>
        <v>1715.71</v>
      </c>
      <c r="W63" s="201">
        <f t="shared" si="5"/>
        <v>567157.64999999991</v>
      </c>
      <c r="X63" s="212">
        <f>VLOOKUP($A63,MasterData!$B$62:$L$111,10,FALSE)*52</f>
        <v>104</v>
      </c>
      <c r="Y63" s="200">
        <f>ROUND(X63*MasterData!$C$7,2)</f>
        <v>6277.44</v>
      </c>
      <c r="Z63" s="199">
        <f>VLOOKUP($A63,MasterData!$B$62:$L$111,11,FALSE)*52</f>
        <v>156</v>
      </c>
      <c r="AA63" s="200">
        <f>ROUND(Z63*MasterData!$D$7,2)</f>
        <v>6605.04</v>
      </c>
      <c r="AB63" s="201">
        <f t="shared" si="6"/>
        <v>12882.48</v>
      </c>
      <c r="AC63" s="202">
        <f>MasterData!$M$29</f>
        <v>17820.45943877551</v>
      </c>
      <c r="AD63" s="200">
        <f>MasterData!$D$29</f>
        <v>2233.8000000000002</v>
      </c>
      <c r="AE63" s="200">
        <f>MasterData!$E$29</f>
        <v>6471.45</v>
      </c>
      <c r="AF63" s="200">
        <f>MasterData!$F$29</f>
        <v>0</v>
      </c>
      <c r="AG63" s="201">
        <f t="shared" si="0"/>
        <v>606565.83943877544</v>
      </c>
      <c r="AH63" s="200">
        <f>ROUND(AG63*MasterData!$G$29,2)</f>
        <v>72787.899999999994</v>
      </c>
      <c r="AI63" s="200">
        <f>((AG63+AH63)*MasterData!$I$29)-'Model Calculator'!W63*MasterData!$I$29</f>
        <v>1997.0903920102046</v>
      </c>
      <c r="AJ63" s="201">
        <f t="shared" si="1"/>
        <v>683066.53983078559</v>
      </c>
      <c r="AK63" s="201">
        <f t="shared" si="7"/>
        <v>1968.49</v>
      </c>
    </row>
    <row r="64" spans="1:37">
      <c r="A64" s="197" t="s">
        <v>100</v>
      </c>
      <c r="B64" s="197" t="str">
        <f t="shared" si="8"/>
        <v>M409.51</v>
      </c>
      <c r="C64" s="197" t="s">
        <v>124</v>
      </c>
      <c r="D64" s="197" t="s">
        <v>282</v>
      </c>
      <c r="E64" s="197">
        <f>VLOOKUP($C39,MasterData!$B$62:$L$111,2,FALSE)</f>
        <v>0.41</v>
      </c>
      <c r="F64" s="198">
        <f>ROUND(E64*MasterData!$C$4,2)</f>
        <v>21177.18</v>
      </c>
      <c r="G64" s="199">
        <f>VLOOKUP($C39,MasterData!$B$62:$L$111,3,FALSE)</f>
        <v>1</v>
      </c>
      <c r="H64" s="198">
        <f>ROUND(G64*MasterData!$D$4,2)</f>
        <v>41516.800000000003</v>
      </c>
      <c r="I64" s="199">
        <f t="shared" si="3"/>
        <v>9.5</v>
      </c>
      <c r="J64" s="199">
        <f>VLOOKUP($C39,MasterData!$B$62:$L$111,4,FALSE)</f>
        <v>8.1</v>
      </c>
      <c r="K64" s="198">
        <f>ROUND(J64*MasterData!$B$26,2)</f>
        <v>320867.57</v>
      </c>
      <c r="L64" s="199">
        <f>VLOOKUP($C39,MasterData!$B$62:$L$111,5,FALSE)</f>
        <v>1.4</v>
      </c>
      <c r="M64" s="200">
        <f>ROUND(L64*MasterData!$F$4,2)</f>
        <v>41496</v>
      </c>
      <c r="N64" s="199">
        <f>VLOOKUP($A64,MasterData!$B$62:$L$111,6,FALSE)</f>
        <v>1.46</v>
      </c>
      <c r="O64" s="211">
        <f>ROUND(N64*MasterData!$C$26,2)</f>
        <v>50490.29</v>
      </c>
      <c r="P64" s="199">
        <f>VLOOKUP($A64,MasterData!$B$62:$L$111,7,FALSE)</f>
        <v>0.22</v>
      </c>
      <c r="Q64" s="198">
        <f>ROUND(P64*MasterData!$H$4,2)</f>
        <v>6520.8</v>
      </c>
      <c r="R64" s="199">
        <f>VLOOKUP($A64,MasterData!$B$62:$L$111,8,FALSE)</f>
        <v>0.12</v>
      </c>
      <c r="S64" s="200">
        <f>ROUND(R64*MasterData!$I$4,2)</f>
        <v>3863.81</v>
      </c>
      <c r="T64" s="201">
        <f t="shared" si="4"/>
        <v>485932.44999999995</v>
      </c>
      <c r="U64" s="200">
        <f>ROUND(T64*MasterData!$C$29,2)</f>
        <v>108411.53</v>
      </c>
      <c r="V64" s="200">
        <f>ROUND(T64*MasterData!$J$29,2)</f>
        <v>1797.95</v>
      </c>
      <c r="W64" s="201">
        <f t="shared" si="5"/>
        <v>594343.98</v>
      </c>
      <c r="X64" s="212">
        <f>VLOOKUP($A64,MasterData!$B$62:$L$111,10,FALSE)*52</f>
        <v>104</v>
      </c>
      <c r="Y64" s="200">
        <f>ROUND(X64*MasterData!$C$7,2)</f>
        <v>6277.44</v>
      </c>
      <c r="Z64" s="199">
        <f>VLOOKUP($A64,MasterData!$B$62:$L$111,11,FALSE)*52</f>
        <v>156</v>
      </c>
      <c r="AA64" s="200">
        <f>ROUND(Z64*MasterData!$D$7,2)</f>
        <v>6605.04</v>
      </c>
      <c r="AB64" s="201">
        <f t="shared" si="6"/>
        <v>12882.48</v>
      </c>
      <c r="AC64" s="202">
        <f>MasterData!$M$29</f>
        <v>17820.45943877551</v>
      </c>
      <c r="AD64" s="200">
        <f>MasterData!$D$29</f>
        <v>2233.8000000000002</v>
      </c>
      <c r="AE64" s="200">
        <f>MasterData!$E$29</f>
        <v>6471.45</v>
      </c>
      <c r="AF64" s="200">
        <f>MasterData!$F$29</f>
        <v>0</v>
      </c>
      <c r="AG64" s="201">
        <f t="shared" si="0"/>
        <v>633752.16943877551</v>
      </c>
      <c r="AH64" s="200">
        <f>ROUND(AG64*MasterData!$G$29,2)</f>
        <v>76050.259999999995</v>
      </c>
      <c r="AI64" s="200">
        <f>((AG64+AH64)*MasterData!$I$29)-'Model Calculator'!W64*MasterData!$I$29</f>
        <v>2055.1604000102034</v>
      </c>
      <c r="AJ64" s="201">
        <f t="shared" si="1"/>
        <v>713655.53983878565</v>
      </c>
      <c r="AK64" s="201">
        <f t="shared" si="7"/>
        <v>2056.64</v>
      </c>
    </row>
    <row r="65" spans="1:37">
      <c r="A65" s="197" t="s">
        <v>101</v>
      </c>
      <c r="B65" s="197" t="str">
        <f t="shared" si="8"/>
        <v>M410.01</v>
      </c>
      <c r="C65" s="197" t="s">
        <v>125</v>
      </c>
      <c r="D65" s="197" t="s">
        <v>282</v>
      </c>
      <c r="E65" s="197">
        <f>VLOOKUP($C40,MasterData!$B$62:$L$111,2,FALSE)</f>
        <v>0.41</v>
      </c>
      <c r="F65" s="198">
        <f>ROUND(E65*MasterData!$C$4,2)</f>
        <v>21177.18</v>
      </c>
      <c r="G65" s="199">
        <f>VLOOKUP($C40,MasterData!$B$62:$L$111,3,FALSE)</f>
        <v>1</v>
      </c>
      <c r="H65" s="198">
        <f>ROUND(G65*MasterData!$D$4,2)</f>
        <v>41516.800000000003</v>
      </c>
      <c r="I65" s="199">
        <f t="shared" si="3"/>
        <v>10</v>
      </c>
      <c r="J65" s="199">
        <f>VLOOKUP($C40,MasterData!$B$62:$L$111,4,FALSE)</f>
        <v>8.6</v>
      </c>
      <c r="K65" s="198">
        <f>ROUND(J65*MasterData!$B$26,2)</f>
        <v>340674.21</v>
      </c>
      <c r="L65" s="199">
        <f>VLOOKUP($C40,MasterData!$B$62:$L$111,5,FALSE)</f>
        <v>1.4</v>
      </c>
      <c r="M65" s="200">
        <f>ROUND(L65*MasterData!$F$4,2)</f>
        <v>41496</v>
      </c>
      <c r="N65" s="199">
        <f>VLOOKUP($A65,MasterData!$B$62:$L$111,6,FALSE)</f>
        <v>1.54</v>
      </c>
      <c r="O65" s="211">
        <f>ROUND(N65*MasterData!$C$26,2)</f>
        <v>53256.89</v>
      </c>
      <c r="P65" s="199">
        <f>VLOOKUP($A65,MasterData!$B$62:$L$111,7,FALSE)</f>
        <v>0.22</v>
      </c>
      <c r="Q65" s="198">
        <f>ROUND(P65*MasterData!$H$4,2)</f>
        <v>6520.8</v>
      </c>
      <c r="R65" s="199">
        <f>VLOOKUP($A65,MasterData!$B$62:$L$111,8,FALSE)</f>
        <v>0.12</v>
      </c>
      <c r="S65" s="200">
        <f>ROUND(R65*MasterData!$I$4,2)</f>
        <v>3863.81</v>
      </c>
      <c r="T65" s="201">
        <f t="shared" si="4"/>
        <v>508505.69</v>
      </c>
      <c r="U65" s="200">
        <f>ROUND(T65*MasterData!$C$29,2)</f>
        <v>113447.62</v>
      </c>
      <c r="V65" s="200">
        <f>ROUND(T65*MasterData!$J$29,2)</f>
        <v>1881.47</v>
      </c>
      <c r="W65" s="201">
        <f t="shared" si="5"/>
        <v>621953.31000000006</v>
      </c>
      <c r="X65" s="212">
        <f>VLOOKUP($A65,MasterData!$B$62:$L$111,10,FALSE)*52</f>
        <v>104</v>
      </c>
      <c r="Y65" s="200">
        <f>ROUND(X65*MasterData!$C$7,2)</f>
        <v>6277.44</v>
      </c>
      <c r="Z65" s="199">
        <f>VLOOKUP($A65,MasterData!$B$62:$L$111,11,FALSE)*52</f>
        <v>156</v>
      </c>
      <c r="AA65" s="200">
        <f>ROUND(Z65*MasterData!$D$7,2)</f>
        <v>6605.04</v>
      </c>
      <c r="AB65" s="201">
        <f t="shared" si="6"/>
        <v>12882.48</v>
      </c>
      <c r="AC65" s="202">
        <f>MasterData!$M$29</f>
        <v>17820.45943877551</v>
      </c>
      <c r="AD65" s="200">
        <f>MasterData!$D$29</f>
        <v>2233.8000000000002</v>
      </c>
      <c r="AE65" s="200">
        <f>MasterData!$E$29</f>
        <v>6471.45</v>
      </c>
      <c r="AF65" s="200">
        <f>MasterData!$F$29</f>
        <v>0</v>
      </c>
      <c r="AG65" s="201">
        <f t="shared" si="0"/>
        <v>661361.49943877559</v>
      </c>
      <c r="AH65" s="200">
        <f>ROUND(AG65*MasterData!$G$29,2)</f>
        <v>79363.38</v>
      </c>
      <c r="AI65" s="200">
        <f>((AG65+AH65)*MasterData!$I$29)-'Model Calculator'!W65*MasterData!$I$29</f>
        <v>2114.1339360102047</v>
      </c>
      <c r="AJ65" s="201">
        <f t="shared" si="1"/>
        <v>744720.48337478575</v>
      </c>
      <c r="AK65" s="201">
        <f t="shared" si="7"/>
        <v>2146.17</v>
      </c>
    </row>
    <row r="66" spans="1:37">
      <c r="A66" s="197" t="s">
        <v>102</v>
      </c>
      <c r="B66" s="197" t="str">
        <f t="shared" si="8"/>
        <v>M410.51</v>
      </c>
      <c r="C66" s="197" t="s">
        <v>126</v>
      </c>
      <c r="D66" s="197" t="s">
        <v>282</v>
      </c>
      <c r="E66" s="197">
        <f>VLOOKUP($C41,MasterData!$B$62:$L$111,2,FALSE)</f>
        <v>0.41</v>
      </c>
      <c r="F66" s="198">
        <f>ROUND(E66*MasterData!$C$4,2)</f>
        <v>21177.18</v>
      </c>
      <c r="G66" s="199">
        <f>VLOOKUP($C41,MasterData!$B$62:$L$111,3,FALSE)</f>
        <v>1</v>
      </c>
      <c r="H66" s="198">
        <f>ROUND(G66*MasterData!$D$4,2)</f>
        <v>41516.800000000003</v>
      </c>
      <c r="I66" s="199">
        <f t="shared" si="3"/>
        <v>10.5</v>
      </c>
      <c r="J66" s="199">
        <f>VLOOKUP($C41,MasterData!$B$62:$L$111,4,FALSE)</f>
        <v>9.1</v>
      </c>
      <c r="K66" s="198">
        <f>ROUND(J66*MasterData!$B$26,2)</f>
        <v>360480.85</v>
      </c>
      <c r="L66" s="199">
        <f>VLOOKUP($C41,MasterData!$B$62:$L$111,5,FALSE)</f>
        <v>1.4</v>
      </c>
      <c r="M66" s="200">
        <f>ROUND(L66*MasterData!$F$4,2)</f>
        <v>41496</v>
      </c>
      <c r="N66" s="199">
        <f>VLOOKUP($A66,MasterData!$B$62:$L$111,6,FALSE)</f>
        <v>1.62</v>
      </c>
      <c r="O66" s="211">
        <f>ROUND(N66*MasterData!$C$26,2)</f>
        <v>56023.48</v>
      </c>
      <c r="P66" s="199">
        <f>VLOOKUP($A66,MasterData!$B$62:$L$111,7,FALSE)</f>
        <v>0.22</v>
      </c>
      <c r="Q66" s="198">
        <f>ROUND(P66*MasterData!$H$4,2)</f>
        <v>6520.8</v>
      </c>
      <c r="R66" s="199">
        <f>VLOOKUP($A66,MasterData!$B$62:$L$111,8,FALSE)</f>
        <v>0.12</v>
      </c>
      <c r="S66" s="200">
        <f>ROUND(R66*MasterData!$I$4,2)</f>
        <v>3863.81</v>
      </c>
      <c r="T66" s="201">
        <f t="shared" si="4"/>
        <v>531078.92000000004</v>
      </c>
      <c r="U66" s="200">
        <f>ROUND(T66*MasterData!$C$29,2)</f>
        <v>118483.71</v>
      </c>
      <c r="V66" s="200">
        <f>ROUND(T66*MasterData!$J$29,2)</f>
        <v>1964.99</v>
      </c>
      <c r="W66" s="201">
        <f t="shared" si="5"/>
        <v>649562.63</v>
      </c>
      <c r="X66" s="212">
        <f>VLOOKUP($A66,MasterData!$B$62:$L$111,10,FALSE)*52</f>
        <v>104</v>
      </c>
      <c r="Y66" s="200">
        <f>ROUND(X66*MasterData!$C$7,2)</f>
        <v>6277.44</v>
      </c>
      <c r="Z66" s="199">
        <f>VLOOKUP($A66,MasterData!$B$62:$L$111,11,FALSE)*52</f>
        <v>156</v>
      </c>
      <c r="AA66" s="200">
        <f>ROUND(Z66*MasterData!$D$7,2)</f>
        <v>6605.04</v>
      </c>
      <c r="AB66" s="201">
        <f t="shared" si="6"/>
        <v>12882.48</v>
      </c>
      <c r="AC66" s="202">
        <f>MasterData!$M$29</f>
        <v>17820.45943877551</v>
      </c>
      <c r="AD66" s="200">
        <f>MasterData!$D$29</f>
        <v>2233.8000000000002</v>
      </c>
      <c r="AE66" s="200">
        <f>MasterData!$E$29</f>
        <v>6471.45</v>
      </c>
      <c r="AF66" s="200">
        <f>MasterData!$F$29</f>
        <v>0</v>
      </c>
      <c r="AG66" s="201">
        <f t="shared" ref="AG66:AG129" si="9">W66+AB66+AC66+AD66+AE66+AF66</f>
        <v>688970.81943877554</v>
      </c>
      <c r="AH66" s="200">
        <f>ROUND(AG66*MasterData!$G$29,2)</f>
        <v>82676.5</v>
      </c>
      <c r="AI66" s="200">
        <f>((AG66+AH66)*MasterData!$I$29)-'Model Calculator'!W66*MasterData!$I$29</f>
        <v>2173.1074720102042</v>
      </c>
      <c r="AJ66" s="201">
        <f t="shared" ref="AJ66:AJ129" si="10">AH66+AG66+AI66+V66</f>
        <v>775785.41691078572</v>
      </c>
      <c r="AK66" s="201">
        <f t="shared" si="7"/>
        <v>2235.69</v>
      </c>
    </row>
    <row r="67" spans="1:37">
      <c r="A67" s="197" t="s">
        <v>103</v>
      </c>
      <c r="B67" s="197" t="str">
        <f t="shared" si="8"/>
        <v>M411.01</v>
      </c>
      <c r="C67" s="197" t="s">
        <v>127</v>
      </c>
      <c r="D67" s="197" t="s">
        <v>282</v>
      </c>
      <c r="E67" s="197">
        <f>VLOOKUP($C42,MasterData!$B$62:$L$111,2,FALSE)</f>
        <v>0.41</v>
      </c>
      <c r="F67" s="198">
        <f>ROUND(E67*MasterData!$C$4,2)</f>
        <v>21177.18</v>
      </c>
      <c r="G67" s="199">
        <f>VLOOKUP($C42,MasterData!$B$62:$L$111,3,FALSE)</f>
        <v>1</v>
      </c>
      <c r="H67" s="198">
        <f>ROUND(G67*MasterData!$D$4,2)</f>
        <v>41516.800000000003</v>
      </c>
      <c r="I67" s="199">
        <f t="shared" ref="I67:I130" si="11">J67+L67</f>
        <v>11</v>
      </c>
      <c r="J67" s="199">
        <f>VLOOKUP($C42,MasterData!$B$62:$L$111,4,FALSE)</f>
        <v>9.6</v>
      </c>
      <c r="K67" s="198">
        <f>ROUND(J67*MasterData!$B$26,2)</f>
        <v>380287.49</v>
      </c>
      <c r="L67" s="199">
        <f>VLOOKUP($C42,MasterData!$B$62:$L$111,5,FALSE)</f>
        <v>1.4</v>
      </c>
      <c r="M67" s="200">
        <f>ROUND(L67*MasterData!$F$4,2)</f>
        <v>41496</v>
      </c>
      <c r="N67" s="199">
        <f>VLOOKUP($A67,MasterData!$B$62:$L$111,6,FALSE)</f>
        <v>1.69</v>
      </c>
      <c r="O67" s="211">
        <f>ROUND(N67*MasterData!$C$26,2)</f>
        <v>58444.24</v>
      </c>
      <c r="P67" s="199">
        <f>VLOOKUP($A67,MasterData!$B$62:$L$111,7,FALSE)</f>
        <v>0.22</v>
      </c>
      <c r="Q67" s="198">
        <f>ROUND(P67*MasterData!$H$4,2)</f>
        <v>6520.8</v>
      </c>
      <c r="R67" s="199">
        <f>VLOOKUP($A67,MasterData!$B$62:$L$111,8,FALSE)</f>
        <v>0.12</v>
      </c>
      <c r="S67" s="200">
        <f>ROUND(R67*MasterData!$I$4,2)</f>
        <v>3863.81</v>
      </c>
      <c r="T67" s="201">
        <f t="shared" ref="T67:T130" si="12">F67+H67+K67+M67+O67+Q67+S67</f>
        <v>553306.32000000007</v>
      </c>
      <c r="U67" s="200">
        <f>ROUND(T67*MasterData!$C$29,2)</f>
        <v>123442.64</v>
      </c>
      <c r="V67" s="200">
        <f>ROUND(T67*MasterData!$J$29,2)</f>
        <v>2047.23</v>
      </c>
      <c r="W67" s="201">
        <f t="shared" ref="W67:W130" si="13">T67+U67</f>
        <v>676748.96000000008</v>
      </c>
      <c r="X67" s="212">
        <f>VLOOKUP($A67,MasterData!$B$62:$L$111,10,FALSE)*52</f>
        <v>104</v>
      </c>
      <c r="Y67" s="200">
        <f>ROUND(X67*MasterData!$C$7,2)</f>
        <v>6277.44</v>
      </c>
      <c r="Z67" s="199">
        <f>VLOOKUP($A67,MasterData!$B$62:$L$111,11,FALSE)*52</f>
        <v>156</v>
      </c>
      <c r="AA67" s="200">
        <f>ROUND(Z67*MasterData!$D$7,2)</f>
        <v>6605.04</v>
      </c>
      <c r="AB67" s="201">
        <f t="shared" ref="AB67:AB130" si="14">AA67+Y67</f>
        <v>12882.48</v>
      </c>
      <c r="AC67" s="202">
        <f>MasterData!$M$29</f>
        <v>17820.45943877551</v>
      </c>
      <c r="AD67" s="200">
        <f>MasterData!$D$29</f>
        <v>2233.8000000000002</v>
      </c>
      <c r="AE67" s="200">
        <f>MasterData!$E$29</f>
        <v>6471.45</v>
      </c>
      <c r="AF67" s="200">
        <f>MasterData!$F$29</f>
        <v>0</v>
      </c>
      <c r="AG67" s="201">
        <f t="shared" si="9"/>
        <v>716157.14943877561</v>
      </c>
      <c r="AH67" s="200">
        <f>ROUND(AG67*MasterData!$G$29,2)</f>
        <v>85938.86</v>
      </c>
      <c r="AI67" s="200">
        <f>((AG67+AH67)*MasterData!$I$29)-'Model Calculator'!W67*MasterData!$I$29</f>
        <v>2231.1774800102048</v>
      </c>
      <c r="AJ67" s="201">
        <f t="shared" si="10"/>
        <v>806374.41691878578</v>
      </c>
      <c r="AK67" s="201">
        <f t="shared" ref="AK67:AK130" si="15">ROUND(AJ67/347,2)</f>
        <v>2323.85</v>
      </c>
    </row>
    <row r="68" spans="1:37">
      <c r="A68" s="197" t="s">
        <v>104</v>
      </c>
      <c r="B68" s="197" t="str">
        <f t="shared" si="8"/>
        <v>M411.51</v>
      </c>
      <c r="C68" s="197" t="s">
        <v>128</v>
      </c>
      <c r="D68" s="197" t="s">
        <v>282</v>
      </c>
      <c r="E68" s="197">
        <f>VLOOKUP($C43,MasterData!$B$62:$L$111,2,FALSE)</f>
        <v>0.41</v>
      </c>
      <c r="F68" s="198">
        <f>ROUND(E68*MasterData!$C$4,2)</f>
        <v>21177.18</v>
      </c>
      <c r="G68" s="199">
        <f>VLOOKUP($C43,MasterData!$B$62:$L$111,3,FALSE)</f>
        <v>1</v>
      </c>
      <c r="H68" s="198">
        <f>ROUND(G68*MasterData!$D$4,2)</f>
        <v>41516.800000000003</v>
      </c>
      <c r="I68" s="199">
        <f t="shared" si="11"/>
        <v>11.5</v>
      </c>
      <c r="J68" s="199">
        <f>VLOOKUP($C43,MasterData!$B$62:$L$111,4,FALSE)</f>
        <v>10.1</v>
      </c>
      <c r="K68" s="198">
        <f>ROUND(J68*MasterData!$B$26,2)</f>
        <v>400094.13</v>
      </c>
      <c r="L68" s="199">
        <f>VLOOKUP($C43,MasterData!$B$62:$L$111,5,FALSE)</f>
        <v>1.4</v>
      </c>
      <c r="M68" s="200">
        <f>ROUND(L68*MasterData!$F$4,2)</f>
        <v>41496</v>
      </c>
      <c r="N68" s="199">
        <f>VLOOKUP($A68,MasterData!$B$62:$L$111,6,FALSE)</f>
        <v>1.77</v>
      </c>
      <c r="O68" s="211">
        <f>ROUND(N68*MasterData!$C$26,2)</f>
        <v>61210.84</v>
      </c>
      <c r="P68" s="199">
        <f>VLOOKUP($A68,MasterData!$B$62:$L$111,7,FALSE)</f>
        <v>0.22</v>
      </c>
      <c r="Q68" s="198">
        <f>ROUND(P68*MasterData!$H$4,2)</f>
        <v>6520.8</v>
      </c>
      <c r="R68" s="199">
        <f>VLOOKUP($A68,MasterData!$B$62:$L$111,8,FALSE)</f>
        <v>0.12</v>
      </c>
      <c r="S68" s="200">
        <f>ROUND(R68*MasterData!$I$4,2)</f>
        <v>3863.81</v>
      </c>
      <c r="T68" s="201">
        <f t="shared" si="12"/>
        <v>575879.56000000006</v>
      </c>
      <c r="U68" s="200">
        <f>ROUND(T68*MasterData!$C$29,2)</f>
        <v>128478.73</v>
      </c>
      <c r="V68" s="200">
        <f>ROUND(T68*MasterData!$J$29,2)</f>
        <v>2130.75</v>
      </c>
      <c r="W68" s="201">
        <f t="shared" si="13"/>
        <v>704358.29</v>
      </c>
      <c r="X68" s="212">
        <f>VLOOKUP($A68,MasterData!$B$62:$L$111,10,FALSE)*52</f>
        <v>104</v>
      </c>
      <c r="Y68" s="200">
        <f>ROUND(X68*MasterData!$C$7,2)</f>
        <v>6277.44</v>
      </c>
      <c r="Z68" s="199">
        <f>VLOOKUP($A68,MasterData!$B$62:$L$111,11,FALSE)*52</f>
        <v>156</v>
      </c>
      <c r="AA68" s="200">
        <f>ROUND(Z68*MasterData!$D$7,2)</f>
        <v>6605.04</v>
      </c>
      <c r="AB68" s="201">
        <f t="shared" si="14"/>
        <v>12882.48</v>
      </c>
      <c r="AC68" s="202">
        <f>MasterData!$M$29</f>
        <v>17820.45943877551</v>
      </c>
      <c r="AD68" s="200">
        <f>MasterData!$D$29</f>
        <v>2233.8000000000002</v>
      </c>
      <c r="AE68" s="200">
        <f>MasterData!$E$29</f>
        <v>6471.45</v>
      </c>
      <c r="AF68" s="200">
        <f>MasterData!$F$29</f>
        <v>0</v>
      </c>
      <c r="AG68" s="201">
        <f t="shared" si="9"/>
        <v>743766.47943877557</v>
      </c>
      <c r="AH68" s="200">
        <f>ROUND(AG68*MasterData!$G$29,2)</f>
        <v>89251.98</v>
      </c>
      <c r="AI68" s="200">
        <f>((AG68+AH68)*MasterData!$I$29)-'Model Calculator'!W68*MasterData!$I$29</f>
        <v>2290.1510160102043</v>
      </c>
      <c r="AJ68" s="201">
        <f t="shared" si="10"/>
        <v>837439.36045478575</v>
      </c>
      <c r="AK68" s="201">
        <f t="shared" si="15"/>
        <v>2413.37</v>
      </c>
    </row>
    <row r="69" spans="1:37">
      <c r="A69" s="197" t="s">
        <v>105</v>
      </c>
      <c r="B69" s="197" t="str">
        <f t="shared" si="8"/>
        <v>M412.01</v>
      </c>
      <c r="C69" s="197" t="s">
        <v>129</v>
      </c>
      <c r="D69" s="197" t="s">
        <v>282</v>
      </c>
      <c r="E69" s="197">
        <f>VLOOKUP($C44,MasterData!$B$62:$L$111,2,FALSE)</f>
        <v>0.41</v>
      </c>
      <c r="F69" s="198">
        <f>ROUND(E69*MasterData!$C$4,2)</f>
        <v>21177.18</v>
      </c>
      <c r="G69" s="199">
        <f>VLOOKUP($C44,MasterData!$B$62:$L$111,3,FALSE)</f>
        <v>1</v>
      </c>
      <c r="H69" s="198">
        <f>ROUND(G69*MasterData!$D$4,2)</f>
        <v>41516.800000000003</v>
      </c>
      <c r="I69" s="199">
        <f t="shared" si="11"/>
        <v>12</v>
      </c>
      <c r="J69" s="199">
        <f>VLOOKUP($C44,MasterData!$B$62:$L$111,4,FALSE)</f>
        <v>10.6</v>
      </c>
      <c r="K69" s="198">
        <f>ROUND(J69*MasterData!$B$26,2)</f>
        <v>419900.77</v>
      </c>
      <c r="L69" s="199">
        <f>VLOOKUP($C44,MasterData!$B$62:$L$111,5,FALSE)</f>
        <v>1.4</v>
      </c>
      <c r="M69" s="200">
        <f>ROUND(L69*MasterData!$F$4,2)</f>
        <v>41496</v>
      </c>
      <c r="N69" s="199">
        <f>VLOOKUP($A69,MasterData!$B$62:$L$111,6,FALSE)</f>
        <v>1.85</v>
      </c>
      <c r="O69" s="211">
        <f>ROUND(N69*MasterData!$C$26,2)</f>
        <v>63977.43</v>
      </c>
      <c r="P69" s="199">
        <f>VLOOKUP($A69,MasterData!$B$62:$L$111,7,FALSE)</f>
        <v>0.22</v>
      </c>
      <c r="Q69" s="198">
        <f>ROUND(P69*MasterData!$H$4,2)</f>
        <v>6520.8</v>
      </c>
      <c r="R69" s="199">
        <f>VLOOKUP($A69,MasterData!$B$62:$L$111,8,FALSE)</f>
        <v>0.12</v>
      </c>
      <c r="S69" s="200">
        <f>ROUND(R69*MasterData!$I$4,2)</f>
        <v>3863.81</v>
      </c>
      <c r="T69" s="201">
        <f t="shared" si="12"/>
        <v>598452.79000000015</v>
      </c>
      <c r="U69" s="200">
        <f>ROUND(T69*MasterData!$C$29,2)</f>
        <v>133514.82</v>
      </c>
      <c r="V69" s="200">
        <f>ROUND(T69*MasterData!$J$29,2)</f>
        <v>2214.2800000000002</v>
      </c>
      <c r="W69" s="201">
        <f t="shared" si="13"/>
        <v>731967.6100000001</v>
      </c>
      <c r="X69" s="212">
        <f>VLOOKUP($A69,MasterData!$B$62:$L$111,10,FALSE)*52</f>
        <v>104</v>
      </c>
      <c r="Y69" s="200">
        <f>ROUND(X69*MasterData!$C$7,2)</f>
        <v>6277.44</v>
      </c>
      <c r="Z69" s="199">
        <f>VLOOKUP($A69,MasterData!$B$62:$L$111,11,FALSE)*52</f>
        <v>156</v>
      </c>
      <c r="AA69" s="200">
        <f>ROUND(Z69*MasterData!$D$7,2)</f>
        <v>6605.04</v>
      </c>
      <c r="AB69" s="201">
        <f t="shared" si="14"/>
        <v>12882.48</v>
      </c>
      <c r="AC69" s="202">
        <f>MasterData!$M$29</f>
        <v>17820.45943877551</v>
      </c>
      <c r="AD69" s="200">
        <f>MasterData!$D$29</f>
        <v>2233.8000000000002</v>
      </c>
      <c r="AE69" s="200">
        <f>MasterData!$E$29</f>
        <v>6471.45</v>
      </c>
      <c r="AF69" s="200">
        <f>MasterData!$F$29</f>
        <v>0</v>
      </c>
      <c r="AG69" s="201">
        <f t="shared" si="9"/>
        <v>771375.79943877563</v>
      </c>
      <c r="AH69" s="200">
        <f>ROUND(AG69*MasterData!$G$29,2)</f>
        <v>92565.1</v>
      </c>
      <c r="AI69" s="200">
        <f>((AG69+AH69)*MasterData!$I$29)-'Model Calculator'!W69*MasterData!$I$29</f>
        <v>2349.1245520102038</v>
      </c>
      <c r="AJ69" s="201">
        <f t="shared" si="10"/>
        <v>868504.30399078585</v>
      </c>
      <c r="AK69" s="201">
        <f t="shared" si="15"/>
        <v>2502.89</v>
      </c>
    </row>
    <row r="70" spans="1:37">
      <c r="A70" s="197" t="s">
        <v>106</v>
      </c>
      <c r="B70" s="197" t="str">
        <f t="shared" si="8"/>
        <v>M412.51</v>
      </c>
      <c r="C70" s="197" t="s">
        <v>130</v>
      </c>
      <c r="D70" s="197" t="s">
        <v>282</v>
      </c>
      <c r="E70" s="197">
        <f>VLOOKUP($C45,MasterData!$B$62:$L$111,2,FALSE)</f>
        <v>0.41</v>
      </c>
      <c r="F70" s="198">
        <f>ROUND(E70*MasterData!$C$4,2)</f>
        <v>21177.18</v>
      </c>
      <c r="G70" s="199">
        <f>VLOOKUP($C45,MasterData!$B$62:$L$111,3,FALSE)</f>
        <v>1</v>
      </c>
      <c r="H70" s="198">
        <f>ROUND(G70*MasterData!$D$4,2)</f>
        <v>41516.800000000003</v>
      </c>
      <c r="I70" s="199">
        <f t="shared" si="11"/>
        <v>12.5</v>
      </c>
      <c r="J70" s="199">
        <f>VLOOKUP($C45,MasterData!$B$62:$L$111,4,FALSE)</f>
        <v>11.1</v>
      </c>
      <c r="K70" s="198">
        <f>ROUND(J70*MasterData!$B$26,2)</f>
        <v>439707.41</v>
      </c>
      <c r="L70" s="199">
        <f>VLOOKUP($C45,MasterData!$B$62:$L$111,5,FALSE)</f>
        <v>1.4</v>
      </c>
      <c r="M70" s="200">
        <f>ROUND(L70*MasterData!$F$4,2)</f>
        <v>41496</v>
      </c>
      <c r="N70" s="199">
        <f>VLOOKUP($A70,MasterData!$B$62:$L$111,6,FALSE)</f>
        <v>1.93</v>
      </c>
      <c r="O70" s="211">
        <f>ROUND(N70*MasterData!$C$26,2)</f>
        <v>66744.02</v>
      </c>
      <c r="P70" s="199">
        <f>VLOOKUP($A70,MasterData!$B$62:$L$111,7,FALSE)</f>
        <v>0.22</v>
      </c>
      <c r="Q70" s="198">
        <f>ROUND(P70*MasterData!$H$4,2)</f>
        <v>6520.8</v>
      </c>
      <c r="R70" s="199">
        <f>VLOOKUP($A70,MasterData!$B$62:$L$111,8,FALSE)</f>
        <v>0.12</v>
      </c>
      <c r="S70" s="200">
        <f>ROUND(R70*MasterData!$I$4,2)</f>
        <v>3863.81</v>
      </c>
      <c r="T70" s="201">
        <f t="shared" si="12"/>
        <v>621026.02</v>
      </c>
      <c r="U70" s="200">
        <f>ROUND(T70*MasterData!$C$29,2)</f>
        <v>138550.91</v>
      </c>
      <c r="V70" s="200">
        <f>ROUND(T70*MasterData!$J$29,2)</f>
        <v>2297.8000000000002</v>
      </c>
      <c r="W70" s="201">
        <f t="shared" si="13"/>
        <v>759576.93</v>
      </c>
      <c r="X70" s="212">
        <f>VLOOKUP($A70,MasterData!$B$62:$L$111,10,FALSE)*52</f>
        <v>104</v>
      </c>
      <c r="Y70" s="200">
        <f>ROUND(X70*MasterData!$C$7,2)</f>
        <v>6277.44</v>
      </c>
      <c r="Z70" s="199">
        <f>VLOOKUP($A70,MasterData!$B$62:$L$111,11,FALSE)*52</f>
        <v>156</v>
      </c>
      <c r="AA70" s="200">
        <f>ROUND(Z70*MasterData!$D$7,2)</f>
        <v>6605.04</v>
      </c>
      <c r="AB70" s="201">
        <f t="shared" si="14"/>
        <v>12882.48</v>
      </c>
      <c r="AC70" s="202">
        <f>MasterData!$M$29</f>
        <v>17820.45943877551</v>
      </c>
      <c r="AD70" s="200">
        <f>MasterData!$D$29</f>
        <v>2233.8000000000002</v>
      </c>
      <c r="AE70" s="200">
        <f>MasterData!$E$29</f>
        <v>6471.45</v>
      </c>
      <c r="AF70" s="200">
        <f>MasterData!$F$29</f>
        <v>0</v>
      </c>
      <c r="AG70" s="201">
        <f t="shared" si="9"/>
        <v>798985.11943877558</v>
      </c>
      <c r="AH70" s="200">
        <f>ROUND(AG70*MasterData!$G$29,2)</f>
        <v>95878.21</v>
      </c>
      <c r="AI70" s="200">
        <f>((AG70+AH70)*MasterData!$I$29)-'Model Calculator'!W70*MasterData!$I$29</f>
        <v>2408.0979100102031</v>
      </c>
      <c r="AJ70" s="201">
        <f t="shared" si="10"/>
        <v>899569.22734878585</v>
      </c>
      <c r="AK70" s="201">
        <f t="shared" si="15"/>
        <v>2592.42</v>
      </c>
    </row>
    <row r="71" spans="1:37">
      <c r="A71" s="197" t="s">
        <v>107</v>
      </c>
      <c r="B71" s="197" t="str">
        <f t="shared" si="8"/>
        <v>M413.01</v>
      </c>
      <c r="C71" s="197" t="s">
        <v>131</v>
      </c>
      <c r="D71" s="197" t="s">
        <v>282</v>
      </c>
      <c r="E71" s="197">
        <f>VLOOKUP($C46,MasterData!$B$62:$L$111,2,FALSE)</f>
        <v>0.41</v>
      </c>
      <c r="F71" s="198">
        <f>ROUND(E71*MasterData!$C$4,2)</f>
        <v>21177.18</v>
      </c>
      <c r="G71" s="199">
        <f>VLOOKUP($C46,MasterData!$B$62:$L$111,3,FALSE)</f>
        <v>1</v>
      </c>
      <c r="H71" s="198">
        <f>ROUND(G71*MasterData!$D$4,2)</f>
        <v>41516.800000000003</v>
      </c>
      <c r="I71" s="199">
        <f t="shared" si="11"/>
        <v>13</v>
      </c>
      <c r="J71" s="199">
        <f>VLOOKUP($C46,MasterData!$B$62:$L$111,4,FALSE)</f>
        <v>11.6</v>
      </c>
      <c r="K71" s="198">
        <f>ROUND(J71*MasterData!$B$26,2)</f>
        <v>459514.05</v>
      </c>
      <c r="L71" s="199">
        <f>VLOOKUP($C46,MasterData!$B$62:$L$111,5,FALSE)</f>
        <v>1.4</v>
      </c>
      <c r="M71" s="200">
        <f>ROUND(L71*MasterData!$F$4,2)</f>
        <v>41496</v>
      </c>
      <c r="N71" s="199">
        <f>VLOOKUP($A71,MasterData!$B$62:$L$111,6,FALSE)</f>
        <v>2</v>
      </c>
      <c r="O71" s="211">
        <f>ROUND(N71*MasterData!$C$26,2)</f>
        <v>69164.789999999994</v>
      </c>
      <c r="P71" s="199">
        <f>VLOOKUP($A71,MasterData!$B$62:$L$111,7,FALSE)</f>
        <v>0.22</v>
      </c>
      <c r="Q71" s="198">
        <f>ROUND(P71*MasterData!$H$4,2)</f>
        <v>6520.8</v>
      </c>
      <c r="R71" s="199">
        <f>VLOOKUP($A71,MasterData!$B$62:$L$111,8,FALSE)</f>
        <v>0.12</v>
      </c>
      <c r="S71" s="200">
        <f>ROUND(R71*MasterData!$I$4,2)</f>
        <v>3863.81</v>
      </c>
      <c r="T71" s="201">
        <f t="shared" si="12"/>
        <v>643253.43000000017</v>
      </c>
      <c r="U71" s="200">
        <f>ROUND(T71*MasterData!$C$29,2)</f>
        <v>143509.84</v>
      </c>
      <c r="V71" s="200">
        <f>ROUND(T71*MasterData!$J$29,2)</f>
        <v>2380.04</v>
      </c>
      <c r="W71" s="201">
        <f t="shared" si="13"/>
        <v>786763.27000000014</v>
      </c>
      <c r="X71" s="212">
        <f>VLOOKUP($A71,MasterData!$B$62:$L$111,10,FALSE)*52</f>
        <v>104</v>
      </c>
      <c r="Y71" s="200">
        <f>ROUND(X71*MasterData!$C$7,2)</f>
        <v>6277.44</v>
      </c>
      <c r="Z71" s="199">
        <f>VLOOKUP($A71,MasterData!$B$62:$L$111,11,FALSE)*52</f>
        <v>156</v>
      </c>
      <c r="AA71" s="200">
        <f>ROUND(Z71*MasterData!$D$7,2)</f>
        <v>6605.04</v>
      </c>
      <c r="AB71" s="201">
        <f t="shared" si="14"/>
        <v>12882.48</v>
      </c>
      <c r="AC71" s="202">
        <f>MasterData!$M$29</f>
        <v>17820.45943877551</v>
      </c>
      <c r="AD71" s="200">
        <f>MasterData!$D$29</f>
        <v>2233.8000000000002</v>
      </c>
      <c r="AE71" s="200">
        <f>MasterData!$E$29</f>
        <v>6471.45</v>
      </c>
      <c r="AF71" s="200">
        <f>MasterData!$F$29</f>
        <v>0</v>
      </c>
      <c r="AG71" s="201">
        <f t="shared" si="9"/>
        <v>826171.45943877567</v>
      </c>
      <c r="AH71" s="200">
        <f>ROUND(AG71*MasterData!$G$29,2)</f>
        <v>99140.58</v>
      </c>
      <c r="AI71" s="200">
        <f>((AG71+AH71)*MasterData!$I$29)-'Model Calculator'!W71*MasterData!$I$29</f>
        <v>2466.1680960102021</v>
      </c>
      <c r="AJ71" s="201">
        <f t="shared" si="10"/>
        <v>930158.24753478589</v>
      </c>
      <c r="AK71" s="201">
        <f t="shared" si="15"/>
        <v>2680.57</v>
      </c>
    </row>
    <row r="72" spans="1:37">
      <c r="A72" s="197" t="s">
        <v>108</v>
      </c>
      <c r="B72" s="197" t="str">
        <f t="shared" si="8"/>
        <v>M413.51</v>
      </c>
      <c r="C72" s="197" t="s">
        <v>132</v>
      </c>
      <c r="D72" s="197" t="s">
        <v>282</v>
      </c>
      <c r="E72" s="197">
        <f>VLOOKUP($C47,MasterData!$B$62:$L$111,2,FALSE)</f>
        <v>0.41</v>
      </c>
      <c r="F72" s="198">
        <f>ROUND(E72*MasterData!$C$4,2)</f>
        <v>21177.18</v>
      </c>
      <c r="G72" s="199">
        <f>VLOOKUP($C47,MasterData!$B$62:$L$111,3,FALSE)</f>
        <v>1</v>
      </c>
      <c r="H72" s="198">
        <f>ROUND(G72*MasterData!$D$4,2)</f>
        <v>41516.800000000003</v>
      </c>
      <c r="I72" s="199">
        <f t="shared" si="11"/>
        <v>13.5</v>
      </c>
      <c r="J72" s="199">
        <f>VLOOKUP($C47,MasterData!$B$62:$L$111,4,FALSE)</f>
        <v>12.1</v>
      </c>
      <c r="K72" s="198">
        <f>ROUND(J72*MasterData!$B$26,2)</f>
        <v>479320.69</v>
      </c>
      <c r="L72" s="199">
        <f>VLOOKUP($C47,MasterData!$B$62:$L$111,5,FALSE)</f>
        <v>1.4</v>
      </c>
      <c r="M72" s="200">
        <f>ROUND(L72*MasterData!$F$4,2)</f>
        <v>41496</v>
      </c>
      <c r="N72" s="199">
        <f>VLOOKUP($A72,MasterData!$B$62:$L$111,6,FALSE)</f>
        <v>2.08</v>
      </c>
      <c r="O72" s="211">
        <f>ROUND(N72*MasterData!$C$26,2)</f>
        <v>71931.38</v>
      </c>
      <c r="P72" s="199">
        <f>VLOOKUP($A72,MasterData!$B$62:$L$111,7,FALSE)</f>
        <v>0.22</v>
      </c>
      <c r="Q72" s="198">
        <f>ROUND(P72*MasterData!$H$4,2)</f>
        <v>6520.8</v>
      </c>
      <c r="R72" s="199">
        <f>VLOOKUP($A72,MasterData!$B$62:$L$111,8,FALSE)</f>
        <v>0.12</v>
      </c>
      <c r="S72" s="200">
        <f>ROUND(R72*MasterData!$I$4,2)</f>
        <v>3863.81</v>
      </c>
      <c r="T72" s="201">
        <f t="shared" si="12"/>
        <v>665826.66000000015</v>
      </c>
      <c r="U72" s="200">
        <f>ROUND(T72*MasterData!$C$29,2)</f>
        <v>148545.93</v>
      </c>
      <c r="V72" s="200">
        <f>ROUND(T72*MasterData!$J$29,2)</f>
        <v>2463.56</v>
      </c>
      <c r="W72" s="201">
        <f t="shared" si="13"/>
        <v>814372.59000000008</v>
      </c>
      <c r="X72" s="212">
        <f>VLOOKUP($A72,MasterData!$B$62:$L$111,10,FALSE)*52</f>
        <v>104</v>
      </c>
      <c r="Y72" s="200">
        <f>ROUND(X72*MasterData!$C$7,2)</f>
        <v>6277.44</v>
      </c>
      <c r="Z72" s="199">
        <f>VLOOKUP($A72,MasterData!$B$62:$L$111,11,FALSE)*52</f>
        <v>156</v>
      </c>
      <c r="AA72" s="200">
        <f>ROUND(Z72*MasterData!$D$7,2)</f>
        <v>6605.04</v>
      </c>
      <c r="AB72" s="201">
        <f t="shared" si="14"/>
        <v>12882.48</v>
      </c>
      <c r="AC72" s="202">
        <f>MasterData!$M$29</f>
        <v>17820.45943877551</v>
      </c>
      <c r="AD72" s="200">
        <f>MasterData!$D$29</f>
        <v>2233.8000000000002</v>
      </c>
      <c r="AE72" s="200">
        <f>MasterData!$E$29</f>
        <v>6471.45</v>
      </c>
      <c r="AF72" s="200">
        <f>MasterData!$F$29</f>
        <v>0</v>
      </c>
      <c r="AG72" s="201">
        <f t="shared" si="9"/>
        <v>853780.77943877561</v>
      </c>
      <c r="AH72" s="200">
        <f>ROUND(AG72*MasterData!$G$29,2)</f>
        <v>102453.69</v>
      </c>
      <c r="AI72" s="200">
        <f>((AG72+AH72)*MasterData!$I$29)-'Model Calculator'!W72*MasterData!$I$29</f>
        <v>2525.1414540102032</v>
      </c>
      <c r="AJ72" s="201">
        <f t="shared" si="10"/>
        <v>961223.17089278589</v>
      </c>
      <c r="AK72" s="201">
        <f t="shared" si="15"/>
        <v>2770.1</v>
      </c>
    </row>
    <row r="73" spans="1:37">
      <c r="A73" s="197" t="s">
        <v>109</v>
      </c>
      <c r="B73" s="197" t="str">
        <f t="shared" si="8"/>
        <v>M414.01</v>
      </c>
      <c r="C73" s="197" t="s">
        <v>133</v>
      </c>
      <c r="D73" s="197" t="s">
        <v>282</v>
      </c>
      <c r="E73" s="197">
        <f>VLOOKUP($C48,MasterData!$B$62:$L$111,2,FALSE)</f>
        <v>0.41</v>
      </c>
      <c r="F73" s="198">
        <f>ROUND(E73*MasterData!$C$4,2)</f>
        <v>21177.18</v>
      </c>
      <c r="G73" s="199">
        <f>VLOOKUP($C48,MasterData!$B$62:$L$111,3,FALSE)</f>
        <v>1</v>
      </c>
      <c r="H73" s="198">
        <f>ROUND(G73*MasterData!$D$4,2)</f>
        <v>41516.800000000003</v>
      </c>
      <c r="I73" s="199">
        <f t="shared" si="11"/>
        <v>14</v>
      </c>
      <c r="J73" s="199">
        <f>VLOOKUP($C48,MasterData!$B$62:$L$111,4,FALSE)</f>
        <v>12.6</v>
      </c>
      <c r="K73" s="198">
        <f>ROUND(J73*MasterData!$B$26,2)</f>
        <v>499127.33</v>
      </c>
      <c r="L73" s="199">
        <f>VLOOKUP($C48,MasterData!$B$62:$L$111,5,FALSE)</f>
        <v>1.4</v>
      </c>
      <c r="M73" s="200">
        <f>ROUND(L73*MasterData!$F$4,2)</f>
        <v>41496</v>
      </c>
      <c r="N73" s="199">
        <f>VLOOKUP($A73,MasterData!$B$62:$L$111,6,FALSE)</f>
        <v>2.16</v>
      </c>
      <c r="O73" s="211">
        <f>ROUND(N73*MasterData!$C$26,2)</f>
        <v>74697.97</v>
      </c>
      <c r="P73" s="199">
        <f>VLOOKUP($A73,MasterData!$B$62:$L$111,7,FALSE)</f>
        <v>0.22</v>
      </c>
      <c r="Q73" s="198">
        <f>ROUND(P73*MasterData!$H$4,2)</f>
        <v>6520.8</v>
      </c>
      <c r="R73" s="199">
        <f>VLOOKUP($A73,MasterData!$B$62:$L$111,8,FALSE)</f>
        <v>0.12</v>
      </c>
      <c r="S73" s="200">
        <f>ROUND(R73*MasterData!$I$4,2)</f>
        <v>3863.81</v>
      </c>
      <c r="T73" s="201">
        <f t="shared" si="12"/>
        <v>688399.89000000013</v>
      </c>
      <c r="U73" s="200">
        <f>ROUND(T73*MasterData!$C$29,2)</f>
        <v>153582.01999999999</v>
      </c>
      <c r="V73" s="200">
        <f>ROUND(T73*MasterData!$J$29,2)</f>
        <v>2547.08</v>
      </c>
      <c r="W73" s="201">
        <f t="shared" si="13"/>
        <v>841981.91000000015</v>
      </c>
      <c r="X73" s="212">
        <f>VLOOKUP($A73,MasterData!$B$62:$L$111,10,FALSE)*52</f>
        <v>104</v>
      </c>
      <c r="Y73" s="200">
        <f>ROUND(X73*MasterData!$C$7,2)</f>
        <v>6277.44</v>
      </c>
      <c r="Z73" s="199">
        <f>VLOOKUP($A73,MasterData!$B$62:$L$111,11,FALSE)*52</f>
        <v>156</v>
      </c>
      <c r="AA73" s="200">
        <f>ROUND(Z73*MasterData!$D$7,2)</f>
        <v>6605.04</v>
      </c>
      <c r="AB73" s="201">
        <f t="shared" si="14"/>
        <v>12882.48</v>
      </c>
      <c r="AC73" s="202">
        <f>MasterData!$M$29</f>
        <v>17820.45943877551</v>
      </c>
      <c r="AD73" s="200">
        <f>MasterData!$D$29</f>
        <v>2233.8000000000002</v>
      </c>
      <c r="AE73" s="200">
        <f>MasterData!$E$29</f>
        <v>6471.45</v>
      </c>
      <c r="AF73" s="200">
        <f>MasterData!$F$29</f>
        <v>0</v>
      </c>
      <c r="AG73" s="201">
        <f t="shared" si="9"/>
        <v>881390.09943877568</v>
      </c>
      <c r="AH73" s="200">
        <f>ROUND(AG73*MasterData!$G$29,2)</f>
        <v>105766.81</v>
      </c>
      <c r="AI73" s="200">
        <f>((AG73+AH73)*MasterData!$I$29)-'Model Calculator'!W73*MasterData!$I$29</f>
        <v>2584.1149900102009</v>
      </c>
      <c r="AJ73" s="201">
        <f t="shared" si="10"/>
        <v>992288.10442878574</v>
      </c>
      <c r="AK73" s="201">
        <f t="shared" si="15"/>
        <v>2859.62</v>
      </c>
    </row>
    <row r="74" spans="1:37">
      <c r="A74" s="197" t="s">
        <v>110</v>
      </c>
      <c r="B74" s="197" t="str">
        <f t="shared" si="8"/>
        <v>M414.51</v>
      </c>
      <c r="C74" s="197" t="s">
        <v>134</v>
      </c>
      <c r="D74" s="197" t="s">
        <v>282</v>
      </c>
      <c r="E74" s="197">
        <f>VLOOKUP($C49,MasterData!$B$62:$L$111,2,FALSE)</f>
        <v>0.41</v>
      </c>
      <c r="F74" s="198">
        <f>ROUND(E74*MasterData!$C$4,2)</f>
        <v>21177.18</v>
      </c>
      <c r="G74" s="199">
        <f>VLOOKUP($C49,MasterData!$B$62:$L$111,3,FALSE)</f>
        <v>1</v>
      </c>
      <c r="H74" s="198">
        <f>ROUND(G74*MasterData!$D$4,2)</f>
        <v>41516.800000000003</v>
      </c>
      <c r="I74" s="199">
        <f t="shared" si="11"/>
        <v>14.5</v>
      </c>
      <c r="J74" s="199">
        <f>VLOOKUP($C49,MasterData!$B$62:$L$111,4,FALSE)</f>
        <v>13.1</v>
      </c>
      <c r="K74" s="198">
        <f>ROUND(J74*MasterData!$B$26,2)</f>
        <v>518933.97</v>
      </c>
      <c r="L74" s="199">
        <f>VLOOKUP($C49,MasterData!$B$62:$L$111,5,FALSE)</f>
        <v>1.4</v>
      </c>
      <c r="M74" s="200">
        <f>ROUND(L74*MasterData!$F$4,2)</f>
        <v>41496</v>
      </c>
      <c r="N74" s="199">
        <f>VLOOKUP($A74,MasterData!$B$62:$L$111,6,FALSE)</f>
        <v>2.23</v>
      </c>
      <c r="O74" s="211">
        <f>ROUND(N74*MasterData!$C$26,2)</f>
        <v>77118.740000000005</v>
      </c>
      <c r="P74" s="199">
        <f>VLOOKUP($A74,MasterData!$B$62:$L$111,7,FALSE)</f>
        <v>0.22</v>
      </c>
      <c r="Q74" s="198">
        <f>ROUND(P74*MasterData!$H$4,2)</f>
        <v>6520.8</v>
      </c>
      <c r="R74" s="199">
        <f>VLOOKUP($A74,MasterData!$B$62:$L$111,8,FALSE)</f>
        <v>0.12</v>
      </c>
      <c r="S74" s="200">
        <f>ROUND(R74*MasterData!$I$4,2)</f>
        <v>3863.81</v>
      </c>
      <c r="T74" s="201">
        <f t="shared" si="12"/>
        <v>710627.3</v>
      </c>
      <c r="U74" s="200">
        <f>ROUND(T74*MasterData!$C$29,2)</f>
        <v>158540.95000000001</v>
      </c>
      <c r="V74" s="200">
        <f>ROUND(T74*MasterData!$J$29,2)</f>
        <v>2629.32</v>
      </c>
      <c r="W74" s="201">
        <f t="shared" si="13"/>
        <v>869168.25</v>
      </c>
      <c r="X74" s="212">
        <f>VLOOKUP($A74,MasterData!$B$62:$L$111,10,FALSE)*52</f>
        <v>104</v>
      </c>
      <c r="Y74" s="200">
        <f>ROUND(X74*MasterData!$C$7,2)</f>
        <v>6277.44</v>
      </c>
      <c r="Z74" s="199">
        <f>VLOOKUP($A74,MasterData!$B$62:$L$111,11,FALSE)*52</f>
        <v>156</v>
      </c>
      <c r="AA74" s="200">
        <f>ROUND(Z74*MasterData!$D$7,2)</f>
        <v>6605.04</v>
      </c>
      <c r="AB74" s="201">
        <f t="shared" si="14"/>
        <v>12882.48</v>
      </c>
      <c r="AC74" s="202">
        <f>MasterData!$M$29</f>
        <v>17820.45943877551</v>
      </c>
      <c r="AD74" s="200">
        <f>MasterData!$D$29</f>
        <v>2233.8000000000002</v>
      </c>
      <c r="AE74" s="200">
        <f>MasterData!$E$29</f>
        <v>6471.45</v>
      </c>
      <c r="AF74" s="200">
        <f>MasterData!$F$29</f>
        <v>0</v>
      </c>
      <c r="AG74" s="201">
        <f t="shared" si="9"/>
        <v>908576.43943877553</v>
      </c>
      <c r="AH74" s="200">
        <f>ROUND(AG74*MasterData!$G$29,2)</f>
        <v>109029.17</v>
      </c>
      <c r="AI74" s="200">
        <f>((AG74+AH74)*MasterData!$I$29)-'Model Calculator'!W74*MasterData!$I$29</f>
        <v>2642.1849980102052</v>
      </c>
      <c r="AJ74" s="201">
        <f t="shared" si="10"/>
        <v>1022877.1144367857</v>
      </c>
      <c r="AK74" s="201">
        <f t="shared" si="15"/>
        <v>2947.77</v>
      </c>
    </row>
    <row r="75" spans="1:37">
      <c r="A75" s="197" t="s">
        <v>111</v>
      </c>
      <c r="B75" s="197" t="str">
        <f t="shared" si="8"/>
        <v>M415.01</v>
      </c>
      <c r="C75" s="197" t="s">
        <v>135</v>
      </c>
      <c r="D75" s="197" t="s">
        <v>282</v>
      </c>
      <c r="E75" s="197">
        <f>VLOOKUP($C50,MasterData!$B$62:$L$111,2,FALSE)</f>
        <v>0.41</v>
      </c>
      <c r="F75" s="198">
        <f>ROUND(E75*MasterData!$C$4,2)</f>
        <v>21177.18</v>
      </c>
      <c r="G75" s="199">
        <f>VLOOKUP($C50,MasterData!$B$62:$L$111,3,FALSE)</f>
        <v>1</v>
      </c>
      <c r="H75" s="198">
        <f>ROUND(G75*MasterData!$D$4,2)</f>
        <v>41516.800000000003</v>
      </c>
      <c r="I75" s="199">
        <f t="shared" si="11"/>
        <v>15</v>
      </c>
      <c r="J75" s="199">
        <f>VLOOKUP($C50,MasterData!$B$62:$L$111,4,FALSE)</f>
        <v>13.6</v>
      </c>
      <c r="K75" s="198">
        <f>ROUND(J75*MasterData!$B$26,2)</f>
        <v>538740.61</v>
      </c>
      <c r="L75" s="199">
        <f>VLOOKUP($C50,MasterData!$B$62:$L$111,5,FALSE)</f>
        <v>1.4</v>
      </c>
      <c r="M75" s="200">
        <f>ROUND(L75*MasterData!$F$4,2)</f>
        <v>41496</v>
      </c>
      <c r="N75" s="199">
        <f>VLOOKUP($A75,MasterData!$B$62:$L$111,6,FALSE)</f>
        <v>2.31</v>
      </c>
      <c r="O75" s="211">
        <f>ROUND(N75*MasterData!$C$26,2)</f>
        <v>79885.33</v>
      </c>
      <c r="P75" s="199">
        <f>VLOOKUP($A75,MasterData!$B$62:$L$111,7,FALSE)</f>
        <v>0.22</v>
      </c>
      <c r="Q75" s="198">
        <f>ROUND(P75*MasterData!$H$4,2)</f>
        <v>6520.8</v>
      </c>
      <c r="R75" s="199">
        <f>VLOOKUP($A75,MasterData!$B$62:$L$111,8,FALSE)</f>
        <v>0.12</v>
      </c>
      <c r="S75" s="200">
        <f>ROUND(R75*MasterData!$I$4,2)</f>
        <v>3863.81</v>
      </c>
      <c r="T75" s="201">
        <f t="shared" si="12"/>
        <v>733200.53</v>
      </c>
      <c r="U75" s="200">
        <f>ROUND(T75*MasterData!$C$29,2)</f>
        <v>163577.04</v>
      </c>
      <c r="V75" s="200">
        <f>ROUND(T75*MasterData!$J$29,2)</f>
        <v>2712.84</v>
      </c>
      <c r="W75" s="201">
        <f t="shared" si="13"/>
        <v>896777.57000000007</v>
      </c>
      <c r="X75" s="212">
        <f>VLOOKUP($A75,MasterData!$B$62:$L$111,10,FALSE)*52</f>
        <v>104</v>
      </c>
      <c r="Y75" s="200">
        <f>ROUND(X75*MasterData!$C$7,2)</f>
        <v>6277.44</v>
      </c>
      <c r="Z75" s="199">
        <f>VLOOKUP($A75,MasterData!$B$62:$L$111,11,FALSE)*52</f>
        <v>156</v>
      </c>
      <c r="AA75" s="200">
        <f>ROUND(Z75*MasterData!$D$7,2)</f>
        <v>6605.04</v>
      </c>
      <c r="AB75" s="201">
        <f t="shared" si="14"/>
        <v>12882.48</v>
      </c>
      <c r="AC75" s="202">
        <f>MasterData!$M$29</f>
        <v>17820.45943877551</v>
      </c>
      <c r="AD75" s="200">
        <f>MasterData!$D$29</f>
        <v>2233.8000000000002</v>
      </c>
      <c r="AE75" s="200">
        <f>MasterData!$E$29</f>
        <v>6471.45</v>
      </c>
      <c r="AF75" s="200">
        <f>MasterData!$F$29</f>
        <v>0</v>
      </c>
      <c r="AG75" s="201">
        <f t="shared" si="9"/>
        <v>936185.7594387756</v>
      </c>
      <c r="AH75" s="200">
        <f>ROUND(AG75*MasterData!$G$29,2)</f>
        <v>112342.29</v>
      </c>
      <c r="AI75" s="200">
        <f>((AG75+AH75)*MasterData!$I$29)-'Model Calculator'!W75*MasterData!$I$29</f>
        <v>2701.1585340102065</v>
      </c>
      <c r="AJ75" s="201">
        <f t="shared" si="10"/>
        <v>1053942.047972786</v>
      </c>
      <c r="AK75" s="201">
        <f t="shared" si="15"/>
        <v>3037.3</v>
      </c>
    </row>
    <row r="76" spans="1:37">
      <c r="A76" s="197" t="s">
        <v>112</v>
      </c>
      <c r="B76" s="197" t="str">
        <f t="shared" si="8"/>
        <v>M415.51</v>
      </c>
      <c r="C76" s="197" t="s">
        <v>136</v>
      </c>
      <c r="D76" s="197" t="s">
        <v>282</v>
      </c>
      <c r="E76" s="197">
        <f>VLOOKUP($C51,MasterData!$B$62:$L$111,2,FALSE)</f>
        <v>0.41</v>
      </c>
      <c r="F76" s="198">
        <f>ROUND(E76*MasterData!$C$4,2)</f>
        <v>21177.18</v>
      </c>
      <c r="G76" s="199">
        <f>VLOOKUP($C51,MasterData!$B$62:$L$111,3,FALSE)</f>
        <v>1</v>
      </c>
      <c r="H76" s="198">
        <f>ROUND(G76*MasterData!$D$4,2)</f>
        <v>41516.800000000003</v>
      </c>
      <c r="I76" s="199">
        <f t="shared" si="11"/>
        <v>15.5</v>
      </c>
      <c r="J76" s="199">
        <f>VLOOKUP($C51,MasterData!$B$62:$L$111,4,FALSE)</f>
        <v>14.1</v>
      </c>
      <c r="K76" s="198">
        <f>ROUND(J76*MasterData!$B$26,2)</f>
        <v>558547.25</v>
      </c>
      <c r="L76" s="199">
        <f>VLOOKUP($C51,MasterData!$B$62:$L$111,5,FALSE)</f>
        <v>1.4</v>
      </c>
      <c r="M76" s="200">
        <f>ROUND(L76*MasterData!$F$4,2)</f>
        <v>41496</v>
      </c>
      <c r="N76" s="199">
        <f>VLOOKUP($A76,MasterData!$B$62:$L$111,6,FALSE)</f>
        <v>2.39</v>
      </c>
      <c r="O76" s="211">
        <f>ROUND(N76*MasterData!$C$26,2)</f>
        <v>82651.92</v>
      </c>
      <c r="P76" s="199">
        <f>VLOOKUP($A76,MasterData!$B$62:$L$111,7,FALSE)</f>
        <v>0.22</v>
      </c>
      <c r="Q76" s="198">
        <f>ROUND(P76*MasterData!$H$4,2)</f>
        <v>6520.8</v>
      </c>
      <c r="R76" s="199">
        <f>VLOOKUP($A76,MasterData!$B$62:$L$111,8,FALSE)</f>
        <v>0.12</v>
      </c>
      <c r="S76" s="200">
        <f>ROUND(R76*MasterData!$I$4,2)</f>
        <v>3863.81</v>
      </c>
      <c r="T76" s="201">
        <f t="shared" si="12"/>
        <v>755773.76000000013</v>
      </c>
      <c r="U76" s="200">
        <f>ROUND(T76*MasterData!$C$29,2)</f>
        <v>168613.13</v>
      </c>
      <c r="V76" s="200">
        <f>ROUND(T76*MasterData!$J$29,2)</f>
        <v>2796.36</v>
      </c>
      <c r="W76" s="201">
        <f t="shared" si="13"/>
        <v>924386.89000000013</v>
      </c>
      <c r="X76" s="212">
        <f>VLOOKUP($A76,MasterData!$B$62:$L$111,10,FALSE)*52</f>
        <v>104</v>
      </c>
      <c r="Y76" s="200">
        <f>ROUND(X76*MasterData!$C$7,2)</f>
        <v>6277.44</v>
      </c>
      <c r="Z76" s="199">
        <f>VLOOKUP($A76,MasterData!$B$62:$L$111,11,FALSE)*52</f>
        <v>156</v>
      </c>
      <c r="AA76" s="200">
        <f>ROUND(Z76*MasterData!$D$7,2)</f>
        <v>6605.04</v>
      </c>
      <c r="AB76" s="201">
        <f t="shared" si="14"/>
        <v>12882.48</v>
      </c>
      <c r="AC76" s="202">
        <f>MasterData!$M$29</f>
        <v>17820.45943877551</v>
      </c>
      <c r="AD76" s="200">
        <f>MasterData!$D$29</f>
        <v>2233.8000000000002</v>
      </c>
      <c r="AE76" s="200">
        <f>MasterData!$E$29</f>
        <v>6471.45</v>
      </c>
      <c r="AF76" s="200">
        <f>MasterData!$F$29</f>
        <v>0</v>
      </c>
      <c r="AG76" s="201">
        <f t="shared" si="9"/>
        <v>963795.07943877566</v>
      </c>
      <c r="AH76" s="200">
        <f>ROUND(AG76*MasterData!$G$29,2)</f>
        <v>115655.41</v>
      </c>
      <c r="AI76" s="200">
        <f>((AG76+AH76)*MasterData!$I$29)-'Model Calculator'!W76*MasterData!$I$29</f>
        <v>2760.1320700102042</v>
      </c>
      <c r="AJ76" s="201">
        <f t="shared" si="10"/>
        <v>1085006.9815087861</v>
      </c>
      <c r="AK76" s="201">
        <f t="shared" si="15"/>
        <v>3126.82</v>
      </c>
    </row>
    <row r="77" spans="1:37" hidden="1">
      <c r="A77" s="197" t="s">
        <v>89</v>
      </c>
      <c r="B77" s="197" t="str">
        <f t="shared" si="8"/>
        <v>M403.52</v>
      </c>
      <c r="C77" s="197" t="s">
        <v>137</v>
      </c>
      <c r="D77" s="197" t="s">
        <v>282</v>
      </c>
      <c r="E77" s="197">
        <f>VLOOKUP($C27,MasterData!$B$62:$L$111,2,FALSE)</f>
        <v>0.41</v>
      </c>
      <c r="F77" s="198">
        <f>ROUND(E77*MasterData!$C$4,2)</f>
        <v>21177.18</v>
      </c>
      <c r="G77" s="199">
        <f>VLOOKUP($C27,MasterData!$B$62:$L$111,3,FALSE)</f>
        <v>1</v>
      </c>
      <c r="H77" s="198">
        <f>ROUND(G77*MasterData!$D$4,2)</f>
        <v>41516.800000000003</v>
      </c>
      <c r="I77" s="199">
        <f t="shared" si="11"/>
        <v>3.5</v>
      </c>
      <c r="J77" s="199">
        <f>VLOOKUP($C27,MasterData!$B$62:$L$111,4,FALSE)</f>
        <v>2.1</v>
      </c>
      <c r="K77" s="198">
        <f>ROUND(J77*MasterData!$D$26,2)</f>
        <v>89967.02</v>
      </c>
      <c r="L77" s="199">
        <f>VLOOKUP($C27,MasterData!$B$62:$L$111,5,FALSE)</f>
        <v>1.4</v>
      </c>
      <c r="M77" s="200">
        <f>ROUND(L77*MasterData!$F$4,2)</f>
        <v>41496</v>
      </c>
      <c r="N77" s="199">
        <f>VLOOKUP($A77,MasterData!$B$62:$L$111,6,FALSE)</f>
        <v>0.54</v>
      </c>
      <c r="O77" s="211">
        <f>ROUND(N77*MasterData!$E$26,2)</f>
        <v>20196.310000000001</v>
      </c>
      <c r="P77" s="199">
        <f>VLOOKUP($A77,MasterData!$B$62:$L$111,7,FALSE)</f>
        <v>0.22</v>
      </c>
      <c r="Q77" s="198">
        <f>ROUND(P77*MasterData!$H$4,2)</f>
        <v>6520.8</v>
      </c>
      <c r="R77" s="199">
        <f>VLOOKUP($A77,MasterData!$B$62:$L$111,8,FALSE)</f>
        <v>0.12</v>
      </c>
      <c r="S77" s="200">
        <f>ROUND(R77*MasterData!$I$4,2)</f>
        <v>3863.81</v>
      </c>
      <c r="T77" s="201">
        <f t="shared" si="12"/>
        <v>224737.91999999998</v>
      </c>
      <c r="U77" s="200">
        <f>ROUND(T77*MasterData!$C$29,2)</f>
        <v>50139.03</v>
      </c>
      <c r="V77" s="200">
        <f>ROUND(T77*MasterData!$J$29,2)</f>
        <v>831.53</v>
      </c>
      <c r="W77" s="201">
        <f t="shared" si="13"/>
        <v>274876.94999999995</v>
      </c>
      <c r="X77" s="212">
        <f>VLOOKUP($A77,MasterData!$B$62:$L$111,10,FALSE)*52</f>
        <v>104</v>
      </c>
      <c r="Y77" s="200">
        <f>ROUND(X77*MasterData!$C$7,2)</f>
        <v>6277.44</v>
      </c>
      <c r="Z77" s="199">
        <f>VLOOKUP($A77,MasterData!$B$62:$L$111,11,FALSE)*52</f>
        <v>156</v>
      </c>
      <c r="AA77" s="200">
        <f>ROUND(Z77*MasterData!$D$7,2)</f>
        <v>6605.04</v>
      </c>
      <c r="AB77" s="201">
        <f t="shared" si="14"/>
        <v>12882.48</v>
      </c>
      <c r="AC77" s="202">
        <f>MasterData!$M$29</f>
        <v>17820.45943877551</v>
      </c>
      <c r="AD77" s="200">
        <f>MasterData!$D$29</f>
        <v>2233.8000000000002</v>
      </c>
      <c r="AE77" s="200">
        <f>MasterData!$E$29</f>
        <v>6471.45</v>
      </c>
      <c r="AF77" s="200">
        <f>MasterData!$F$29</f>
        <v>0</v>
      </c>
      <c r="AG77" s="201">
        <f t="shared" si="9"/>
        <v>314285.13943877543</v>
      </c>
      <c r="AH77" s="200">
        <f>ROUND(AG77*MasterData!$G$29,2)</f>
        <v>37714.22</v>
      </c>
      <c r="AI77" s="200">
        <f>((AG77+AH77)*MasterData!$I$29)-'Model Calculator'!W77*MasterData!$I$29</f>
        <v>1372.7788880102034</v>
      </c>
      <c r="AJ77" s="201">
        <f t="shared" si="10"/>
        <v>354203.66832678567</v>
      </c>
      <c r="AK77" s="201">
        <f t="shared" si="15"/>
        <v>1020.76</v>
      </c>
    </row>
    <row r="78" spans="1:37" hidden="1">
      <c r="A78" s="197" t="s">
        <v>90</v>
      </c>
      <c r="B78" s="197" t="str">
        <f t="shared" si="8"/>
        <v>M404.02</v>
      </c>
      <c r="C78" s="197" t="s">
        <v>138</v>
      </c>
      <c r="D78" s="197" t="s">
        <v>282</v>
      </c>
      <c r="E78" s="197">
        <f>VLOOKUP($C28,MasterData!$B$62:$L$111,2,FALSE)</f>
        <v>0.41</v>
      </c>
      <c r="F78" s="198">
        <f>ROUND(E78*MasterData!$C$4,2)</f>
        <v>21177.18</v>
      </c>
      <c r="G78" s="199">
        <f>VLOOKUP($C28,MasterData!$B$62:$L$111,3,FALSE)</f>
        <v>1</v>
      </c>
      <c r="H78" s="198">
        <f>ROUND(G78*MasterData!$D$4,2)</f>
        <v>41516.800000000003</v>
      </c>
      <c r="I78" s="199">
        <f t="shared" si="11"/>
        <v>4</v>
      </c>
      <c r="J78" s="199">
        <f>VLOOKUP($C28,MasterData!$B$62:$L$111,4,FALSE)</f>
        <v>2.6</v>
      </c>
      <c r="K78" s="198">
        <f>ROUND(J78*MasterData!$D$26,2)</f>
        <v>111387.74</v>
      </c>
      <c r="L78" s="199">
        <f>VLOOKUP($C28,MasterData!$B$62:$L$111,5,FALSE)</f>
        <v>1.4</v>
      </c>
      <c r="M78" s="200">
        <f>ROUND(L78*MasterData!$F$4,2)</f>
        <v>41496</v>
      </c>
      <c r="N78" s="199">
        <f>VLOOKUP($A78,MasterData!$B$62:$L$111,6,FALSE)</f>
        <v>0.62</v>
      </c>
      <c r="O78" s="211">
        <f>ROUND(N78*MasterData!$E$26,2)</f>
        <v>23188.36</v>
      </c>
      <c r="P78" s="199">
        <f>VLOOKUP($A78,MasterData!$B$62:$L$111,7,FALSE)</f>
        <v>0.22</v>
      </c>
      <c r="Q78" s="198">
        <f>ROUND(P78*MasterData!$H$4,2)</f>
        <v>6520.8</v>
      </c>
      <c r="R78" s="199">
        <f>VLOOKUP($A78,MasterData!$B$62:$L$111,8,FALSE)</f>
        <v>0.12</v>
      </c>
      <c r="S78" s="200">
        <f>ROUND(R78*MasterData!$I$4,2)</f>
        <v>3863.81</v>
      </c>
      <c r="T78" s="201">
        <f t="shared" si="12"/>
        <v>249150.69</v>
      </c>
      <c r="U78" s="200">
        <f>ROUND(T78*MasterData!$C$29,2)</f>
        <v>55585.52</v>
      </c>
      <c r="V78" s="200">
        <f>ROUND(T78*MasterData!$J$29,2)</f>
        <v>921.86</v>
      </c>
      <c r="W78" s="201">
        <f t="shared" si="13"/>
        <v>304736.21000000002</v>
      </c>
      <c r="X78" s="212">
        <f>VLOOKUP($A78,MasterData!$B$62:$L$111,10,FALSE)*52</f>
        <v>104</v>
      </c>
      <c r="Y78" s="200">
        <f>ROUND(X78*MasterData!$C$7,2)</f>
        <v>6277.44</v>
      </c>
      <c r="Z78" s="199">
        <f>VLOOKUP($A78,MasterData!$B$62:$L$111,11,FALSE)*52</f>
        <v>156</v>
      </c>
      <c r="AA78" s="200">
        <f>ROUND(Z78*MasterData!$D$7,2)</f>
        <v>6605.04</v>
      </c>
      <c r="AB78" s="201">
        <f t="shared" si="14"/>
        <v>12882.48</v>
      </c>
      <c r="AC78" s="202">
        <f>MasterData!$M$29</f>
        <v>17820.45943877551</v>
      </c>
      <c r="AD78" s="200">
        <f>MasterData!$D$29</f>
        <v>2233.8000000000002</v>
      </c>
      <c r="AE78" s="200">
        <f>MasterData!$E$29</f>
        <v>6471.45</v>
      </c>
      <c r="AF78" s="200">
        <f>MasterData!$F$29</f>
        <v>0</v>
      </c>
      <c r="AG78" s="201">
        <f t="shared" si="9"/>
        <v>344144.39943877549</v>
      </c>
      <c r="AH78" s="200">
        <f>ROUND(AG78*MasterData!$G$29,2)</f>
        <v>41297.33</v>
      </c>
      <c r="AI78" s="200">
        <f>((AG78+AH78)*MasterData!$I$29)-'Model Calculator'!W78*MasterData!$I$29</f>
        <v>1436.5582460102041</v>
      </c>
      <c r="AJ78" s="201">
        <f t="shared" si="10"/>
        <v>387800.14768478571</v>
      </c>
      <c r="AK78" s="201">
        <f t="shared" si="15"/>
        <v>1117.58</v>
      </c>
    </row>
    <row r="79" spans="1:37" hidden="1">
      <c r="A79" s="197" t="s">
        <v>91</v>
      </c>
      <c r="B79" s="197" t="str">
        <f t="shared" si="8"/>
        <v>M404.52</v>
      </c>
      <c r="C79" s="197" t="s">
        <v>139</v>
      </c>
      <c r="D79" s="197" t="s">
        <v>282</v>
      </c>
      <c r="E79" s="197">
        <f>VLOOKUP($C29,MasterData!$B$62:$L$111,2,FALSE)</f>
        <v>0.41</v>
      </c>
      <c r="F79" s="198">
        <f>ROUND(E79*MasterData!$C$4,2)</f>
        <v>21177.18</v>
      </c>
      <c r="G79" s="199">
        <f>VLOOKUP($C29,MasterData!$B$62:$L$111,3,FALSE)</f>
        <v>1</v>
      </c>
      <c r="H79" s="198">
        <f>ROUND(G79*MasterData!$D$4,2)</f>
        <v>41516.800000000003</v>
      </c>
      <c r="I79" s="199">
        <f t="shared" si="11"/>
        <v>4.5</v>
      </c>
      <c r="J79" s="199">
        <f>VLOOKUP($C29,MasterData!$B$62:$L$111,4,FALSE)</f>
        <v>3.1</v>
      </c>
      <c r="K79" s="198">
        <f>ROUND(J79*MasterData!$D$26,2)</f>
        <v>132808.46</v>
      </c>
      <c r="L79" s="199">
        <f>VLOOKUP($C29,MasterData!$B$62:$L$111,5,FALSE)</f>
        <v>1.4</v>
      </c>
      <c r="M79" s="200">
        <f>ROUND(L79*MasterData!$F$4,2)</f>
        <v>41496</v>
      </c>
      <c r="N79" s="199">
        <f>VLOOKUP($A79,MasterData!$B$62:$L$111,6,FALSE)</f>
        <v>0.69</v>
      </c>
      <c r="O79" s="211">
        <f>ROUND(N79*MasterData!$E$26,2)</f>
        <v>25806.400000000001</v>
      </c>
      <c r="P79" s="199">
        <f>VLOOKUP($A79,MasterData!$B$62:$L$111,7,FALSE)</f>
        <v>0.22</v>
      </c>
      <c r="Q79" s="198">
        <f>ROUND(P79*MasterData!$H$4,2)</f>
        <v>6520.8</v>
      </c>
      <c r="R79" s="199">
        <f>VLOOKUP($A79,MasterData!$B$62:$L$111,8,FALSE)</f>
        <v>0.12</v>
      </c>
      <c r="S79" s="200">
        <f>ROUND(R79*MasterData!$I$4,2)</f>
        <v>3863.81</v>
      </c>
      <c r="T79" s="201">
        <f t="shared" si="12"/>
        <v>273189.45</v>
      </c>
      <c r="U79" s="200">
        <f>ROUND(T79*MasterData!$C$29,2)</f>
        <v>60948.57</v>
      </c>
      <c r="V79" s="200">
        <f>ROUND(T79*MasterData!$J$29,2)</f>
        <v>1010.8</v>
      </c>
      <c r="W79" s="201">
        <f t="shared" si="13"/>
        <v>334138.02</v>
      </c>
      <c r="X79" s="212">
        <f>VLOOKUP($A79,MasterData!$B$62:$L$111,10,FALSE)*52</f>
        <v>104</v>
      </c>
      <c r="Y79" s="200">
        <f>ROUND(X79*MasterData!$C$7,2)</f>
        <v>6277.44</v>
      </c>
      <c r="Z79" s="199">
        <f>VLOOKUP($A79,MasterData!$B$62:$L$111,11,FALSE)*52</f>
        <v>156</v>
      </c>
      <c r="AA79" s="200">
        <f>ROUND(Z79*MasterData!$D$7,2)</f>
        <v>6605.04</v>
      </c>
      <c r="AB79" s="201">
        <f t="shared" si="14"/>
        <v>12882.48</v>
      </c>
      <c r="AC79" s="202">
        <f>MasterData!$M$29</f>
        <v>17820.45943877551</v>
      </c>
      <c r="AD79" s="200">
        <f>MasterData!$D$29</f>
        <v>2233.8000000000002</v>
      </c>
      <c r="AE79" s="200">
        <f>MasterData!$E$29</f>
        <v>6471.45</v>
      </c>
      <c r="AF79" s="200">
        <f>MasterData!$F$29</f>
        <v>0</v>
      </c>
      <c r="AG79" s="201">
        <f t="shared" si="9"/>
        <v>373546.20943877549</v>
      </c>
      <c r="AH79" s="200">
        <f>ROUND(AG79*MasterData!$G$29,2)</f>
        <v>44825.55</v>
      </c>
      <c r="AI79" s="200">
        <f>((AG79+AH79)*MasterData!$I$29)-'Model Calculator'!W79*MasterData!$I$29</f>
        <v>1499.3605620102035</v>
      </c>
      <c r="AJ79" s="201">
        <f t="shared" si="10"/>
        <v>420881.92000078567</v>
      </c>
      <c r="AK79" s="201">
        <f t="shared" si="15"/>
        <v>1212.92</v>
      </c>
    </row>
    <row r="80" spans="1:37" hidden="1">
      <c r="A80" s="197" t="s">
        <v>92</v>
      </c>
      <c r="B80" s="197" t="str">
        <f t="shared" si="8"/>
        <v>M405.02</v>
      </c>
      <c r="C80" s="197" t="s">
        <v>140</v>
      </c>
      <c r="D80" s="197" t="s">
        <v>282</v>
      </c>
      <c r="E80" s="197">
        <f>VLOOKUP($C30,MasterData!$B$62:$L$111,2,FALSE)</f>
        <v>0.41</v>
      </c>
      <c r="F80" s="198">
        <f>ROUND(E80*MasterData!$C$4,2)</f>
        <v>21177.18</v>
      </c>
      <c r="G80" s="199">
        <f>VLOOKUP($C30,MasterData!$B$62:$L$111,3,FALSE)</f>
        <v>1</v>
      </c>
      <c r="H80" s="198">
        <f>ROUND(G80*MasterData!$D$4,2)</f>
        <v>41516.800000000003</v>
      </c>
      <c r="I80" s="199">
        <f t="shared" si="11"/>
        <v>5</v>
      </c>
      <c r="J80" s="199">
        <f>VLOOKUP($C30,MasterData!$B$62:$L$111,4,FALSE)</f>
        <v>3.6</v>
      </c>
      <c r="K80" s="198">
        <f>ROUND(J80*MasterData!$D$26,2)</f>
        <v>154229.18</v>
      </c>
      <c r="L80" s="199">
        <f>VLOOKUP($C30,MasterData!$B$62:$L$111,5,FALSE)</f>
        <v>1.4</v>
      </c>
      <c r="M80" s="200">
        <f>ROUND(L80*MasterData!$F$4,2)</f>
        <v>41496</v>
      </c>
      <c r="N80" s="199">
        <f>VLOOKUP($A80,MasterData!$B$62:$L$111,6,FALSE)</f>
        <v>0.77</v>
      </c>
      <c r="O80" s="211">
        <f>ROUND(N80*MasterData!$E$26,2)</f>
        <v>28798.44</v>
      </c>
      <c r="P80" s="199">
        <f>VLOOKUP($A80,MasterData!$B$62:$L$111,7,FALSE)</f>
        <v>0.22</v>
      </c>
      <c r="Q80" s="198">
        <f>ROUND(P80*MasterData!$H$4,2)</f>
        <v>6520.8</v>
      </c>
      <c r="R80" s="199">
        <f>VLOOKUP($A80,MasterData!$B$62:$L$111,8,FALSE)</f>
        <v>0.12</v>
      </c>
      <c r="S80" s="200">
        <f>ROUND(R80*MasterData!$I$4,2)</f>
        <v>3863.81</v>
      </c>
      <c r="T80" s="201">
        <f t="shared" si="12"/>
        <v>297602.20999999996</v>
      </c>
      <c r="U80" s="200">
        <f>ROUND(T80*MasterData!$C$29,2)</f>
        <v>66395.05</v>
      </c>
      <c r="V80" s="200">
        <f>ROUND(T80*MasterData!$J$29,2)</f>
        <v>1101.1300000000001</v>
      </c>
      <c r="W80" s="201">
        <f t="shared" si="13"/>
        <v>363997.25999999995</v>
      </c>
      <c r="X80" s="212">
        <f>VLOOKUP($A80,MasterData!$B$62:$L$111,10,FALSE)*52</f>
        <v>104</v>
      </c>
      <c r="Y80" s="200">
        <f>ROUND(X80*MasterData!$C$7,2)</f>
        <v>6277.44</v>
      </c>
      <c r="Z80" s="199">
        <f>VLOOKUP($A80,MasterData!$B$62:$L$111,11,FALSE)*52</f>
        <v>156</v>
      </c>
      <c r="AA80" s="200">
        <f>ROUND(Z80*MasterData!$D$7,2)</f>
        <v>6605.04</v>
      </c>
      <c r="AB80" s="201">
        <f t="shared" si="14"/>
        <v>12882.48</v>
      </c>
      <c r="AC80" s="202">
        <f>MasterData!$M$29</f>
        <v>17820.45943877551</v>
      </c>
      <c r="AD80" s="200">
        <f>MasterData!$D$29</f>
        <v>2233.8000000000002</v>
      </c>
      <c r="AE80" s="200">
        <f>MasterData!$E$29</f>
        <v>6471.45</v>
      </c>
      <c r="AF80" s="200">
        <f>MasterData!$F$29</f>
        <v>0</v>
      </c>
      <c r="AG80" s="201">
        <f t="shared" si="9"/>
        <v>403405.44943877542</v>
      </c>
      <c r="AH80" s="200">
        <f>ROUND(AG80*MasterData!$G$29,2)</f>
        <v>48408.65</v>
      </c>
      <c r="AI80" s="200">
        <f>((AG80+AH80)*MasterData!$I$29)-'Model Calculator'!W80*MasterData!$I$29</f>
        <v>1563.1397420102039</v>
      </c>
      <c r="AJ80" s="201">
        <f t="shared" si="10"/>
        <v>454478.36918078567</v>
      </c>
      <c r="AK80" s="201">
        <f t="shared" si="15"/>
        <v>1309.74</v>
      </c>
    </row>
    <row r="81" spans="1:37" hidden="1">
      <c r="A81" s="197" t="s">
        <v>93</v>
      </c>
      <c r="B81" s="197" t="str">
        <f t="shared" si="8"/>
        <v>M405.52</v>
      </c>
      <c r="C81" s="197" t="s">
        <v>141</v>
      </c>
      <c r="D81" s="197" t="s">
        <v>282</v>
      </c>
      <c r="E81" s="197">
        <f>VLOOKUP($C31,MasterData!$B$62:$L$111,2,FALSE)</f>
        <v>0.41</v>
      </c>
      <c r="F81" s="198">
        <f>ROUND(E81*MasterData!$C$4,2)</f>
        <v>21177.18</v>
      </c>
      <c r="G81" s="199">
        <f>VLOOKUP($C31,MasterData!$B$62:$L$111,3,FALSE)</f>
        <v>1</v>
      </c>
      <c r="H81" s="198">
        <f>ROUND(G81*MasterData!$D$4,2)</f>
        <v>41516.800000000003</v>
      </c>
      <c r="I81" s="199">
        <f t="shared" si="11"/>
        <v>5.5</v>
      </c>
      <c r="J81" s="199">
        <f>VLOOKUP($C31,MasterData!$B$62:$L$111,4,FALSE)</f>
        <v>4.0999999999999996</v>
      </c>
      <c r="K81" s="198">
        <f>ROUND(J81*MasterData!$D$26,2)</f>
        <v>175649.9</v>
      </c>
      <c r="L81" s="199">
        <f>VLOOKUP($C31,MasterData!$B$62:$L$111,5,FALSE)</f>
        <v>1.4</v>
      </c>
      <c r="M81" s="200">
        <f>ROUND(L81*MasterData!$F$4,2)</f>
        <v>41496</v>
      </c>
      <c r="N81" s="199">
        <f>VLOOKUP($A81,MasterData!$B$62:$L$111,6,FALSE)</f>
        <v>0.85</v>
      </c>
      <c r="O81" s="211">
        <f>ROUND(N81*MasterData!$E$26,2)</f>
        <v>31790.49</v>
      </c>
      <c r="P81" s="199">
        <f>VLOOKUP($A81,MasterData!$B$62:$L$111,7,FALSE)</f>
        <v>0.22</v>
      </c>
      <c r="Q81" s="198">
        <f>ROUND(P81*MasterData!$H$4,2)</f>
        <v>6520.8</v>
      </c>
      <c r="R81" s="199">
        <f>VLOOKUP($A81,MasterData!$B$62:$L$111,8,FALSE)</f>
        <v>0.12</v>
      </c>
      <c r="S81" s="200">
        <f>ROUND(R81*MasterData!$I$4,2)</f>
        <v>3863.81</v>
      </c>
      <c r="T81" s="201">
        <f t="shared" si="12"/>
        <v>322014.98</v>
      </c>
      <c r="U81" s="200">
        <f>ROUND(T81*MasterData!$C$29,2)</f>
        <v>71841.539999999994</v>
      </c>
      <c r="V81" s="200">
        <f>ROUND(T81*MasterData!$J$29,2)</f>
        <v>1191.46</v>
      </c>
      <c r="W81" s="201">
        <f t="shared" si="13"/>
        <v>393856.51999999996</v>
      </c>
      <c r="X81" s="212">
        <f>VLOOKUP($A81,MasterData!$B$62:$L$111,10,FALSE)*52</f>
        <v>104</v>
      </c>
      <c r="Y81" s="200">
        <f>ROUND(X81*MasterData!$C$7,2)</f>
        <v>6277.44</v>
      </c>
      <c r="Z81" s="199">
        <f>VLOOKUP($A81,MasterData!$B$62:$L$111,11,FALSE)*52</f>
        <v>156</v>
      </c>
      <c r="AA81" s="200">
        <f>ROUND(Z81*MasterData!$D$7,2)</f>
        <v>6605.04</v>
      </c>
      <c r="AB81" s="201">
        <f t="shared" si="14"/>
        <v>12882.48</v>
      </c>
      <c r="AC81" s="202">
        <f>MasterData!$M$29</f>
        <v>17820.45943877551</v>
      </c>
      <c r="AD81" s="200">
        <f>MasterData!$D$29</f>
        <v>2233.8000000000002</v>
      </c>
      <c r="AE81" s="200">
        <f>MasterData!$E$29</f>
        <v>6471.45</v>
      </c>
      <c r="AF81" s="200">
        <f>MasterData!$F$29</f>
        <v>0</v>
      </c>
      <c r="AG81" s="201">
        <f t="shared" si="9"/>
        <v>433264.70943877543</v>
      </c>
      <c r="AH81" s="200">
        <f>ROUND(AG81*MasterData!$G$29,2)</f>
        <v>51991.77</v>
      </c>
      <c r="AI81" s="200">
        <f>((AG81+AH81)*MasterData!$I$29)-'Model Calculator'!W81*MasterData!$I$29</f>
        <v>1626.9192780102039</v>
      </c>
      <c r="AJ81" s="201">
        <f t="shared" si="10"/>
        <v>488074.85871678567</v>
      </c>
      <c r="AK81" s="201">
        <f t="shared" si="15"/>
        <v>1406.56</v>
      </c>
    </row>
    <row r="82" spans="1:37">
      <c r="A82" s="197" t="s">
        <v>213</v>
      </c>
      <c r="B82" s="197" t="str">
        <f t="shared" si="8"/>
        <v>M406.02</v>
      </c>
      <c r="C82" s="197" t="s">
        <v>215</v>
      </c>
      <c r="D82" s="197" t="s">
        <v>282</v>
      </c>
      <c r="E82" s="197">
        <f>VLOOKUP($C32,MasterData!$B$62:$L$111,2,FALSE)</f>
        <v>0.41</v>
      </c>
      <c r="F82" s="198">
        <f>ROUND(E82*MasterData!$C$4,2)</f>
        <v>21177.18</v>
      </c>
      <c r="G82" s="199">
        <f>VLOOKUP($C32,MasterData!$B$62:$L$111,3,FALSE)</f>
        <v>1</v>
      </c>
      <c r="H82" s="198">
        <f>ROUND(G82*MasterData!$D$4,2)</f>
        <v>41516.800000000003</v>
      </c>
      <c r="I82" s="199">
        <f t="shared" si="11"/>
        <v>6</v>
      </c>
      <c r="J82" s="199">
        <f>VLOOKUP($C32,MasterData!$B$62:$L$111,4,FALSE)</f>
        <v>4.5999999999999996</v>
      </c>
      <c r="K82" s="198">
        <f>ROUND(J82*MasterData!$D$26,2)</f>
        <v>197070.62</v>
      </c>
      <c r="L82" s="199">
        <f>VLOOKUP($C32,MasterData!$B$62:$L$111,5,FALSE)</f>
        <v>1.4</v>
      </c>
      <c r="M82" s="200">
        <f>ROUND(L82*MasterData!$F$4,2)</f>
        <v>41496</v>
      </c>
      <c r="N82" s="199">
        <f>VLOOKUP($A82,MasterData!$B$62:$L$111,6,FALSE)</f>
        <v>0.92</v>
      </c>
      <c r="O82" s="211">
        <f>ROUND(N82*MasterData!$E$26,2)</f>
        <v>34408.53</v>
      </c>
      <c r="P82" s="199">
        <f>VLOOKUP($A82,MasterData!$B$62:$L$111,7,FALSE)</f>
        <v>0.22</v>
      </c>
      <c r="Q82" s="198">
        <f>ROUND(P82*MasterData!$H$4,2)</f>
        <v>6520.8</v>
      </c>
      <c r="R82" s="199">
        <f>VLOOKUP($A82,MasterData!$B$62:$L$111,8,FALSE)</f>
        <v>0.12</v>
      </c>
      <c r="S82" s="200">
        <f>ROUND(R82*MasterData!$I$4,2)</f>
        <v>3863.81</v>
      </c>
      <c r="T82" s="201">
        <f t="shared" si="12"/>
        <v>346053.74</v>
      </c>
      <c r="U82" s="200">
        <f>ROUND(T82*MasterData!$C$29,2)</f>
        <v>77204.59</v>
      </c>
      <c r="V82" s="200">
        <f>ROUND(T82*MasterData!$J$29,2)</f>
        <v>1280.4000000000001</v>
      </c>
      <c r="W82" s="201">
        <f t="shared" si="13"/>
        <v>423258.32999999996</v>
      </c>
      <c r="X82" s="212">
        <f>VLOOKUP($A82,MasterData!$B$62:$L$111,10,FALSE)*52</f>
        <v>104</v>
      </c>
      <c r="Y82" s="200">
        <f>ROUND(X82*MasterData!$C$7,2)</f>
        <v>6277.44</v>
      </c>
      <c r="Z82" s="199">
        <f>VLOOKUP($A82,MasterData!$B$62:$L$111,11,FALSE)*52</f>
        <v>156</v>
      </c>
      <c r="AA82" s="200">
        <f>ROUND(Z82*MasterData!$D$7,2)</f>
        <v>6605.04</v>
      </c>
      <c r="AB82" s="201">
        <f t="shared" si="14"/>
        <v>12882.48</v>
      </c>
      <c r="AC82" s="202">
        <f>MasterData!$M$29</f>
        <v>17820.45943877551</v>
      </c>
      <c r="AD82" s="200">
        <f>MasterData!$D$29</f>
        <v>2233.8000000000002</v>
      </c>
      <c r="AE82" s="200">
        <f>MasterData!$E$29</f>
        <v>6471.45</v>
      </c>
      <c r="AF82" s="200">
        <f>MasterData!$F$29</f>
        <v>0</v>
      </c>
      <c r="AG82" s="201">
        <f t="shared" si="9"/>
        <v>462666.51943877543</v>
      </c>
      <c r="AH82" s="200">
        <f>ROUND(AG82*MasterData!$G$29,2)</f>
        <v>55519.98</v>
      </c>
      <c r="AI82" s="200">
        <f>((AG82+AH82)*MasterData!$I$29)-'Model Calculator'!W82*MasterData!$I$29</f>
        <v>1689.721416010203</v>
      </c>
      <c r="AJ82" s="201">
        <f t="shared" si="10"/>
        <v>521156.62085478567</v>
      </c>
      <c r="AK82" s="201">
        <f t="shared" si="15"/>
        <v>1501.89</v>
      </c>
    </row>
    <row r="83" spans="1:37">
      <c r="A83" s="197" t="s">
        <v>94</v>
      </c>
      <c r="B83" s="197" t="str">
        <f t="shared" si="8"/>
        <v>M406.52</v>
      </c>
      <c r="C83" s="197" t="s">
        <v>142</v>
      </c>
      <c r="D83" s="197" t="s">
        <v>282</v>
      </c>
      <c r="E83" s="197">
        <f>VLOOKUP($C33,MasterData!$B$62:$L$111,2,FALSE)</f>
        <v>0.41</v>
      </c>
      <c r="F83" s="198">
        <f>ROUND(E83*MasterData!$C$4,2)</f>
        <v>21177.18</v>
      </c>
      <c r="G83" s="199">
        <f>VLOOKUP($C33,MasterData!$B$62:$L$111,3,FALSE)</f>
        <v>1</v>
      </c>
      <c r="H83" s="198">
        <f>ROUND(G83*MasterData!$D$4,2)</f>
        <v>41516.800000000003</v>
      </c>
      <c r="I83" s="199">
        <f t="shared" si="11"/>
        <v>6.5</v>
      </c>
      <c r="J83" s="199">
        <f>VLOOKUP($C33,MasterData!$B$62:$L$111,4,FALSE)</f>
        <v>5.0999999999999996</v>
      </c>
      <c r="K83" s="198">
        <f>ROUND(J83*MasterData!$D$26,2)</f>
        <v>218491.34</v>
      </c>
      <c r="L83" s="199">
        <f>VLOOKUP($C33,MasterData!$B$62:$L$111,5,FALSE)</f>
        <v>1.4</v>
      </c>
      <c r="M83" s="200">
        <f>ROUND(L83*MasterData!$F$4,2)</f>
        <v>41496</v>
      </c>
      <c r="N83" s="199">
        <f>VLOOKUP($A83,MasterData!$B$62:$L$111,6,FALSE)</f>
        <v>1</v>
      </c>
      <c r="O83" s="211">
        <f>ROUND(N83*MasterData!$E$26,2)</f>
        <v>37400.58</v>
      </c>
      <c r="P83" s="199">
        <f>VLOOKUP($A83,MasterData!$B$62:$L$111,7,FALSE)</f>
        <v>0.22</v>
      </c>
      <c r="Q83" s="198">
        <f>ROUND(P83*MasterData!$H$4,2)</f>
        <v>6520.8</v>
      </c>
      <c r="R83" s="199">
        <f>VLOOKUP($A83,MasterData!$B$62:$L$111,8,FALSE)</f>
        <v>0.12</v>
      </c>
      <c r="S83" s="200">
        <f>ROUND(R83*MasterData!$I$4,2)</f>
        <v>3863.81</v>
      </c>
      <c r="T83" s="201">
        <f t="shared" si="12"/>
        <v>370466.51</v>
      </c>
      <c r="U83" s="200">
        <f>ROUND(T83*MasterData!$C$29,2)</f>
        <v>82651.08</v>
      </c>
      <c r="V83" s="200">
        <f>ROUND(T83*MasterData!$J$29,2)</f>
        <v>1370.73</v>
      </c>
      <c r="W83" s="201">
        <f t="shared" si="13"/>
        <v>453117.59</v>
      </c>
      <c r="X83" s="212">
        <f>VLOOKUP($A83,MasterData!$B$62:$L$111,10,FALSE)*52</f>
        <v>104</v>
      </c>
      <c r="Y83" s="200">
        <f>ROUND(X83*MasterData!$C$7,2)</f>
        <v>6277.44</v>
      </c>
      <c r="Z83" s="199">
        <f>VLOOKUP($A83,MasterData!$B$62:$L$111,11,FALSE)*52</f>
        <v>156</v>
      </c>
      <c r="AA83" s="200">
        <f>ROUND(Z83*MasterData!$D$7,2)</f>
        <v>6605.04</v>
      </c>
      <c r="AB83" s="201">
        <f t="shared" si="14"/>
        <v>12882.48</v>
      </c>
      <c r="AC83" s="202">
        <f>MasterData!$M$29</f>
        <v>17820.45943877551</v>
      </c>
      <c r="AD83" s="200">
        <f>MasterData!$D$29</f>
        <v>2233.8000000000002</v>
      </c>
      <c r="AE83" s="200">
        <f>MasterData!$E$29</f>
        <v>6471.45</v>
      </c>
      <c r="AF83" s="200">
        <f>MasterData!$F$29</f>
        <v>0</v>
      </c>
      <c r="AG83" s="201">
        <f t="shared" si="9"/>
        <v>492525.7794387755</v>
      </c>
      <c r="AH83" s="200">
        <f>ROUND(AG83*MasterData!$G$29,2)</f>
        <v>59103.09</v>
      </c>
      <c r="AI83" s="200">
        <f>((AG83+AH83)*MasterData!$I$29)-'Model Calculator'!W83*MasterData!$I$29</f>
        <v>1753.5007740102028</v>
      </c>
      <c r="AJ83" s="201">
        <f t="shared" si="10"/>
        <v>554753.10021278565</v>
      </c>
      <c r="AK83" s="201">
        <f t="shared" si="15"/>
        <v>1598.71</v>
      </c>
    </row>
    <row r="84" spans="1:37">
      <c r="A84" s="197" t="s">
        <v>95</v>
      </c>
      <c r="B84" s="197" t="str">
        <f t="shared" si="8"/>
        <v>M407.02</v>
      </c>
      <c r="C84" s="197" t="s">
        <v>143</v>
      </c>
      <c r="D84" s="197" t="s">
        <v>282</v>
      </c>
      <c r="E84" s="197">
        <f>VLOOKUP($C34,MasterData!$B$62:$L$111,2,FALSE)</f>
        <v>0.41</v>
      </c>
      <c r="F84" s="198">
        <f>ROUND(E84*MasterData!$C$4,2)</f>
        <v>21177.18</v>
      </c>
      <c r="G84" s="199">
        <f>VLOOKUP($C34,MasterData!$B$62:$L$111,3,FALSE)</f>
        <v>1</v>
      </c>
      <c r="H84" s="198">
        <f>ROUND(G84*MasterData!$D$4,2)</f>
        <v>41516.800000000003</v>
      </c>
      <c r="I84" s="199">
        <f t="shared" si="11"/>
        <v>7</v>
      </c>
      <c r="J84" s="199">
        <f>VLOOKUP($C34,MasterData!$B$62:$L$111,4,FALSE)</f>
        <v>5.6</v>
      </c>
      <c r="K84" s="198">
        <f>ROUND(J84*MasterData!$D$26,2)</f>
        <v>239912.06</v>
      </c>
      <c r="L84" s="199">
        <f>VLOOKUP($C34,MasterData!$B$62:$L$111,5,FALSE)</f>
        <v>1.4</v>
      </c>
      <c r="M84" s="200">
        <f>ROUND(L84*MasterData!$F$4,2)</f>
        <v>41496</v>
      </c>
      <c r="N84" s="199">
        <f>VLOOKUP($A84,MasterData!$B$62:$L$111,6,FALSE)</f>
        <v>1.08</v>
      </c>
      <c r="O84" s="211">
        <f>ROUND(N84*MasterData!$E$26,2)</f>
        <v>40392.620000000003</v>
      </c>
      <c r="P84" s="199">
        <f>VLOOKUP($A84,MasterData!$B$62:$L$111,7,FALSE)</f>
        <v>0.22</v>
      </c>
      <c r="Q84" s="198">
        <f>ROUND(P84*MasterData!$H$4,2)</f>
        <v>6520.8</v>
      </c>
      <c r="R84" s="199">
        <f>VLOOKUP($A84,MasterData!$B$62:$L$111,8,FALSE)</f>
        <v>0.12</v>
      </c>
      <c r="S84" s="200">
        <f>ROUND(R84*MasterData!$I$4,2)</f>
        <v>3863.81</v>
      </c>
      <c r="T84" s="201">
        <f t="shared" si="12"/>
        <v>394879.26999999996</v>
      </c>
      <c r="U84" s="200">
        <f>ROUND(T84*MasterData!$C$29,2)</f>
        <v>88097.57</v>
      </c>
      <c r="V84" s="200">
        <f>ROUND(T84*MasterData!$J$29,2)</f>
        <v>1461.05</v>
      </c>
      <c r="W84" s="201">
        <f t="shared" si="13"/>
        <v>482976.83999999997</v>
      </c>
      <c r="X84" s="212">
        <f>VLOOKUP($A84,MasterData!$B$62:$L$111,10,FALSE)*52</f>
        <v>104</v>
      </c>
      <c r="Y84" s="200">
        <f>ROUND(X84*MasterData!$C$7,2)</f>
        <v>6277.44</v>
      </c>
      <c r="Z84" s="199">
        <f>VLOOKUP($A84,MasterData!$B$62:$L$111,11,FALSE)*52</f>
        <v>156</v>
      </c>
      <c r="AA84" s="200">
        <f>ROUND(Z84*MasterData!$D$7,2)</f>
        <v>6605.04</v>
      </c>
      <c r="AB84" s="201">
        <f t="shared" si="14"/>
        <v>12882.48</v>
      </c>
      <c r="AC84" s="202">
        <f>MasterData!$M$29</f>
        <v>17820.45943877551</v>
      </c>
      <c r="AD84" s="200">
        <f>MasterData!$D$29</f>
        <v>2233.8000000000002</v>
      </c>
      <c r="AE84" s="200">
        <f>MasterData!$E$29</f>
        <v>6471.45</v>
      </c>
      <c r="AF84" s="200">
        <f>MasterData!$F$29</f>
        <v>0</v>
      </c>
      <c r="AG84" s="201">
        <f t="shared" si="9"/>
        <v>522385.02943877544</v>
      </c>
      <c r="AH84" s="200">
        <f>ROUND(AG84*MasterData!$G$29,2)</f>
        <v>62686.2</v>
      </c>
      <c r="AI84" s="200">
        <f>((AG84+AH84)*MasterData!$I$29)-'Model Calculator'!W84*MasterData!$I$29</f>
        <v>1817.2801320102044</v>
      </c>
      <c r="AJ84" s="201">
        <f t="shared" si="10"/>
        <v>588349.55957078573</v>
      </c>
      <c r="AK84" s="201">
        <f t="shared" si="15"/>
        <v>1695.53</v>
      </c>
    </row>
    <row r="85" spans="1:37">
      <c r="A85" s="197" t="s">
        <v>96</v>
      </c>
      <c r="B85" s="197" t="str">
        <f t="shared" si="8"/>
        <v>M407.52</v>
      </c>
      <c r="C85" s="197" t="s">
        <v>144</v>
      </c>
      <c r="D85" s="197" t="s">
        <v>282</v>
      </c>
      <c r="E85" s="197">
        <f>VLOOKUP($C35,MasterData!$B$62:$L$111,2,FALSE)</f>
        <v>0.41</v>
      </c>
      <c r="F85" s="198">
        <f>ROUND(E85*MasterData!$C$4,2)</f>
        <v>21177.18</v>
      </c>
      <c r="G85" s="199">
        <f>VLOOKUP($C35,MasterData!$B$62:$L$111,3,FALSE)</f>
        <v>1</v>
      </c>
      <c r="H85" s="198">
        <f>ROUND(G85*MasterData!$D$4,2)</f>
        <v>41516.800000000003</v>
      </c>
      <c r="I85" s="199">
        <f t="shared" si="11"/>
        <v>7.5</v>
      </c>
      <c r="J85" s="199">
        <f>VLOOKUP($C35,MasterData!$B$62:$L$111,4,FALSE)</f>
        <v>6.1</v>
      </c>
      <c r="K85" s="198">
        <f>ROUND(J85*MasterData!$D$26,2)</f>
        <v>261332.78</v>
      </c>
      <c r="L85" s="199">
        <f>VLOOKUP($C35,MasterData!$B$62:$L$111,5,FALSE)</f>
        <v>1.4</v>
      </c>
      <c r="M85" s="200">
        <f>ROUND(L85*MasterData!$F$4,2)</f>
        <v>41496</v>
      </c>
      <c r="N85" s="199">
        <f>VLOOKUP($A85,MasterData!$B$62:$L$111,6,FALSE)</f>
        <v>1.1599999999999999</v>
      </c>
      <c r="O85" s="211">
        <f>ROUND(N85*MasterData!$E$26,2)</f>
        <v>43384.67</v>
      </c>
      <c r="P85" s="199">
        <f>VLOOKUP($A85,MasterData!$B$62:$L$111,7,FALSE)</f>
        <v>0.22</v>
      </c>
      <c r="Q85" s="198">
        <f>ROUND(P85*MasterData!$H$4,2)</f>
        <v>6520.8</v>
      </c>
      <c r="R85" s="199">
        <f>VLOOKUP($A85,MasterData!$B$62:$L$111,8,FALSE)</f>
        <v>0.12</v>
      </c>
      <c r="S85" s="200">
        <f>ROUND(R85*MasterData!$I$4,2)</f>
        <v>3863.81</v>
      </c>
      <c r="T85" s="201">
        <f t="shared" si="12"/>
        <v>419292.04</v>
      </c>
      <c r="U85" s="200">
        <f>ROUND(T85*MasterData!$C$29,2)</f>
        <v>93544.05</v>
      </c>
      <c r="V85" s="200">
        <f>ROUND(T85*MasterData!$J$29,2)</f>
        <v>1551.38</v>
      </c>
      <c r="W85" s="201">
        <f t="shared" si="13"/>
        <v>512836.08999999997</v>
      </c>
      <c r="X85" s="212">
        <f>VLOOKUP($A85,MasterData!$B$62:$L$111,10,FALSE)*52</f>
        <v>104</v>
      </c>
      <c r="Y85" s="200">
        <f>ROUND(X85*MasterData!$C$7,2)</f>
        <v>6277.44</v>
      </c>
      <c r="Z85" s="199">
        <f>VLOOKUP($A85,MasterData!$B$62:$L$111,11,FALSE)*52</f>
        <v>156</v>
      </c>
      <c r="AA85" s="200">
        <f>ROUND(Z85*MasterData!$D$7,2)</f>
        <v>6605.04</v>
      </c>
      <c r="AB85" s="201">
        <f t="shared" si="14"/>
        <v>12882.48</v>
      </c>
      <c r="AC85" s="202">
        <f>MasterData!$M$29</f>
        <v>17820.45943877551</v>
      </c>
      <c r="AD85" s="200">
        <f>MasterData!$D$29</f>
        <v>2233.8000000000002</v>
      </c>
      <c r="AE85" s="200">
        <f>MasterData!$E$29</f>
        <v>6471.45</v>
      </c>
      <c r="AF85" s="200">
        <f>MasterData!$F$29</f>
        <v>0</v>
      </c>
      <c r="AG85" s="201">
        <f t="shared" si="9"/>
        <v>552244.2794387755</v>
      </c>
      <c r="AH85" s="200">
        <f>ROUND(AG85*MasterData!$G$29,2)</f>
        <v>66269.31</v>
      </c>
      <c r="AI85" s="200">
        <f>((AG85+AH85)*MasterData!$I$29)-'Model Calculator'!W85*MasterData!$I$29</f>
        <v>1881.059490010206</v>
      </c>
      <c r="AJ85" s="201">
        <f t="shared" si="10"/>
        <v>621946.02892878582</v>
      </c>
      <c r="AK85" s="201">
        <f t="shared" si="15"/>
        <v>1792.35</v>
      </c>
    </row>
    <row r="86" spans="1:37">
      <c r="A86" s="197" t="s">
        <v>97</v>
      </c>
      <c r="B86" s="197" t="str">
        <f t="shared" si="8"/>
        <v>M408.02</v>
      </c>
      <c r="C86" s="197" t="s">
        <v>145</v>
      </c>
      <c r="D86" s="197" t="s">
        <v>282</v>
      </c>
      <c r="E86" s="197">
        <f>VLOOKUP($C36,MasterData!$B$62:$L$111,2,FALSE)</f>
        <v>0.41</v>
      </c>
      <c r="F86" s="198">
        <f>ROUND(E86*MasterData!$C$4,2)</f>
        <v>21177.18</v>
      </c>
      <c r="G86" s="199">
        <f>VLOOKUP($C36,MasterData!$B$62:$L$111,3,FALSE)</f>
        <v>1</v>
      </c>
      <c r="H86" s="198">
        <f>ROUND(G86*MasterData!$D$4,2)</f>
        <v>41516.800000000003</v>
      </c>
      <c r="I86" s="199">
        <f t="shared" si="11"/>
        <v>8</v>
      </c>
      <c r="J86" s="199">
        <f>VLOOKUP($C36,MasterData!$B$62:$L$111,4,FALSE)</f>
        <v>6.6</v>
      </c>
      <c r="K86" s="198">
        <f>ROUND(J86*MasterData!$D$26,2)</f>
        <v>282753.5</v>
      </c>
      <c r="L86" s="199">
        <f>VLOOKUP($C36,MasterData!$B$62:$L$111,5,FALSE)</f>
        <v>1.4</v>
      </c>
      <c r="M86" s="200">
        <f>ROUND(L86*MasterData!$F$4,2)</f>
        <v>41496</v>
      </c>
      <c r="N86" s="199">
        <f>VLOOKUP($A86,MasterData!$B$62:$L$111,6,FALSE)</f>
        <v>1.23</v>
      </c>
      <c r="O86" s="211">
        <f>ROUND(N86*MasterData!$E$26,2)</f>
        <v>46002.71</v>
      </c>
      <c r="P86" s="199">
        <f>VLOOKUP($A86,MasterData!$B$62:$L$111,7,FALSE)</f>
        <v>0.22</v>
      </c>
      <c r="Q86" s="198">
        <f>ROUND(P86*MasterData!$H$4,2)</f>
        <v>6520.8</v>
      </c>
      <c r="R86" s="199">
        <f>VLOOKUP($A86,MasterData!$B$62:$L$111,8,FALSE)</f>
        <v>0.12</v>
      </c>
      <c r="S86" s="200">
        <f>ROUND(R86*MasterData!$I$4,2)</f>
        <v>3863.81</v>
      </c>
      <c r="T86" s="201">
        <f t="shared" si="12"/>
        <v>443330.8</v>
      </c>
      <c r="U86" s="200">
        <f>ROUND(T86*MasterData!$C$29,2)</f>
        <v>98907.1</v>
      </c>
      <c r="V86" s="200">
        <f>ROUND(T86*MasterData!$J$29,2)</f>
        <v>1640.32</v>
      </c>
      <c r="W86" s="201">
        <f t="shared" si="13"/>
        <v>542237.9</v>
      </c>
      <c r="X86" s="212">
        <f>VLOOKUP($A86,MasterData!$B$62:$L$111,10,FALSE)*52</f>
        <v>104</v>
      </c>
      <c r="Y86" s="200">
        <f>ROUND(X86*MasterData!$C$7,2)</f>
        <v>6277.44</v>
      </c>
      <c r="Z86" s="199">
        <f>VLOOKUP($A86,MasterData!$B$62:$L$111,11,FALSE)*52</f>
        <v>156</v>
      </c>
      <c r="AA86" s="200">
        <f>ROUND(Z86*MasterData!$D$7,2)</f>
        <v>6605.04</v>
      </c>
      <c r="AB86" s="201">
        <f t="shared" si="14"/>
        <v>12882.48</v>
      </c>
      <c r="AC86" s="202">
        <f>MasterData!$M$29</f>
        <v>17820.45943877551</v>
      </c>
      <c r="AD86" s="200">
        <f>MasterData!$D$29</f>
        <v>2233.8000000000002</v>
      </c>
      <c r="AE86" s="200">
        <f>MasterData!$E$29</f>
        <v>6471.45</v>
      </c>
      <c r="AF86" s="200">
        <f>MasterData!$F$29</f>
        <v>0</v>
      </c>
      <c r="AG86" s="201">
        <f t="shared" si="9"/>
        <v>581646.08943877555</v>
      </c>
      <c r="AH86" s="200">
        <f>ROUND(AG86*MasterData!$G$29,2)</f>
        <v>69797.53</v>
      </c>
      <c r="AI86" s="200">
        <f>((AG86+AH86)*MasterData!$I$29)-'Model Calculator'!W86*MasterData!$I$29</f>
        <v>1943.8618060102053</v>
      </c>
      <c r="AJ86" s="201">
        <f t="shared" si="10"/>
        <v>655027.80124478578</v>
      </c>
      <c r="AK86" s="201">
        <f t="shared" si="15"/>
        <v>1887.69</v>
      </c>
    </row>
    <row r="87" spans="1:37">
      <c r="A87" s="197" t="s">
        <v>98</v>
      </c>
      <c r="B87" s="197" t="str">
        <f t="shared" si="8"/>
        <v>M408.52</v>
      </c>
      <c r="C87" s="197" t="s">
        <v>146</v>
      </c>
      <c r="D87" s="197" t="s">
        <v>282</v>
      </c>
      <c r="E87" s="197">
        <f>VLOOKUP($C37,MasterData!$B$62:$L$111,2,FALSE)</f>
        <v>0.41</v>
      </c>
      <c r="F87" s="198">
        <f>ROUND(E87*MasterData!$C$4,2)</f>
        <v>21177.18</v>
      </c>
      <c r="G87" s="199">
        <f>VLOOKUP($C37,MasterData!$B$62:$L$111,3,FALSE)</f>
        <v>1</v>
      </c>
      <c r="H87" s="198">
        <f>ROUND(G87*MasterData!$D$4,2)</f>
        <v>41516.800000000003</v>
      </c>
      <c r="I87" s="199">
        <f t="shared" si="11"/>
        <v>8.5</v>
      </c>
      <c r="J87" s="199">
        <f>VLOOKUP($C37,MasterData!$B$62:$L$111,4,FALSE)</f>
        <v>7.1</v>
      </c>
      <c r="K87" s="198">
        <f>ROUND(J87*MasterData!$D$26,2)</f>
        <v>304174.21999999997</v>
      </c>
      <c r="L87" s="199">
        <f>VLOOKUP($C37,MasterData!$B$62:$L$111,5,FALSE)</f>
        <v>1.4</v>
      </c>
      <c r="M87" s="200">
        <f>ROUND(L87*MasterData!$F$4,2)</f>
        <v>41496</v>
      </c>
      <c r="N87" s="199">
        <f>VLOOKUP($A87,MasterData!$B$62:$L$111,6,FALSE)</f>
        <v>1.31</v>
      </c>
      <c r="O87" s="211">
        <f>ROUND(N87*MasterData!$E$26,2)</f>
        <v>48994.76</v>
      </c>
      <c r="P87" s="199">
        <f>VLOOKUP($A87,MasterData!$B$62:$L$111,7,FALSE)</f>
        <v>0.22</v>
      </c>
      <c r="Q87" s="198">
        <f>ROUND(P87*MasterData!$H$4,2)</f>
        <v>6520.8</v>
      </c>
      <c r="R87" s="199">
        <f>VLOOKUP($A87,MasterData!$B$62:$L$111,8,FALSE)</f>
        <v>0.12</v>
      </c>
      <c r="S87" s="200">
        <f>ROUND(R87*MasterData!$I$4,2)</f>
        <v>3863.81</v>
      </c>
      <c r="T87" s="201">
        <f t="shared" si="12"/>
        <v>467743.56999999995</v>
      </c>
      <c r="U87" s="200">
        <f>ROUND(T87*MasterData!$C$29,2)</f>
        <v>104353.59</v>
      </c>
      <c r="V87" s="200">
        <f>ROUND(T87*MasterData!$J$29,2)</f>
        <v>1730.65</v>
      </c>
      <c r="W87" s="201">
        <f t="shared" si="13"/>
        <v>572097.15999999992</v>
      </c>
      <c r="X87" s="212">
        <f>VLOOKUP($A87,MasterData!$B$62:$L$111,10,FALSE)*52</f>
        <v>104</v>
      </c>
      <c r="Y87" s="200">
        <f>ROUND(X87*MasterData!$C$7,2)</f>
        <v>6277.44</v>
      </c>
      <c r="Z87" s="199">
        <f>VLOOKUP($A87,MasterData!$B$62:$L$111,11,FALSE)*52</f>
        <v>156</v>
      </c>
      <c r="AA87" s="200">
        <f>ROUND(Z87*MasterData!$D$7,2)</f>
        <v>6605.04</v>
      </c>
      <c r="AB87" s="201">
        <f t="shared" si="14"/>
        <v>12882.48</v>
      </c>
      <c r="AC87" s="202">
        <f>MasterData!$M$29</f>
        <v>17820.45943877551</v>
      </c>
      <c r="AD87" s="200">
        <f>MasterData!$D$29</f>
        <v>2233.8000000000002</v>
      </c>
      <c r="AE87" s="200">
        <f>MasterData!$E$29</f>
        <v>6471.45</v>
      </c>
      <c r="AF87" s="200">
        <f>MasterData!$F$29</f>
        <v>0</v>
      </c>
      <c r="AG87" s="201">
        <f t="shared" si="9"/>
        <v>611505.34943877545</v>
      </c>
      <c r="AH87" s="200">
        <f>ROUND(AG87*MasterData!$G$29,2)</f>
        <v>73380.639999999999</v>
      </c>
      <c r="AI87" s="200">
        <f>((AG87+AH87)*MasterData!$I$29)-'Model Calculator'!W87*MasterData!$I$29</f>
        <v>2007.6411640102051</v>
      </c>
      <c r="AJ87" s="201">
        <f t="shared" si="10"/>
        <v>688624.28060278564</v>
      </c>
      <c r="AK87" s="201">
        <f t="shared" si="15"/>
        <v>1984.51</v>
      </c>
    </row>
    <row r="88" spans="1:37">
      <c r="A88" s="197" t="s">
        <v>99</v>
      </c>
      <c r="B88" s="197" t="str">
        <f t="shared" si="8"/>
        <v>M409.02</v>
      </c>
      <c r="C88" s="197" t="s">
        <v>147</v>
      </c>
      <c r="D88" s="197" t="s">
        <v>282</v>
      </c>
      <c r="E88" s="197">
        <f>VLOOKUP($C38,MasterData!$B$62:$L$111,2,FALSE)</f>
        <v>0.41</v>
      </c>
      <c r="F88" s="198">
        <f>ROUND(E88*MasterData!$C$4,2)</f>
        <v>21177.18</v>
      </c>
      <c r="G88" s="199">
        <f>VLOOKUP($C38,MasterData!$B$62:$L$111,3,FALSE)</f>
        <v>1</v>
      </c>
      <c r="H88" s="198">
        <f>ROUND(G88*MasterData!$D$4,2)</f>
        <v>41516.800000000003</v>
      </c>
      <c r="I88" s="199">
        <f t="shared" si="11"/>
        <v>9</v>
      </c>
      <c r="J88" s="199">
        <f>VLOOKUP($C38,MasterData!$B$62:$L$111,4,FALSE)</f>
        <v>7.6</v>
      </c>
      <c r="K88" s="198">
        <f>ROUND(J88*MasterData!$D$26,2)</f>
        <v>325594.94</v>
      </c>
      <c r="L88" s="199">
        <f>VLOOKUP($C38,MasterData!$B$62:$L$111,5,FALSE)</f>
        <v>1.4</v>
      </c>
      <c r="M88" s="200">
        <f>ROUND(L88*MasterData!$F$4,2)</f>
        <v>41496</v>
      </c>
      <c r="N88" s="199">
        <f>VLOOKUP($A88,MasterData!$B$62:$L$111,6,FALSE)</f>
        <v>1.39</v>
      </c>
      <c r="O88" s="211">
        <f>ROUND(N88*MasterData!$E$26,2)</f>
        <v>51986.8</v>
      </c>
      <c r="P88" s="199">
        <f>VLOOKUP($A88,MasterData!$B$62:$L$111,7,FALSE)</f>
        <v>0.22</v>
      </c>
      <c r="Q88" s="198">
        <f>ROUND(P88*MasterData!$H$4,2)</f>
        <v>6520.8</v>
      </c>
      <c r="R88" s="199">
        <f>VLOOKUP($A88,MasterData!$B$62:$L$111,8,FALSE)</f>
        <v>0.12</v>
      </c>
      <c r="S88" s="200">
        <f>ROUND(R88*MasterData!$I$4,2)</f>
        <v>3863.81</v>
      </c>
      <c r="T88" s="201">
        <f t="shared" si="12"/>
        <v>492156.32999999996</v>
      </c>
      <c r="U88" s="200">
        <f>ROUND(T88*MasterData!$C$29,2)</f>
        <v>109800.08</v>
      </c>
      <c r="V88" s="200">
        <f>ROUND(T88*MasterData!$J$29,2)</f>
        <v>1820.98</v>
      </c>
      <c r="W88" s="201">
        <f t="shared" si="13"/>
        <v>601956.40999999992</v>
      </c>
      <c r="X88" s="212">
        <f>VLOOKUP($A88,MasterData!$B$62:$L$111,10,FALSE)*52</f>
        <v>104</v>
      </c>
      <c r="Y88" s="200">
        <f>ROUND(X88*MasterData!$C$7,2)</f>
        <v>6277.44</v>
      </c>
      <c r="Z88" s="199">
        <f>VLOOKUP($A88,MasterData!$B$62:$L$111,11,FALSE)*52</f>
        <v>156</v>
      </c>
      <c r="AA88" s="200">
        <f>ROUND(Z88*MasterData!$D$7,2)</f>
        <v>6605.04</v>
      </c>
      <c r="AB88" s="201">
        <f t="shared" si="14"/>
        <v>12882.48</v>
      </c>
      <c r="AC88" s="202">
        <f>MasterData!$M$29</f>
        <v>17820.45943877551</v>
      </c>
      <c r="AD88" s="200">
        <f>MasterData!$D$29</f>
        <v>2233.8000000000002</v>
      </c>
      <c r="AE88" s="200">
        <f>MasterData!$E$29</f>
        <v>6471.45</v>
      </c>
      <c r="AF88" s="200">
        <f>MasterData!$F$29</f>
        <v>0</v>
      </c>
      <c r="AG88" s="201">
        <f t="shared" si="9"/>
        <v>641364.59943877545</v>
      </c>
      <c r="AH88" s="200">
        <f>ROUND(AG88*MasterData!$G$29,2)</f>
        <v>76963.75</v>
      </c>
      <c r="AI88" s="200">
        <f>((AG88+AH88)*MasterData!$I$29)-'Model Calculator'!W88*MasterData!$I$29</f>
        <v>2071.4205220102031</v>
      </c>
      <c r="AJ88" s="201">
        <f t="shared" si="10"/>
        <v>722220.74996078562</v>
      </c>
      <c r="AK88" s="201">
        <f t="shared" si="15"/>
        <v>2081.33</v>
      </c>
    </row>
    <row r="89" spans="1:37">
      <c r="A89" s="197" t="s">
        <v>100</v>
      </c>
      <c r="B89" s="197" t="str">
        <f t="shared" si="8"/>
        <v>M409.52</v>
      </c>
      <c r="C89" s="197" t="s">
        <v>148</v>
      </c>
      <c r="D89" s="197" t="s">
        <v>282</v>
      </c>
      <c r="E89" s="197">
        <f>VLOOKUP($C39,MasterData!$B$62:$L$111,2,FALSE)</f>
        <v>0.41</v>
      </c>
      <c r="F89" s="198">
        <f>ROUND(E89*MasterData!$C$4,2)</f>
        <v>21177.18</v>
      </c>
      <c r="G89" s="199">
        <f>VLOOKUP($C39,MasterData!$B$62:$L$111,3,FALSE)</f>
        <v>1</v>
      </c>
      <c r="H89" s="198">
        <f>ROUND(G89*MasterData!$D$4,2)</f>
        <v>41516.800000000003</v>
      </c>
      <c r="I89" s="199">
        <f t="shared" si="11"/>
        <v>9.5</v>
      </c>
      <c r="J89" s="199">
        <f>VLOOKUP($C39,MasterData!$B$62:$L$111,4,FALSE)</f>
        <v>8.1</v>
      </c>
      <c r="K89" s="198">
        <f>ROUND(J89*MasterData!$D$26,2)</f>
        <v>347015.66</v>
      </c>
      <c r="L89" s="199">
        <f>VLOOKUP($C39,MasterData!$B$62:$L$111,5,FALSE)</f>
        <v>1.4</v>
      </c>
      <c r="M89" s="200">
        <f>ROUND(L89*MasterData!$F$4,2)</f>
        <v>41496</v>
      </c>
      <c r="N89" s="199">
        <f>VLOOKUP($A89,MasterData!$B$62:$L$111,6,FALSE)</f>
        <v>1.46</v>
      </c>
      <c r="O89" s="211">
        <f>ROUND(N89*MasterData!$E$26,2)</f>
        <v>54604.84</v>
      </c>
      <c r="P89" s="199">
        <f>VLOOKUP($A89,MasterData!$B$62:$L$111,7,FALSE)</f>
        <v>0.22</v>
      </c>
      <c r="Q89" s="198">
        <f>ROUND(P89*MasterData!$H$4,2)</f>
        <v>6520.8</v>
      </c>
      <c r="R89" s="199">
        <f>VLOOKUP($A89,MasterData!$B$62:$L$111,8,FALSE)</f>
        <v>0.12</v>
      </c>
      <c r="S89" s="200">
        <f>ROUND(R89*MasterData!$I$4,2)</f>
        <v>3863.81</v>
      </c>
      <c r="T89" s="201">
        <f t="shared" si="12"/>
        <v>516195.08999999997</v>
      </c>
      <c r="U89" s="200">
        <f>ROUND(T89*MasterData!$C$29,2)</f>
        <v>115163.12</v>
      </c>
      <c r="V89" s="200">
        <f>ROUND(T89*MasterData!$J$29,2)</f>
        <v>1909.92</v>
      </c>
      <c r="W89" s="201">
        <f t="shared" si="13"/>
        <v>631358.21</v>
      </c>
      <c r="X89" s="212">
        <f>VLOOKUP($A89,MasterData!$B$62:$L$111,10,FALSE)*52</f>
        <v>104</v>
      </c>
      <c r="Y89" s="200">
        <f>ROUND(X89*MasterData!$C$7,2)</f>
        <v>6277.44</v>
      </c>
      <c r="Z89" s="199">
        <f>VLOOKUP($A89,MasterData!$B$62:$L$111,11,FALSE)*52</f>
        <v>156</v>
      </c>
      <c r="AA89" s="200">
        <f>ROUND(Z89*MasterData!$D$7,2)</f>
        <v>6605.04</v>
      </c>
      <c r="AB89" s="201">
        <f t="shared" si="14"/>
        <v>12882.48</v>
      </c>
      <c r="AC89" s="202">
        <f>MasterData!$M$29</f>
        <v>17820.45943877551</v>
      </c>
      <c r="AD89" s="200">
        <f>MasterData!$D$29</f>
        <v>2233.8000000000002</v>
      </c>
      <c r="AE89" s="200">
        <f>MasterData!$E$29</f>
        <v>6471.45</v>
      </c>
      <c r="AF89" s="200">
        <f>MasterData!$F$29</f>
        <v>0</v>
      </c>
      <c r="AG89" s="201">
        <f t="shared" si="9"/>
        <v>670766.39943877549</v>
      </c>
      <c r="AH89" s="200">
        <f>ROUND(AG89*MasterData!$G$29,2)</f>
        <v>80491.97</v>
      </c>
      <c r="AI89" s="200">
        <f>((AG89+AH89)*MasterData!$I$29)-'Model Calculator'!W89*MasterData!$I$29</f>
        <v>2134.2228380102042</v>
      </c>
      <c r="AJ89" s="201">
        <f t="shared" si="10"/>
        <v>755302.51227678568</v>
      </c>
      <c r="AK89" s="201">
        <f t="shared" si="15"/>
        <v>2176.66</v>
      </c>
    </row>
    <row r="90" spans="1:37">
      <c r="A90" s="197" t="s">
        <v>101</v>
      </c>
      <c r="B90" s="197" t="str">
        <f t="shared" si="8"/>
        <v>M410.02</v>
      </c>
      <c r="C90" s="197" t="s">
        <v>149</v>
      </c>
      <c r="D90" s="197" t="s">
        <v>282</v>
      </c>
      <c r="E90" s="197">
        <f>VLOOKUP($C40,MasterData!$B$62:$L$111,2,FALSE)</f>
        <v>0.41</v>
      </c>
      <c r="F90" s="198">
        <f>ROUND(E90*MasterData!$C$4,2)</f>
        <v>21177.18</v>
      </c>
      <c r="G90" s="199">
        <f>VLOOKUP($C40,MasterData!$B$62:$L$111,3,FALSE)</f>
        <v>1</v>
      </c>
      <c r="H90" s="198">
        <f>ROUND(G90*MasterData!$D$4,2)</f>
        <v>41516.800000000003</v>
      </c>
      <c r="I90" s="199">
        <f t="shared" si="11"/>
        <v>10</v>
      </c>
      <c r="J90" s="199">
        <f>VLOOKUP($C40,MasterData!$B$62:$L$111,4,FALSE)</f>
        <v>8.6</v>
      </c>
      <c r="K90" s="198">
        <f>ROUND(J90*MasterData!$D$26,2)</f>
        <v>368436.38</v>
      </c>
      <c r="L90" s="199">
        <f>VLOOKUP($C40,MasterData!$B$62:$L$111,5,FALSE)</f>
        <v>1.4</v>
      </c>
      <c r="M90" s="200">
        <f>ROUND(L90*MasterData!$F$4,2)</f>
        <v>41496</v>
      </c>
      <c r="N90" s="199">
        <f>VLOOKUP($A90,MasterData!$B$62:$L$111,6,FALSE)</f>
        <v>1.54</v>
      </c>
      <c r="O90" s="211">
        <f>ROUND(N90*MasterData!$E$26,2)</f>
        <v>57596.89</v>
      </c>
      <c r="P90" s="199">
        <f>VLOOKUP($A90,MasterData!$B$62:$L$111,7,FALSE)</f>
        <v>0.22</v>
      </c>
      <c r="Q90" s="198">
        <f>ROUND(P90*MasterData!$H$4,2)</f>
        <v>6520.8</v>
      </c>
      <c r="R90" s="199">
        <f>VLOOKUP($A90,MasterData!$B$62:$L$111,8,FALSE)</f>
        <v>0.12</v>
      </c>
      <c r="S90" s="200">
        <f>ROUND(R90*MasterData!$I$4,2)</f>
        <v>3863.81</v>
      </c>
      <c r="T90" s="201">
        <f t="shared" si="12"/>
        <v>540607.8600000001</v>
      </c>
      <c r="U90" s="200">
        <f>ROUND(T90*MasterData!$C$29,2)</f>
        <v>120609.61</v>
      </c>
      <c r="V90" s="200">
        <f>ROUND(T90*MasterData!$J$29,2)</f>
        <v>2000.25</v>
      </c>
      <c r="W90" s="201">
        <f t="shared" si="13"/>
        <v>661217.47000000009</v>
      </c>
      <c r="X90" s="212">
        <f>VLOOKUP($A90,MasterData!$B$62:$L$111,10,FALSE)*52</f>
        <v>104</v>
      </c>
      <c r="Y90" s="200">
        <f>ROUND(X90*MasterData!$C$7,2)</f>
        <v>6277.44</v>
      </c>
      <c r="Z90" s="199">
        <f>VLOOKUP($A90,MasterData!$B$62:$L$111,11,FALSE)*52</f>
        <v>156</v>
      </c>
      <c r="AA90" s="200">
        <f>ROUND(Z90*MasterData!$D$7,2)</f>
        <v>6605.04</v>
      </c>
      <c r="AB90" s="201">
        <f t="shared" si="14"/>
        <v>12882.48</v>
      </c>
      <c r="AC90" s="202">
        <f>MasterData!$M$29</f>
        <v>17820.45943877551</v>
      </c>
      <c r="AD90" s="200">
        <f>MasterData!$D$29</f>
        <v>2233.8000000000002</v>
      </c>
      <c r="AE90" s="200">
        <f>MasterData!$E$29</f>
        <v>6471.45</v>
      </c>
      <c r="AF90" s="200">
        <f>MasterData!$F$29</f>
        <v>0</v>
      </c>
      <c r="AG90" s="201">
        <f t="shared" si="9"/>
        <v>700625.65943877562</v>
      </c>
      <c r="AH90" s="200">
        <f>ROUND(AG90*MasterData!$G$29,2)</f>
        <v>84075.08</v>
      </c>
      <c r="AI90" s="200">
        <f>((AG90+AH90)*MasterData!$I$29)-'Model Calculator'!W90*MasterData!$I$29</f>
        <v>2198.002196010204</v>
      </c>
      <c r="AJ90" s="201">
        <f t="shared" si="10"/>
        <v>788898.99163478578</v>
      </c>
      <c r="AK90" s="201">
        <f t="shared" si="15"/>
        <v>2273.48</v>
      </c>
    </row>
    <row r="91" spans="1:37">
      <c r="A91" s="197" t="s">
        <v>102</v>
      </c>
      <c r="B91" s="197" t="str">
        <f t="shared" si="8"/>
        <v>M410.52</v>
      </c>
      <c r="C91" s="197" t="s">
        <v>150</v>
      </c>
      <c r="D91" s="197" t="s">
        <v>282</v>
      </c>
      <c r="E91" s="197">
        <f>VLOOKUP($C41,MasterData!$B$62:$L$111,2,FALSE)</f>
        <v>0.41</v>
      </c>
      <c r="F91" s="198">
        <f>ROUND(E91*MasterData!$C$4,2)</f>
        <v>21177.18</v>
      </c>
      <c r="G91" s="199">
        <f>VLOOKUP($C41,MasterData!$B$62:$L$111,3,FALSE)</f>
        <v>1</v>
      </c>
      <c r="H91" s="198">
        <f>ROUND(G91*MasterData!$D$4,2)</f>
        <v>41516.800000000003</v>
      </c>
      <c r="I91" s="199">
        <f t="shared" si="11"/>
        <v>10.5</v>
      </c>
      <c r="J91" s="199">
        <f>VLOOKUP($C41,MasterData!$B$62:$L$111,4,FALSE)</f>
        <v>9.1</v>
      </c>
      <c r="K91" s="198">
        <f>ROUND(J91*MasterData!$D$26,2)</f>
        <v>389857.1</v>
      </c>
      <c r="L91" s="199">
        <f>VLOOKUP($C41,MasterData!$B$62:$L$111,5,FALSE)</f>
        <v>1.4</v>
      </c>
      <c r="M91" s="200">
        <f>ROUND(L91*MasterData!$F$4,2)</f>
        <v>41496</v>
      </c>
      <c r="N91" s="199">
        <f>VLOOKUP($A91,MasterData!$B$62:$L$111,6,FALSE)</f>
        <v>1.62</v>
      </c>
      <c r="O91" s="211">
        <f>ROUND(N91*MasterData!$E$26,2)</f>
        <v>60588.93</v>
      </c>
      <c r="P91" s="199">
        <f>VLOOKUP($A91,MasterData!$B$62:$L$111,7,FALSE)</f>
        <v>0.22</v>
      </c>
      <c r="Q91" s="198">
        <f>ROUND(P91*MasterData!$H$4,2)</f>
        <v>6520.8</v>
      </c>
      <c r="R91" s="199">
        <f>VLOOKUP($A91,MasterData!$B$62:$L$111,8,FALSE)</f>
        <v>0.12</v>
      </c>
      <c r="S91" s="200">
        <f>ROUND(R91*MasterData!$I$4,2)</f>
        <v>3863.81</v>
      </c>
      <c r="T91" s="201">
        <f t="shared" si="12"/>
        <v>565020.62000000011</v>
      </c>
      <c r="U91" s="200">
        <f>ROUND(T91*MasterData!$C$29,2)</f>
        <v>126056.1</v>
      </c>
      <c r="V91" s="200">
        <f>ROUND(T91*MasterData!$J$29,2)</f>
        <v>2090.58</v>
      </c>
      <c r="W91" s="201">
        <f t="shared" si="13"/>
        <v>691076.72000000009</v>
      </c>
      <c r="X91" s="212">
        <f>VLOOKUP($A91,MasterData!$B$62:$L$111,10,FALSE)*52</f>
        <v>104</v>
      </c>
      <c r="Y91" s="200">
        <f>ROUND(X91*MasterData!$C$7,2)</f>
        <v>6277.44</v>
      </c>
      <c r="Z91" s="199">
        <f>VLOOKUP($A91,MasterData!$B$62:$L$111,11,FALSE)*52</f>
        <v>156</v>
      </c>
      <c r="AA91" s="200">
        <f>ROUND(Z91*MasterData!$D$7,2)</f>
        <v>6605.04</v>
      </c>
      <c r="AB91" s="201">
        <f t="shared" si="14"/>
        <v>12882.48</v>
      </c>
      <c r="AC91" s="202">
        <f>MasterData!$M$29</f>
        <v>17820.45943877551</v>
      </c>
      <c r="AD91" s="200">
        <f>MasterData!$D$29</f>
        <v>2233.8000000000002</v>
      </c>
      <c r="AE91" s="200">
        <f>MasterData!$E$29</f>
        <v>6471.45</v>
      </c>
      <c r="AF91" s="200">
        <f>MasterData!$F$29</f>
        <v>0</v>
      </c>
      <c r="AG91" s="201">
        <f t="shared" si="9"/>
        <v>730484.90943877562</v>
      </c>
      <c r="AH91" s="200">
        <f>ROUND(AG91*MasterData!$G$29,2)</f>
        <v>87658.19</v>
      </c>
      <c r="AI91" s="200">
        <f>((AG91+AH91)*MasterData!$I$29)-'Model Calculator'!W91*MasterData!$I$29</f>
        <v>2261.7815540102038</v>
      </c>
      <c r="AJ91" s="201">
        <f t="shared" si="10"/>
        <v>822495.46099278575</v>
      </c>
      <c r="AK91" s="201">
        <f t="shared" si="15"/>
        <v>2370.3000000000002</v>
      </c>
    </row>
    <row r="92" spans="1:37">
      <c r="A92" s="197" t="s">
        <v>103</v>
      </c>
      <c r="B92" s="197" t="str">
        <f t="shared" si="8"/>
        <v>M411.02</v>
      </c>
      <c r="C92" s="197" t="s">
        <v>151</v>
      </c>
      <c r="D92" s="197" t="s">
        <v>282</v>
      </c>
      <c r="E92" s="197">
        <f>VLOOKUP($C42,MasterData!$B$62:$L$111,2,FALSE)</f>
        <v>0.41</v>
      </c>
      <c r="F92" s="198">
        <f>ROUND(E92*MasterData!$C$4,2)</f>
        <v>21177.18</v>
      </c>
      <c r="G92" s="199">
        <f>VLOOKUP($C42,MasterData!$B$62:$L$111,3,FALSE)</f>
        <v>1</v>
      </c>
      <c r="H92" s="198">
        <f>ROUND(G92*MasterData!$D$4,2)</f>
        <v>41516.800000000003</v>
      </c>
      <c r="I92" s="199">
        <f t="shared" si="11"/>
        <v>11</v>
      </c>
      <c r="J92" s="199">
        <f>VLOOKUP($C42,MasterData!$B$62:$L$111,4,FALSE)</f>
        <v>9.6</v>
      </c>
      <c r="K92" s="198">
        <f>ROUND(J92*MasterData!$D$26,2)</f>
        <v>411277.82</v>
      </c>
      <c r="L92" s="199">
        <f>VLOOKUP($C42,MasterData!$B$62:$L$111,5,FALSE)</f>
        <v>1.4</v>
      </c>
      <c r="M92" s="200">
        <f>ROUND(L92*MasterData!$F$4,2)</f>
        <v>41496</v>
      </c>
      <c r="N92" s="199">
        <f>VLOOKUP($A92,MasterData!$B$62:$L$111,6,FALSE)</f>
        <v>1.69</v>
      </c>
      <c r="O92" s="211">
        <f>ROUND(N92*MasterData!$E$26,2)</f>
        <v>63206.98</v>
      </c>
      <c r="P92" s="199">
        <f>VLOOKUP($A92,MasterData!$B$62:$L$111,7,FALSE)</f>
        <v>0.22</v>
      </c>
      <c r="Q92" s="198">
        <f>ROUND(P92*MasterData!$H$4,2)</f>
        <v>6520.8</v>
      </c>
      <c r="R92" s="199">
        <f>VLOOKUP($A92,MasterData!$B$62:$L$111,8,FALSE)</f>
        <v>0.12</v>
      </c>
      <c r="S92" s="200">
        <f>ROUND(R92*MasterData!$I$4,2)</f>
        <v>3863.81</v>
      </c>
      <c r="T92" s="201">
        <f t="shared" si="12"/>
        <v>589059.39000000013</v>
      </c>
      <c r="U92" s="200">
        <f>ROUND(T92*MasterData!$C$29,2)</f>
        <v>131419.15</v>
      </c>
      <c r="V92" s="200">
        <f>ROUND(T92*MasterData!$J$29,2)</f>
        <v>2179.52</v>
      </c>
      <c r="W92" s="201">
        <f t="shared" si="13"/>
        <v>720478.54000000015</v>
      </c>
      <c r="X92" s="212">
        <f>VLOOKUP($A92,MasterData!$B$62:$L$111,10,FALSE)*52</f>
        <v>104</v>
      </c>
      <c r="Y92" s="200">
        <f>ROUND(X92*MasterData!$C$7,2)</f>
        <v>6277.44</v>
      </c>
      <c r="Z92" s="199">
        <f>VLOOKUP($A92,MasterData!$B$62:$L$111,11,FALSE)*52</f>
        <v>156</v>
      </c>
      <c r="AA92" s="200">
        <f>ROUND(Z92*MasterData!$D$7,2)</f>
        <v>6605.04</v>
      </c>
      <c r="AB92" s="201">
        <f t="shared" si="14"/>
        <v>12882.48</v>
      </c>
      <c r="AC92" s="202">
        <f>MasterData!$M$29</f>
        <v>17820.45943877551</v>
      </c>
      <c r="AD92" s="200">
        <f>MasterData!$D$29</f>
        <v>2233.8000000000002</v>
      </c>
      <c r="AE92" s="200">
        <f>MasterData!$E$29</f>
        <v>6471.45</v>
      </c>
      <c r="AF92" s="200">
        <f>MasterData!$F$29</f>
        <v>0</v>
      </c>
      <c r="AG92" s="201">
        <f t="shared" si="9"/>
        <v>759886.72943877568</v>
      </c>
      <c r="AH92" s="200">
        <f>ROUND(AG92*MasterData!$G$29,2)</f>
        <v>91186.41</v>
      </c>
      <c r="AI92" s="200">
        <f>((AG92+AH92)*MasterData!$I$29)-'Model Calculator'!W92*MasterData!$I$29</f>
        <v>2324.5838700102049</v>
      </c>
      <c r="AJ92" s="201">
        <f t="shared" si="10"/>
        <v>855577.24330878595</v>
      </c>
      <c r="AK92" s="201">
        <f t="shared" si="15"/>
        <v>2465.64</v>
      </c>
    </row>
    <row r="93" spans="1:37">
      <c r="A93" s="197" t="s">
        <v>104</v>
      </c>
      <c r="B93" s="197" t="str">
        <f t="shared" si="8"/>
        <v>M411.52</v>
      </c>
      <c r="C93" s="197" t="s">
        <v>152</v>
      </c>
      <c r="D93" s="197" t="s">
        <v>282</v>
      </c>
      <c r="E93" s="197">
        <f>VLOOKUP($C43,MasterData!$B$62:$L$111,2,FALSE)</f>
        <v>0.41</v>
      </c>
      <c r="F93" s="198">
        <f>ROUND(E93*MasterData!$C$4,2)</f>
        <v>21177.18</v>
      </c>
      <c r="G93" s="199">
        <f>VLOOKUP($C43,MasterData!$B$62:$L$111,3,FALSE)</f>
        <v>1</v>
      </c>
      <c r="H93" s="198">
        <f>ROUND(G93*MasterData!$D$4,2)</f>
        <v>41516.800000000003</v>
      </c>
      <c r="I93" s="199">
        <f t="shared" si="11"/>
        <v>11.5</v>
      </c>
      <c r="J93" s="199">
        <f>VLOOKUP($C43,MasterData!$B$62:$L$111,4,FALSE)</f>
        <v>10.1</v>
      </c>
      <c r="K93" s="198">
        <f>ROUND(J93*MasterData!$D$26,2)</f>
        <v>432698.54</v>
      </c>
      <c r="L93" s="199">
        <f>VLOOKUP($C43,MasterData!$B$62:$L$111,5,FALSE)</f>
        <v>1.4</v>
      </c>
      <c r="M93" s="200">
        <f>ROUND(L93*MasterData!$F$4,2)</f>
        <v>41496</v>
      </c>
      <c r="N93" s="199">
        <f>VLOOKUP($A93,MasterData!$B$62:$L$111,6,FALSE)</f>
        <v>1.77</v>
      </c>
      <c r="O93" s="211">
        <f>ROUND(N93*MasterData!$E$26,2)</f>
        <v>66199.02</v>
      </c>
      <c r="P93" s="199">
        <f>VLOOKUP($A93,MasterData!$B$62:$L$111,7,FALSE)</f>
        <v>0.22</v>
      </c>
      <c r="Q93" s="198">
        <f>ROUND(P93*MasterData!$H$4,2)</f>
        <v>6520.8</v>
      </c>
      <c r="R93" s="199">
        <f>VLOOKUP($A93,MasterData!$B$62:$L$111,8,FALSE)</f>
        <v>0.12</v>
      </c>
      <c r="S93" s="200">
        <f>ROUND(R93*MasterData!$I$4,2)</f>
        <v>3863.81</v>
      </c>
      <c r="T93" s="201">
        <f t="shared" si="12"/>
        <v>613472.15000000014</v>
      </c>
      <c r="U93" s="200">
        <f>ROUND(T93*MasterData!$C$29,2)</f>
        <v>136865.64000000001</v>
      </c>
      <c r="V93" s="200">
        <f>ROUND(T93*MasterData!$J$29,2)</f>
        <v>2269.85</v>
      </c>
      <c r="W93" s="201">
        <f t="shared" si="13"/>
        <v>750337.79000000015</v>
      </c>
      <c r="X93" s="212">
        <f>VLOOKUP($A93,MasterData!$B$62:$L$111,10,FALSE)*52</f>
        <v>104</v>
      </c>
      <c r="Y93" s="200">
        <f>ROUND(X93*MasterData!$C$7,2)</f>
        <v>6277.44</v>
      </c>
      <c r="Z93" s="199">
        <f>VLOOKUP($A93,MasterData!$B$62:$L$111,11,FALSE)*52</f>
        <v>156</v>
      </c>
      <c r="AA93" s="200">
        <f>ROUND(Z93*MasterData!$D$7,2)</f>
        <v>6605.04</v>
      </c>
      <c r="AB93" s="201">
        <f t="shared" si="14"/>
        <v>12882.48</v>
      </c>
      <c r="AC93" s="202">
        <f>MasterData!$M$29</f>
        <v>17820.45943877551</v>
      </c>
      <c r="AD93" s="200">
        <f>MasterData!$D$29</f>
        <v>2233.8000000000002</v>
      </c>
      <c r="AE93" s="200">
        <f>MasterData!$E$29</f>
        <v>6471.45</v>
      </c>
      <c r="AF93" s="200">
        <f>MasterData!$F$29</f>
        <v>0</v>
      </c>
      <c r="AG93" s="201">
        <f t="shared" si="9"/>
        <v>789745.97943877568</v>
      </c>
      <c r="AH93" s="200">
        <f>ROUND(AG93*MasterData!$G$29,2)</f>
        <v>94769.52</v>
      </c>
      <c r="AI93" s="200">
        <f>((AG93+AH93)*MasterData!$I$29)-'Model Calculator'!W93*MasterData!$I$29</f>
        <v>2388.3632280102047</v>
      </c>
      <c r="AJ93" s="201">
        <f t="shared" si="10"/>
        <v>889173.71266678593</v>
      </c>
      <c r="AK93" s="201">
        <f t="shared" si="15"/>
        <v>2562.46</v>
      </c>
    </row>
    <row r="94" spans="1:37">
      <c r="A94" s="197" t="s">
        <v>105</v>
      </c>
      <c r="B94" s="197" t="str">
        <f t="shared" si="8"/>
        <v>M412.02</v>
      </c>
      <c r="C94" s="197" t="s">
        <v>153</v>
      </c>
      <c r="D94" s="197" t="s">
        <v>282</v>
      </c>
      <c r="E94" s="197">
        <f>VLOOKUP($C44,MasterData!$B$62:$L$111,2,FALSE)</f>
        <v>0.41</v>
      </c>
      <c r="F94" s="198">
        <f>ROUND(E94*MasterData!$C$4,2)</f>
        <v>21177.18</v>
      </c>
      <c r="G94" s="199">
        <f>VLOOKUP($C44,MasterData!$B$62:$L$111,3,FALSE)</f>
        <v>1</v>
      </c>
      <c r="H94" s="198">
        <f>ROUND(G94*MasterData!$D$4,2)</f>
        <v>41516.800000000003</v>
      </c>
      <c r="I94" s="199">
        <f t="shared" si="11"/>
        <v>12</v>
      </c>
      <c r="J94" s="199">
        <f>VLOOKUP($C44,MasterData!$B$62:$L$111,4,FALSE)</f>
        <v>10.6</v>
      </c>
      <c r="K94" s="198">
        <f>ROUND(J94*MasterData!$D$26,2)</f>
        <v>454119.26</v>
      </c>
      <c r="L94" s="199">
        <f>VLOOKUP($C44,MasterData!$B$62:$L$111,5,FALSE)</f>
        <v>1.4</v>
      </c>
      <c r="M94" s="200">
        <f>ROUND(L94*MasterData!$F$4,2)</f>
        <v>41496</v>
      </c>
      <c r="N94" s="199">
        <f>VLOOKUP($A94,MasterData!$B$62:$L$111,6,FALSE)</f>
        <v>1.85</v>
      </c>
      <c r="O94" s="211">
        <f>ROUND(N94*MasterData!$E$26,2)</f>
        <v>69191.070000000007</v>
      </c>
      <c r="P94" s="199">
        <f>VLOOKUP($A94,MasterData!$B$62:$L$111,7,FALSE)</f>
        <v>0.22</v>
      </c>
      <c r="Q94" s="198">
        <f>ROUND(P94*MasterData!$H$4,2)</f>
        <v>6520.8</v>
      </c>
      <c r="R94" s="199">
        <f>VLOOKUP($A94,MasterData!$B$62:$L$111,8,FALSE)</f>
        <v>0.12</v>
      </c>
      <c r="S94" s="200">
        <f>ROUND(R94*MasterData!$I$4,2)</f>
        <v>3863.81</v>
      </c>
      <c r="T94" s="201">
        <f t="shared" si="12"/>
        <v>637884.92000000016</v>
      </c>
      <c r="U94" s="200">
        <f>ROUND(T94*MasterData!$C$29,2)</f>
        <v>142312.13</v>
      </c>
      <c r="V94" s="200">
        <f>ROUND(T94*MasterData!$J$29,2)</f>
        <v>2360.17</v>
      </c>
      <c r="W94" s="201">
        <f t="shared" si="13"/>
        <v>780197.05000000016</v>
      </c>
      <c r="X94" s="212">
        <f>VLOOKUP($A94,MasterData!$B$62:$L$111,10,FALSE)*52</f>
        <v>104</v>
      </c>
      <c r="Y94" s="200">
        <f>ROUND(X94*MasterData!$C$7,2)</f>
        <v>6277.44</v>
      </c>
      <c r="Z94" s="199">
        <f>VLOOKUP($A94,MasterData!$B$62:$L$111,11,FALSE)*52</f>
        <v>156</v>
      </c>
      <c r="AA94" s="200">
        <f>ROUND(Z94*MasterData!$D$7,2)</f>
        <v>6605.04</v>
      </c>
      <c r="AB94" s="201">
        <f t="shared" si="14"/>
        <v>12882.48</v>
      </c>
      <c r="AC94" s="202">
        <f>MasterData!$M$29</f>
        <v>17820.45943877551</v>
      </c>
      <c r="AD94" s="200">
        <f>MasterData!$D$29</f>
        <v>2233.8000000000002</v>
      </c>
      <c r="AE94" s="200">
        <f>MasterData!$E$29</f>
        <v>6471.45</v>
      </c>
      <c r="AF94" s="200">
        <f>MasterData!$F$29</f>
        <v>0</v>
      </c>
      <c r="AG94" s="201">
        <f t="shared" si="9"/>
        <v>819605.23943877569</v>
      </c>
      <c r="AH94" s="200">
        <f>ROUND(AG94*MasterData!$G$29,2)</f>
        <v>98352.63</v>
      </c>
      <c r="AI94" s="200">
        <f>((AG94+AH94)*MasterData!$I$29)-'Model Calculator'!W94*MasterData!$I$29</f>
        <v>2452.1425860102045</v>
      </c>
      <c r="AJ94" s="201">
        <f t="shared" si="10"/>
        <v>922770.1820247859</v>
      </c>
      <c r="AK94" s="201">
        <f t="shared" si="15"/>
        <v>2659.28</v>
      </c>
    </row>
    <row r="95" spans="1:37">
      <c r="A95" s="197" t="s">
        <v>106</v>
      </c>
      <c r="B95" s="197" t="str">
        <f t="shared" si="8"/>
        <v>M412.52</v>
      </c>
      <c r="C95" s="197" t="s">
        <v>154</v>
      </c>
      <c r="D95" s="197" t="s">
        <v>282</v>
      </c>
      <c r="E95" s="197">
        <f>VLOOKUP($C45,MasterData!$B$62:$L$111,2,FALSE)</f>
        <v>0.41</v>
      </c>
      <c r="F95" s="198">
        <f>ROUND(E95*MasterData!$C$4,2)</f>
        <v>21177.18</v>
      </c>
      <c r="G95" s="199">
        <f>VLOOKUP($C45,MasterData!$B$62:$L$111,3,FALSE)</f>
        <v>1</v>
      </c>
      <c r="H95" s="198">
        <f>ROUND(G95*MasterData!$D$4,2)</f>
        <v>41516.800000000003</v>
      </c>
      <c r="I95" s="199">
        <f t="shared" si="11"/>
        <v>12.5</v>
      </c>
      <c r="J95" s="199">
        <f>VLOOKUP($C45,MasterData!$B$62:$L$111,4,FALSE)</f>
        <v>11.1</v>
      </c>
      <c r="K95" s="198">
        <f>ROUND(J95*MasterData!$D$26,2)</f>
        <v>475539.98</v>
      </c>
      <c r="L95" s="199">
        <f>VLOOKUP($C45,MasterData!$B$62:$L$111,5,FALSE)</f>
        <v>1.4</v>
      </c>
      <c r="M95" s="200">
        <f>ROUND(L95*MasterData!$F$4,2)</f>
        <v>41496</v>
      </c>
      <c r="N95" s="199">
        <f>VLOOKUP($A95,MasterData!$B$62:$L$111,6,FALSE)</f>
        <v>1.93</v>
      </c>
      <c r="O95" s="211">
        <f>ROUND(N95*MasterData!$E$26,2)</f>
        <v>72183.11</v>
      </c>
      <c r="P95" s="199">
        <f>VLOOKUP($A95,MasterData!$B$62:$L$111,7,FALSE)</f>
        <v>0.22</v>
      </c>
      <c r="Q95" s="198">
        <f>ROUND(P95*MasterData!$H$4,2)</f>
        <v>6520.8</v>
      </c>
      <c r="R95" s="199">
        <f>VLOOKUP($A95,MasterData!$B$62:$L$111,8,FALSE)</f>
        <v>0.12</v>
      </c>
      <c r="S95" s="200">
        <f>ROUND(R95*MasterData!$I$4,2)</f>
        <v>3863.81</v>
      </c>
      <c r="T95" s="201">
        <f t="shared" si="12"/>
        <v>662297.68000000005</v>
      </c>
      <c r="U95" s="200">
        <f>ROUND(T95*MasterData!$C$29,2)</f>
        <v>147758.60999999999</v>
      </c>
      <c r="V95" s="200">
        <f>ROUND(T95*MasterData!$J$29,2)</f>
        <v>2450.5</v>
      </c>
      <c r="W95" s="201">
        <f t="shared" si="13"/>
        <v>810056.29</v>
      </c>
      <c r="X95" s="212">
        <f>VLOOKUP($A95,MasterData!$B$62:$L$111,10,FALSE)*52</f>
        <v>104</v>
      </c>
      <c r="Y95" s="200">
        <f>ROUND(X95*MasterData!$C$7,2)</f>
        <v>6277.44</v>
      </c>
      <c r="Z95" s="199">
        <f>VLOOKUP($A95,MasterData!$B$62:$L$111,11,FALSE)*52</f>
        <v>156</v>
      </c>
      <c r="AA95" s="200">
        <f>ROUND(Z95*MasterData!$D$7,2)</f>
        <v>6605.04</v>
      </c>
      <c r="AB95" s="201">
        <f t="shared" si="14"/>
        <v>12882.48</v>
      </c>
      <c r="AC95" s="202">
        <f>MasterData!$M$29</f>
        <v>17820.45943877551</v>
      </c>
      <c r="AD95" s="200">
        <f>MasterData!$D$29</f>
        <v>2233.8000000000002</v>
      </c>
      <c r="AE95" s="200">
        <f>MasterData!$E$29</f>
        <v>6471.45</v>
      </c>
      <c r="AF95" s="200">
        <f>MasterData!$F$29</f>
        <v>0</v>
      </c>
      <c r="AG95" s="201">
        <f t="shared" si="9"/>
        <v>849464.47943877557</v>
      </c>
      <c r="AH95" s="200">
        <f>ROUND(AG95*MasterData!$G$29,2)</f>
        <v>101935.74</v>
      </c>
      <c r="AI95" s="200">
        <f>((AG95+AH95)*MasterData!$I$29)-'Model Calculator'!W95*MasterData!$I$29</f>
        <v>2515.9219440102042</v>
      </c>
      <c r="AJ95" s="201">
        <f t="shared" si="10"/>
        <v>956366.64138278575</v>
      </c>
      <c r="AK95" s="201">
        <f t="shared" si="15"/>
        <v>2756.1</v>
      </c>
    </row>
    <row r="96" spans="1:37">
      <c r="A96" s="197" t="s">
        <v>107</v>
      </c>
      <c r="B96" s="197" t="str">
        <f t="shared" si="8"/>
        <v>M413.02</v>
      </c>
      <c r="C96" s="197" t="s">
        <v>155</v>
      </c>
      <c r="D96" s="197" t="s">
        <v>282</v>
      </c>
      <c r="E96" s="197">
        <f>VLOOKUP($C46,MasterData!$B$62:$L$111,2,FALSE)</f>
        <v>0.41</v>
      </c>
      <c r="F96" s="198">
        <f>ROUND(E96*MasterData!$C$4,2)</f>
        <v>21177.18</v>
      </c>
      <c r="G96" s="199">
        <f>VLOOKUP($C46,MasterData!$B$62:$L$111,3,FALSE)</f>
        <v>1</v>
      </c>
      <c r="H96" s="198">
        <f>ROUND(G96*MasterData!$D$4,2)</f>
        <v>41516.800000000003</v>
      </c>
      <c r="I96" s="199">
        <f t="shared" si="11"/>
        <v>13</v>
      </c>
      <c r="J96" s="199">
        <f>VLOOKUP($C46,MasterData!$B$62:$L$111,4,FALSE)</f>
        <v>11.6</v>
      </c>
      <c r="K96" s="198">
        <f>ROUND(J96*MasterData!$D$26,2)</f>
        <v>496960.7</v>
      </c>
      <c r="L96" s="199">
        <f>VLOOKUP($C46,MasterData!$B$62:$L$111,5,FALSE)</f>
        <v>1.4</v>
      </c>
      <c r="M96" s="200">
        <f>ROUND(L96*MasterData!$F$4,2)</f>
        <v>41496</v>
      </c>
      <c r="N96" s="199">
        <f>VLOOKUP($A96,MasterData!$B$62:$L$111,6,FALSE)</f>
        <v>2</v>
      </c>
      <c r="O96" s="211">
        <f>ROUND(N96*MasterData!$E$26,2)</f>
        <v>74801.149999999994</v>
      </c>
      <c r="P96" s="199">
        <f>VLOOKUP($A96,MasterData!$B$62:$L$111,7,FALSE)</f>
        <v>0.22</v>
      </c>
      <c r="Q96" s="198">
        <f>ROUND(P96*MasterData!$H$4,2)</f>
        <v>6520.8</v>
      </c>
      <c r="R96" s="199">
        <f>VLOOKUP($A96,MasterData!$B$62:$L$111,8,FALSE)</f>
        <v>0.12</v>
      </c>
      <c r="S96" s="200">
        <f>ROUND(R96*MasterData!$I$4,2)</f>
        <v>3863.81</v>
      </c>
      <c r="T96" s="201">
        <f t="shared" si="12"/>
        <v>686336.44000000018</v>
      </c>
      <c r="U96" s="200">
        <f>ROUND(T96*MasterData!$C$29,2)</f>
        <v>153121.66</v>
      </c>
      <c r="V96" s="200">
        <f>ROUND(T96*MasterData!$J$29,2)</f>
        <v>2539.44</v>
      </c>
      <c r="W96" s="201">
        <f t="shared" si="13"/>
        <v>839458.10000000021</v>
      </c>
      <c r="X96" s="212">
        <f>VLOOKUP($A96,MasterData!$B$62:$L$111,10,FALSE)*52</f>
        <v>104</v>
      </c>
      <c r="Y96" s="200">
        <f>ROUND(X96*MasterData!$C$7,2)</f>
        <v>6277.44</v>
      </c>
      <c r="Z96" s="199">
        <f>VLOOKUP($A96,MasterData!$B$62:$L$111,11,FALSE)*52</f>
        <v>156</v>
      </c>
      <c r="AA96" s="200">
        <f>ROUND(Z96*MasterData!$D$7,2)</f>
        <v>6605.04</v>
      </c>
      <c r="AB96" s="201">
        <f t="shared" si="14"/>
        <v>12882.48</v>
      </c>
      <c r="AC96" s="202">
        <f>MasterData!$M$29</f>
        <v>17820.45943877551</v>
      </c>
      <c r="AD96" s="200">
        <f>MasterData!$D$29</f>
        <v>2233.8000000000002</v>
      </c>
      <c r="AE96" s="200">
        <f>MasterData!$E$29</f>
        <v>6471.45</v>
      </c>
      <c r="AF96" s="200">
        <f>MasterData!$F$29</f>
        <v>0</v>
      </c>
      <c r="AG96" s="201">
        <f t="shared" si="9"/>
        <v>878866.28943877574</v>
      </c>
      <c r="AH96" s="200">
        <f>ROUND(AG96*MasterData!$G$29,2)</f>
        <v>105463.95</v>
      </c>
      <c r="AI96" s="200">
        <f>((AG96+AH96)*MasterData!$I$29)-'Model Calculator'!W96*MasterData!$I$29</f>
        <v>2578.7240820102033</v>
      </c>
      <c r="AJ96" s="201">
        <f t="shared" si="10"/>
        <v>989448.40352078585</v>
      </c>
      <c r="AK96" s="201">
        <f t="shared" si="15"/>
        <v>2851.44</v>
      </c>
    </row>
    <row r="97" spans="1:37">
      <c r="A97" s="197" t="s">
        <v>108</v>
      </c>
      <c r="B97" s="197" t="str">
        <f t="shared" si="8"/>
        <v>M413.52</v>
      </c>
      <c r="C97" s="197" t="s">
        <v>156</v>
      </c>
      <c r="D97" s="197" t="s">
        <v>282</v>
      </c>
      <c r="E97" s="197">
        <f>VLOOKUP($C47,MasterData!$B$62:$L$111,2,FALSE)</f>
        <v>0.41</v>
      </c>
      <c r="F97" s="198">
        <f>ROUND(E97*MasterData!$C$4,2)</f>
        <v>21177.18</v>
      </c>
      <c r="G97" s="199">
        <f>VLOOKUP($C47,MasterData!$B$62:$L$111,3,FALSE)</f>
        <v>1</v>
      </c>
      <c r="H97" s="198">
        <f>ROUND(G97*MasterData!$D$4,2)</f>
        <v>41516.800000000003</v>
      </c>
      <c r="I97" s="199">
        <f t="shared" si="11"/>
        <v>13.5</v>
      </c>
      <c r="J97" s="199">
        <f>VLOOKUP($C47,MasterData!$B$62:$L$111,4,FALSE)</f>
        <v>12.1</v>
      </c>
      <c r="K97" s="198">
        <f>ROUND(J97*MasterData!$D$26,2)</f>
        <v>518381.42</v>
      </c>
      <c r="L97" s="199">
        <f>VLOOKUP($C47,MasterData!$B$62:$L$111,5,FALSE)</f>
        <v>1.4</v>
      </c>
      <c r="M97" s="200">
        <f>ROUND(L97*MasterData!$F$4,2)</f>
        <v>41496</v>
      </c>
      <c r="N97" s="199">
        <f>VLOOKUP($A97,MasterData!$B$62:$L$111,6,FALSE)</f>
        <v>2.08</v>
      </c>
      <c r="O97" s="211">
        <f>ROUND(N97*MasterData!$E$26,2)</f>
        <v>77793.2</v>
      </c>
      <c r="P97" s="199">
        <f>VLOOKUP($A97,MasterData!$B$62:$L$111,7,FALSE)</f>
        <v>0.22</v>
      </c>
      <c r="Q97" s="198">
        <f>ROUND(P97*MasterData!$H$4,2)</f>
        <v>6520.8</v>
      </c>
      <c r="R97" s="199">
        <f>VLOOKUP($A97,MasterData!$B$62:$L$111,8,FALSE)</f>
        <v>0.12</v>
      </c>
      <c r="S97" s="200">
        <f>ROUND(R97*MasterData!$I$4,2)</f>
        <v>3863.81</v>
      </c>
      <c r="T97" s="201">
        <f t="shared" si="12"/>
        <v>710749.21000000008</v>
      </c>
      <c r="U97" s="200">
        <f>ROUND(T97*MasterData!$C$29,2)</f>
        <v>158568.15</v>
      </c>
      <c r="V97" s="200">
        <f>ROUND(T97*MasterData!$J$29,2)</f>
        <v>2629.77</v>
      </c>
      <c r="W97" s="201">
        <f t="shared" si="13"/>
        <v>869317.3600000001</v>
      </c>
      <c r="X97" s="212">
        <f>VLOOKUP($A97,MasterData!$B$62:$L$111,10,FALSE)*52</f>
        <v>104</v>
      </c>
      <c r="Y97" s="200">
        <f>ROUND(X97*MasterData!$C$7,2)</f>
        <v>6277.44</v>
      </c>
      <c r="Z97" s="199">
        <f>VLOOKUP($A97,MasterData!$B$62:$L$111,11,FALSE)*52</f>
        <v>156</v>
      </c>
      <c r="AA97" s="200">
        <f>ROUND(Z97*MasterData!$D$7,2)</f>
        <v>6605.04</v>
      </c>
      <c r="AB97" s="201">
        <f t="shared" si="14"/>
        <v>12882.48</v>
      </c>
      <c r="AC97" s="202">
        <f>MasterData!$M$29</f>
        <v>17820.45943877551</v>
      </c>
      <c r="AD97" s="200">
        <f>MasterData!$D$29</f>
        <v>2233.8000000000002</v>
      </c>
      <c r="AE97" s="200">
        <f>MasterData!$E$29</f>
        <v>6471.45</v>
      </c>
      <c r="AF97" s="200">
        <f>MasterData!$F$29</f>
        <v>0</v>
      </c>
      <c r="AG97" s="201">
        <f t="shared" si="9"/>
        <v>908725.54943877563</v>
      </c>
      <c r="AH97" s="200">
        <f>ROUND(AG97*MasterData!$G$29,2)</f>
        <v>109047.07</v>
      </c>
      <c r="AI97" s="200">
        <f>((AG97+AH97)*MasterData!$I$29)-'Model Calculator'!W97*MasterData!$I$29</f>
        <v>2642.5036180102034</v>
      </c>
      <c r="AJ97" s="201">
        <f t="shared" si="10"/>
        <v>1023044.8930567858</v>
      </c>
      <c r="AK97" s="201">
        <f t="shared" si="15"/>
        <v>2948.26</v>
      </c>
    </row>
    <row r="98" spans="1:37">
      <c r="A98" s="197" t="s">
        <v>109</v>
      </c>
      <c r="B98" s="197" t="str">
        <f t="shared" si="8"/>
        <v>M414.02</v>
      </c>
      <c r="C98" s="197" t="s">
        <v>157</v>
      </c>
      <c r="D98" s="197" t="s">
        <v>282</v>
      </c>
      <c r="E98" s="197">
        <f>VLOOKUP($C48,MasterData!$B$62:$L$111,2,FALSE)</f>
        <v>0.41</v>
      </c>
      <c r="F98" s="198">
        <f>ROUND(E98*MasterData!$C$4,2)</f>
        <v>21177.18</v>
      </c>
      <c r="G98" s="199">
        <f>VLOOKUP($C48,MasterData!$B$62:$L$111,3,FALSE)</f>
        <v>1</v>
      </c>
      <c r="H98" s="198">
        <f>ROUND(G98*MasterData!$D$4,2)</f>
        <v>41516.800000000003</v>
      </c>
      <c r="I98" s="199">
        <f t="shared" si="11"/>
        <v>14</v>
      </c>
      <c r="J98" s="199">
        <f>VLOOKUP($C48,MasterData!$B$62:$L$111,4,FALSE)</f>
        <v>12.6</v>
      </c>
      <c r="K98" s="198">
        <f>ROUND(J98*MasterData!$D$26,2)</f>
        <v>539802.14</v>
      </c>
      <c r="L98" s="199">
        <f>VLOOKUP($C48,MasterData!$B$62:$L$111,5,FALSE)</f>
        <v>1.4</v>
      </c>
      <c r="M98" s="200">
        <f>ROUND(L98*MasterData!$F$4,2)</f>
        <v>41496</v>
      </c>
      <c r="N98" s="199">
        <f>VLOOKUP($A98,MasterData!$B$62:$L$111,6,FALSE)</f>
        <v>2.16</v>
      </c>
      <c r="O98" s="211">
        <f>ROUND(N98*MasterData!$E$26,2)</f>
        <v>80785.25</v>
      </c>
      <c r="P98" s="199">
        <f>VLOOKUP($A98,MasterData!$B$62:$L$111,7,FALSE)</f>
        <v>0.22</v>
      </c>
      <c r="Q98" s="198">
        <f>ROUND(P98*MasterData!$H$4,2)</f>
        <v>6520.8</v>
      </c>
      <c r="R98" s="199">
        <f>VLOOKUP($A98,MasterData!$B$62:$L$111,8,FALSE)</f>
        <v>0.12</v>
      </c>
      <c r="S98" s="200">
        <f>ROUND(R98*MasterData!$I$4,2)</f>
        <v>3863.81</v>
      </c>
      <c r="T98" s="201">
        <f t="shared" si="12"/>
        <v>735161.9800000001</v>
      </c>
      <c r="U98" s="200">
        <f>ROUND(T98*MasterData!$C$29,2)</f>
        <v>164014.64000000001</v>
      </c>
      <c r="V98" s="200">
        <f>ROUND(T98*MasterData!$J$29,2)</f>
        <v>2720.1</v>
      </c>
      <c r="W98" s="201">
        <f t="shared" si="13"/>
        <v>899176.62000000011</v>
      </c>
      <c r="X98" s="212">
        <f>VLOOKUP($A98,MasterData!$B$62:$L$111,10,FALSE)*52</f>
        <v>104</v>
      </c>
      <c r="Y98" s="200">
        <f>ROUND(X98*MasterData!$C$7,2)</f>
        <v>6277.44</v>
      </c>
      <c r="Z98" s="199">
        <f>VLOOKUP($A98,MasterData!$B$62:$L$111,11,FALSE)*52</f>
        <v>156</v>
      </c>
      <c r="AA98" s="200">
        <f>ROUND(Z98*MasterData!$D$7,2)</f>
        <v>6605.04</v>
      </c>
      <c r="AB98" s="201">
        <f t="shared" si="14"/>
        <v>12882.48</v>
      </c>
      <c r="AC98" s="202">
        <f>MasterData!$M$29</f>
        <v>17820.45943877551</v>
      </c>
      <c r="AD98" s="200">
        <f>MasterData!$D$29</f>
        <v>2233.8000000000002</v>
      </c>
      <c r="AE98" s="200">
        <f>MasterData!$E$29</f>
        <v>6471.45</v>
      </c>
      <c r="AF98" s="200">
        <f>MasterData!$F$29</f>
        <v>0</v>
      </c>
      <c r="AG98" s="201">
        <f t="shared" si="9"/>
        <v>938584.80943877564</v>
      </c>
      <c r="AH98" s="200">
        <f>ROUND(AG98*MasterData!$G$29,2)</f>
        <v>112630.18</v>
      </c>
      <c r="AI98" s="200">
        <f>((AG98+AH98)*MasterData!$I$29)-'Model Calculator'!W98*MasterData!$I$29</f>
        <v>2706.2829760102049</v>
      </c>
      <c r="AJ98" s="201">
        <f t="shared" si="10"/>
        <v>1056641.3724147859</v>
      </c>
      <c r="AK98" s="201">
        <f t="shared" si="15"/>
        <v>3045.08</v>
      </c>
    </row>
    <row r="99" spans="1:37">
      <c r="A99" s="197" t="s">
        <v>110</v>
      </c>
      <c r="B99" s="197" t="str">
        <f t="shared" si="8"/>
        <v>M414.52</v>
      </c>
      <c r="C99" s="197" t="s">
        <v>158</v>
      </c>
      <c r="D99" s="197" t="s">
        <v>282</v>
      </c>
      <c r="E99" s="197">
        <f>VLOOKUP($C49,MasterData!$B$62:$L$111,2,FALSE)</f>
        <v>0.41</v>
      </c>
      <c r="F99" s="198">
        <f>ROUND(E99*MasterData!$C$4,2)</f>
        <v>21177.18</v>
      </c>
      <c r="G99" s="199">
        <f>VLOOKUP($C49,MasterData!$B$62:$L$111,3,FALSE)</f>
        <v>1</v>
      </c>
      <c r="H99" s="198">
        <f>ROUND(G99*MasterData!$D$4,2)</f>
        <v>41516.800000000003</v>
      </c>
      <c r="I99" s="199">
        <f t="shared" si="11"/>
        <v>14.5</v>
      </c>
      <c r="J99" s="199">
        <f>VLOOKUP($C49,MasterData!$B$62:$L$111,4,FALSE)</f>
        <v>13.1</v>
      </c>
      <c r="K99" s="198">
        <f>ROUND(J99*MasterData!$D$26,2)</f>
        <v>561222.86</v>
      </c>
      <c r="L99" s="199">
        <f>VLOOKUP($C49,MasterData!$B$62:$L$111,5,FALSE)</f>
        <v>1.4</v>
      </c>
      <c r="M99" s="200">
        <f>ROUND(L99*MasterData!$F$4,2)</f>
        <v>41496</v>
      </c>
      <c r="N99" s="199">
        <f>VLOOKUP($A99,MasterData!$B$62:$L$111,6,FALSE)</f>
        <v>2.23</v>
      </c>
      <c r="O99" s="211">
        <f>ROUND(N99*MasterData!$E$26,2)</f>
        <v>83403.289999999994</v>
      </c>
      <c r="P99" s="199">
        <f>VLOOKUP($A99,MasterData!$B$62:$L$111,7,FALSE)</f>
        <v>0.22</v>
      </c>
      <c r="Q99" s="198">
        <f>ROUND(P99*MasterData!$H$4,2)</f>
        <v>6520.8</v>
      </c>
      <c r="R99" s="199">
        <f>VLOOKUP($A99,MasterData!$B$62:$L$111,8,FALSE)</f>
        <v>0.12</v>
      </c>
      <c r="S99" s="200">
        <f>ROUND(R99*MasterData!$I$4,2)</f>
        <v>3863.81</v>
      </c>
      <c r="T99" s="201">
        <f t="shared" si="12"/>
        <v>759200.74000000011</v>
      </c>
      <c r="U99" s="200">
        <f>ROUND(T99*MasterData!$C$29,2)</f>
        <v>169377.69</v>
      </c>
      <c r="V99" s="200">
        <f>ROUND(T99*MasterData!$J$29,2)</f>
        <v>2809.04</v>
      </c>
      <c r="W99" s="201">
        <f t="shared" si="13"/>
        <v>928578.43000000017</v>
      </c>
      <c r="X99" s="212">
        <f>VLOOKUP($A99,MasterData!$B$62:$L$111,10,FALSE)*52</f>
        <v>104</v>
      </c>
      <c r="Y99" s="200">
        <f>ROUND(X99*MasterData!$C$7,2)</f>
        <v>6277.44</v>
      </c>
      <c r="Z99" s="199">
        <f>VLOOKUP($A99,MasterData!$B$62:$L$111,11,FALSE)*52</f>
        <v>156</v>
      </c>
      <c r="AA99" s="200">
        <f>ROUND(Z99*MasterData!$D$7,2)</f>
        <v>6605.04</v>
      </c>
      <c r="AB99" s="201">
        <f t="shared" si="14"/>
        <v>12882.48</v>
      </c>
      <c r="AC99" s="202">
        <f>MasterData!$M$29</f>
        <v>17820.45943877551</v>
      </c>
      <c r="AD99" s="200">
        <f>MasterData!$D$29</f>
        <v>2233.8000000000002</v>
      </c>
      <c r="AE99" s="200">
        <f>MasterData!$E$29</f>
        <v>6471.45</v>
      </c>
      <c r="AF99" s="200">
        <f>MasterData!$F$29</f>
        <v>0</v>
      </c>
      <c r="AG99" s="201">
        <f t="shared" si="9"/>
        <v>967986.6194387757</v>
      </c>
      <c r="AH99" s="200">
        <f>ROUND(AG99*MasterData!$G$29,2)</f>
        <v>116158.39</v>
      </c>
      <c r="AI99" s="200">
        <f>((AG99+AH99)*MasterData!$I$29)-'Model Calculator'!W99*MasterData!$I$29</f>
        <v>2769.0851140102022</v>
      </c>
      <c r="AJ99" s="201">
        <f t="shared" si="10"/>
        <v>1089723.1345527859</v>
      </c>
      <c r="AK99" s="201">
        <f t="shared" si="15"/>
        <v>3140.41</v>
      </c>
    </row>
    <row r="100" spans="1:37">
      <c r="A100" s="197" t="s">
        <v>111</v>
      </c>
      <c r="B100" s="197" t="str">
        <f t="shared" si="8"/>
        <v>M415.02</v>
      </c>
      <c r="C100" s="197" t="s">
        <v>159</v>
      </c>
      <c r="D100" s="197" t="s">
        <v>282</v>
      </c>
      <c r="E100" s="197">
        <f>VLOOKUP($C50,MasterData!$B$62:$L$111,2,FALSE)</f>
        <v>0.41</v>
      </c>
      <c r="F100" s="198">
        <f>ROUND(E100*MasterData!$C$4,2)</f>
        <v>21177.18</v>
      </c>
      <c r="G100" s="199">
        <f>VLOOKUP($C50,MasterData!$B$62:$L$111,3,FALSE)</f>
        <v>1</v>
      </c>
      <c r="H100" s="198">
        <f>ROUND(G100*MasterData!$D$4,2)</f>
        <v>41516.800000000003</v>
      </c>
      <c r="I100" s="199">
        <f t="shared" si="11"/>
        <v>15</v>
      </c>
      <c r="J100" s="199">
        <f>VLOOKUP($C50,MasterData!$B$62:$L$111,4,FALSE)</f>
        <v>13.6</v>
      </c>
      <c r="K100" s="198">
        <f>ROUND(J100*MasterData!$D$26,2)</f>
        <v>582643.57999999996</v>
      </c>
      <c r="L100" s="199">
        <f>VLOOKUP($C50,MasterData!$B$62:$L$111,5,FALSE)</f>
        <v>1.4</v>
      </c>
      <c r="M100" s="200">
        <f>ROUND(L100*MasterData!$F$4,2)</f>
        <v>41496</v>
      </c>
      <c r="N100" s="199">
        <f>VLOOKUP($A100,MasterData!$B$62:$L$111,6,FALSE)</f>
        <v>2.31</v>
      </c>
      <c r="O100" s="211">
        <f>ROUND(N100*MasterData!$E$26,2)</f>
        <v>86395.33</v>
      </c>
      <c r="P100" s="199">
        <f>VLOOKUP($A100,MasterData!$B$62:$L$111,7,FALSE)</f>
        <v>0.22</v>
      </c>
      <c r="Q100" s="198">
        <f>ROUND(P100*MasterData!$H$4,2)</f>
        <v>6520.8</v>
      </c>
      <c r="R100" s="199">
        <f>VLOOKUP($A100,MasterData!$B$62:$L$111,8,FALSE)</f>
        <v>0.12</v>
      </c>
      <c r="S100" s="200">
        <f>ROUND(R100*MasterData!$I$4,2)</f>
        <v>3863.81</v>
      </c>
      <c r="T100" s="201">
        <f t="shared" si="12"/>
        <v>783613.5</v>
      </c>
      <c r="U100" s="200">
        <f>ROUND(T100*MasterData!$C$29,2)</f>
        <v>174824.17</v>
      </c>
      <c r="V100" s="200">
        <f>ROUND(T100*MasterData!$J$29,2)</f>
        <v>2899.37</v>
      </c>
      <c r="W100" s="201">
        <f t="shared" si="13"/>
        <v>958437.67</v>
      </c>
      <c r="X100" s="212">
        <f>VLOOKUP($A100,MasterData!$B$62:$L$111,10,FALSE)*52</f>
        <v>104</v>
      </c>
      <c r="Y100" s="200">
        <f>ROUND(X100*MasterData!$C$7,2)</f>
        <v>6277.44</v>
      </c>
      <c r="Z100" s="199">
        <f>VLOOKUP($A100,MasterData!$B$62:$L$111,11,FALSE)*52</f>
        <v>156</v>
      </c>
      <c r="AA100" s="200">
        <f>ROUND(Z100*MasterData!$D$7,2)</f>
        <v>6605.04</v>
      </c>
      <c r="AB100" s="201">
        <f t="shared" si="14"/>
        <v>12882.48</v>
      </c>
      <c r="AC100" s="202">
        <f>MasterData!$M$29</f>
        <v>17820.45943877551</v>
      </c>
      <c r="AD100" s="200">
        <f>MasterData!$D$29</f>
        <v>2233.8000000000002</v>
      </c>
      <c r="AE100" s="200">
        <f>MasterData!$E$29</f>
        <v>6471.45</v>
      </c>
      <c r="AF100" s="200">
        <f>MasterData!$F$29</f>
        <v>0</v>
      </c>
      <c r="AG100" s="201">
        <f t="shared" si="9"/>
        <v>997845.85943877557</v>
      </c>
      <c r="AH100" s="200">
        <f>ROUND(AG100*MasterData!$G$29,2)</f>
        <v>119741.5</v>
      </c>
      <c r="AI100" s="200">
        <f>((AG100+AH100)*MasterData!$I$29)-'Model Calculator'!W100*MasterData!$I$29</f>
        <v>2832.864472010202</v>
      </c>
      <c r="AJ100" s="201">
        <f t="shared" si="10"/>
        <v>1123319.5939107859</v>
      </c>
      <c r="AK100" s="201">
        <f t="shared" si="15"/>
        <v>3237.23</v>
      </c>
    </row>
    <row r="101" spans="1:37">
      <c r="A101" s="197" t="s">
        <v>112</v>
      </c>
      <c r="B101" s="197" t="str">
        <f t="shared" si="8"/>
        <v>M415.52</v>
      </c>
      <c r="C101" s="197" t="s">
        <v>160</v>
      </c>
      <c r="D101" s="197" t="s">
        <v>282</v>
      </c>
      <c r="E101" s="197">
        <f>VLOOKUP($C51,MasterData!$B$62:$L$111,2,FALSE)</f>
        <v>0.41</v>
      </c>
      <c r="F101" s="198">
        <f>ROUND(E101*MasterData!$C$4,2)</f>
        <v>21177.18</v>
      </c>
      <c r="G101" s="199">
        <f>VLOOKUP($C51,MasterData!$B$62:$L$111,3,FALSE)</f>
        <v>1</v>
      </c>
      <c r="H101" s="198">
        <f>ROUND(G101*MasterData!$D$4,2)</f>
        <v>41516.800000000003</v>
      </c>
      <c r="I101" s="199">
        <f t="shared" si="11"/>
        <v>15.5</v>
      </c>
      <c r="J101" s="199">
        <f>VLOOKUP($C51,MasterData!$B$62:$L$111,4,FALSE)</f>
        <v>14.1</v>
      </c>
      <c r="K101" s="198">
        <f>ROUND(J101*MasterData!$D$26,2)</f>
        <v>604064.30000000005</v>
      </c>
      <c r="L101" s="199">
        <f>VLOOKUP($C51,MasterData!$B$62:$L$111,5,FALSE)</f>
        <v>1.4</v>
      </c>
      <c r="M101" s="200">
        <f>ROUND(L101*MasterData!$F$4,2)</f>
        <v>41496</v>
      </c>
      <c r="N101" s="199">
        <f>VLOOKUP($A101,MasterData!$B$62:$L$111,6,FALSE)</f>
        <v>2.39</v>
      </c>
      <c r="O101" s="211">
        <f>ROUND(N101*MasterData!$E$26,2)</f>
        <v>89387.38</v>
      </c>
      <c r="P101" s="199">
        <f>VLOOKUP($A101,MasterData!$B$62:$L$111,7,FALSE)</f>
        <v>0.22</v>
      </c>
      <c r="Q101" s="198">
        <f>ROUND(P101*MasterData!$H$4,2)</f>
        <v>6520.8</v>
      </c>
      <c r="R101" s="199">
        <f>VLOOKUP($A101,MasterData!$B$62:$L$111,8,FALSE)</f>
        <v>0.12</v>
      </c>
      <c r="S101" s="200">
        <f>ROUND(R101*MasterData!$I$4,2)</f>
        <v>3863.81</v>
      </c>
      <c r="T101" s="201">
        <f t="shared" si="12"/>
        <v>808026.27000000014</v>
      </c>
      <c r="U101" s="200">
        <f>ROUND(T101*MasterData!$C$29,2)</f>
        <v>180270.66</v>
      </c>
      <c r="V101" s="200">
        <f>ROUND(T101*MasterData!$J$29,2)</f>
        <v>2989.7</v>
      </c>
      <c r="W101" s="201">
        <f t="shared" si="13"/>
        <v>988296.93000000017</v>
      </c>
      <c r="X101" s="212">
        <f>VLOOKUP($A101,MasterData!$B$62:$L$111,10,FALSE)*52</f>
        <v>104</v>
      </c>
      <c r="Y101" s="200">
        <f>ROUND(X101*MasterData!$C$7,2)</f>
        <v>6277.44</v>
      </c>
      <c r="Z101" s="199">
        <f>VLOOKUP($A101,MasterData!$B$62:$L$111,11,FALSE)*52</f>
        <v>156</v>
      </c>
      <c r="AA101" s="200">
        <f>ROUND(Z101*MasterData!$D$7,2)</f>
        <v>6605.04</v>
      </c>
      <c r="AB101" s="201">
        <f t="shared" si="14"/>
        <v>12882.48</v>
      </c>
      <c r="AC101" s="202">
        <f>MasterData!$M$29</f>
        <v>17820.45943877551</v>
      </c>
      <c r="AD101" s="200">
        <f>MasterData!$D$29</f>
        <v>2233.8000000000002</v>
      </c>
      <c r="AE101" s="200">
        <f>MasterData!$E$29</f>
        <v>6471.45</v>
      </c>
      <c r="AF101" s="200">
        <f>MasterData!$F$29</f>
        <v>0</v>
      </c>
      <c r="AG101" s="201">
        <f t="shared" si="9"/>
        <v>1027705.1194387757</v>
      </c>
      <c r="AH101" s="200">
        <f>ROUND(AG101*MasterData!$G$29,2)</f>
        <v>123324.61</v>
      </c>
      <c r="AI101" s="200">
        <f>((AG101+AH101)*MasterData!$I$29)-'Model Calculator'!W101*MasterData!$I$29</f>
        <v>2896.6438300102054</v>
      </c>
      <c r="AJ101" s="201">
        <f t="shared" si="10"/>
        <v>1156916.0732687858</v>
      </c>
      <c r="AK101" s="201">
        <f t="shared" si="15"/>
        <v>3334.05</v>
      </c>
    </row>
    <row r="102" spans="1:37" hidden="1">
      <c r="A102" s="197" t="s">
        <v>89</v>
      </c>
      <c r="B102" s="197" t="str">
        <f t="shared" si="8"/>
        <v>M403.53</v>
      </c>
      <c r="C102" s="197" t="s">
        <v>161</v>
      </c>
      <c r="D102" s="197" t="s">
        <v>282</v>
      </c>
      <c r="E102" s="197">
        <f>VLOOKUP($C27,MasterData!$B$62:$L$111,2,FALSE)</f>
        <v>0.41</v>
      </c>
      <c r="F102" s="198">
        <f>ROUND(E102*MasterData!$C$4,2)</f>
        <v>21177.18</v>
      </c>
      <c r="G102" s="199">
        <f>VLOOKUP($C27,MasterData!$B$62:$L$111,3,FALSE)</f>
        <v>1</v>
      </c>
      <c r="H102" s="198">
        <f>ROUND(G102*MasterData!$D$4,2)</f>
        <v>41516.800000000003</v>
      </c>
      <c r="I102" s="199">
        <f t="shared" si="11"/>
        <v>3.5</v>
      </c>
      <c r="J102" s="199">
        <f>VLOOKUP($C27,MasterData!$B$62:$L$111,4,FALSE)</f>
        <v>2.1</v>
      </c>
      <c r="K102" s="198">
        <f>ROUND(J102*MasterData!$F$26,2)</f>
        <v>98551.35</v>
      </c>
      <c r="L102" s="199">
        <f>VLOOKUP($C27,MasterData!$B$62:$L$111,5,FALSE)</f>
        <v>1.4</v>
      </c>
      <c r="M102" s="200">
        <f>ROUND(L102*MasterData!$F$4,2)</f>
        <v>41496</v>
      </c>
      <c r="N102" s="199">
        <f>VLOOKUP($A102,MasterData!$B$62:$L$111,6,FALSE)</f>
        <v>0.54</v>
      </c>
      <c r="O102" s="211">
        <f>ROUND(N102*MasterData!$G$26,2)</f>
        <v>22123.37</v>
      </c>
      <c r="P102" s="199">
        <f>VLOOKUP($A102,MasterData!$B$62:$L$111,7,FALSE)</f>
        <v>0.22</v>
      </c>
      <c r="Q102" s="198">
        <f>ROUND(P102*MasterData!$H$4,2)</f>
        <v>6520.8</v>
      </c>
      <c r="R102" s="199">
        <f>VLOOKUP($A102,MasterData!$B$62:$L$111,8,FALSE)</f>
        <v>0.12</v>
      </c>
      <c r="S102" s="200">
        <f>ROUND(R102*MasterData!$I$4,2)</f>
        <v>3863.81</v>
      </c>
      <c r="T102" s="201">
        <f t="shared" si="12"/>
        <v>235249.31</v>
      </c>
      <c r="U102" s="200">
        <f>ROUND(T102*MasterData!$C$29,2)</f>
        <v>52484.12</v>
      </c>
      <c r="V102" s="200">
        <f>ROUND(T102*MasterData!$J$29,2)</f>
        <v>870.42</v>
      </c>
      <c r="W102" s="201">
        <f t="shared" si="13"/>
        <v>287733.43</v>
      </c>
      <c r="X102" s="212">
        <f>VLOOKUP($A102,MasterData!$B$62:$L$111,10,FALSE)*52</f>
        <v>104</v>
      </c>
      <c r="Y102" s="200">
        <f>ROUND(X102*MasterData!$C$7,2)</f>
        <v>6277.44</v>
      </c>
      <c r="Z102" s="199">
        <f>VLOOKUP($A102,MasterData!$B$62:$L$111,11,FALSE)*52</f>
        <v>156</v>
      </c>
      <c r="AA102" s="200">
        <f>ROUND(Z102*MasterData!$D$7,2)</f>
        <v>6605.04</v>
      </c>
      <c r="AB102" s="201">
        <f t="shared" si="14"/>
        <v>12882.48</v>
      </c>
      <c r="AC102" s="202">
        <f>MasterData!$M$29</f>
        <v>17820.45943877551</v>
      </c>
      <c r="AD102" s="200">
        <f>MasterData!$D$29</f>
        <v>2233.8000000000002</v>
      </c>
      <c r="AE102" s="200">
        <f>MasterData!$E$29</f>
        <v>6471.45</v>
      </c>
      <c r="AF102" s="200">
        <f>MasterData!$F$29</f>
        <v>0</v>
      </c>
      <c r="AG102" s="201">
        <f t="shared" si="9"/>
        <v>327141.61943877547</v>
      </c>
      <c r="AH102" s="200">
        <f>ROUND(AG102*MasterData!$G$29,2)</f>
        <v>39256.99</v>
      </c>
      <c r="AI102" s="200">
        <f>((AG102+AH102)*MasterData!$I$29)-'Model Calculator'!W102*MasterData!$I$29</f>
        <v>1400.2401940102036</v>
      </c>
      <c r="AJ102" s="201">
        <f t="shared" si="10"/>
        <v>368669.26963278564</v>
      </c>
      <c r="AK102" s="201">
        <f t="shared" si="15"/>
        <v>1062.45</v>
      </c>
    </row>
    <row r="103" spans="1:37" hidden="1">
      <c r="A103" s="197" t="s">
        <v>90</v>
      </c>
      <c r="B103" s="197" t="str">
        <f t="shared" si="8"/>
        <v>M404.03</v>
      </c>
      <c r="C103" s="197" t="s">
        <v>162</v>
      </c>
      <c r="D103" s="197" t="s">
        <v>282</v>
      </c>
      <c r="E103" s="197">
        <f>VLOOKUP($C28,MasterData!$B$62:$L$111,2,FALSE)</f>
        <v>0.41</v>
      </c>
      <c r="F103" s="198">
        <f>ROUND(E103*MasterData!$C$4,2)</f>
        <v>21177.18</v>
      </c>
      <c r="G103" s="199">
        <f>VLOOKUP($C28,MasterData!$B$62:$L$111,3,FALSE)</f>
        <v>1</v>
      </c>
      <c r="H103" s="198">
        <f>ROUND(G103*MasterData!$D$4,2)</f>
        <v>41516.800000000003</v>
      </c>
      <c r="I103" s="199">
        <f t="shared" si="11"/>
        <v>4</v>
      </c>
      <c r="J103" s="199">
        <f>VLOOKUP($C28,MasterData!$B$62:$L$111,4,FALSE)</f>
        <v>2.6</v>
      </c>
      <c r="K103" s="198">
        <f>ROUND(J103*MasterData!$F$26,2)</f>
        <v>122015.96</v>
      </c>
      <c r="L103" s="199">
        <f>VLOOKUP($C28,MasterData!$B$62:$L$111,5,FALSE)</f>
        <v>1.4</v>
      </c>
      <c r="M103" s="200">
        <f>ROUND(L103*MasterData!$F$4,2)</f>
        <v>41496</v>
      </c>
      <c r="N103" s="199">
        <f>VLOOKUP($A103,MasterData!$B$62:$L$111,6,FALSE)</f>
        <v>0.62</v>
      </c>
      <c r="O103" s="211">
        <f>ROUND(N103*MasterData!$G$26,2)</f>
        <v>25400.91</v>
      </c>
      <c r="P103" s="199">
        <f>VLOOKUP($A103,MasterData!$B$62:$L$111,7,FALSE)</f>
        <v>0.22</v>
      </c>
      <c r="Q103" s="198">
        <f>ROUND(P103*MasterData!$H$4,2)</f>
        <v>6520.8</v>
      </c>
      <c r="R103" s="199">
        <f>VLOOKUP($A103,MasterData!$B$62:$L$111,8,FALSE)</f>
        <v>0.12</v>
      </c>
      <c r="S103" s="200">
        <f>ROUND(R103*MasterData!$I$4,2)</f>
        <v>3863.81</v>
      </c>
      <c r="T103" s="201">
        <f t="shared" si="12"/>
        <v>261991.46</v>
      </c>
      <c r="U103" s="200">
        <f>ROUND(T103*MasterData!$C$29,2)</f>
        <v>58450.29</v>
      </c>
      <c r="V103" s="200">
        <f>ROUND(T103*MasterData!$J$29,2)</f>
        <v>969.37</v>
      </c>
      <c r="W103" s="201">
        <f t="shared" si="13"/>
        <v>320441.75</v>
      </c>
      <c r="X103" s="212">
        <f>VLOOKUP($A103,MasterData!$B$62:$L$111,10,FALSE)*52</f>
        <v>104</v>
      </c>
      <c r="Y103" s="200">
        <f>ROUND(X103*MasterData!$C$7,2)</f>
        <v>6277.44</v>
      </c>
      <c r="Z103" s="199">
        <f>VLOOKUP($A103,MasterData!$B$62:$L$111,11,FALSE)*52</f>
        <v>156</v>
      </c>
      <c r="AA103" s="200">
        <f>ROUND(Z103*MasterData!$D$7,2)</f>
        <v>6605.04</v>
      </c>
      <c r="AB103" s="201">
        <f t="shared" si="14"/>
        <v>12882.48</v>
      </c>
      <c r="AC103" s="202">
        <f>MasterData!$M$29</f>
        <v>17820.45943877551</v>
      </c>
      <c r="AD103" s="200">
        <f>MasterData!$D$29</f>
        <v>2233.8000000000002</v>
      </c>
      <c r="AE103" s="200">
        <f>MasterData!$E$29</f>
        <v>6471.45</v>
      </c>
      <c r="AF103" s="200">
        <f>MasterData!$F$29</f>
        <v>0</v>
      </c>
      <c r="AG103" s="201">
        <f t="shared" si="9"/>
        <v>359849.93943877547</v>
      </c>
      <c r="AH103" s="200">
        <f>ROUND(AG103*MasterData!$G$29,2)</f>
        <v>43181.99</v>
      </c>
      <c r="AI103" s="200">
        <f>((AG103+AH103)*MasterData!$I$29)-'Model Calculator'!W103*MasterData!$I$29</f>
        <v>1470.1051940102034</v>
      </c>
      <c r="AJ103" s="201">
        <f t="shared" si="10"/>
        <v>405471.40463278565</v>
      </c>
      <c r="AK103" s="201">
        <f t="shared" si="15"/>
        <v>1168.51</v>
      </c>
    </row>
    <row r="104" spans="1:37" hidden="1">
      <c r="A104" s="197" t="s">
        <v>91</v>
      </c>
      <c r="B104" s="197" t="str">
        <f t="shared" si="8"/>
        <v>M404.53</v>
      </c>
      <c r="C104" s="197" t="s">
        <v>163</v>
      </c>
      <c r="D104" s="197" t="s">
        <v>282</v>
      </c>
      <c r="E104" s="197">
        <f>VLOOKUP($C29,MasterData!$B$62:$L$111,2,FALSE)</f>
        <v>0.41</v>
      </c>
      <c r="F104" s="198">
        <f>ROUND(E104*MasterData!$C$4,2)</f>
        <v>21177.18</v>
      </c>
      <c r="G104" s="199">
        <f>VLOOKUP($C29,MasterData!$B$62:$L$111,3,FALSE)</f>
        <v>1</v>
      </c>
      <c r="H104" s="198">
        <f>ROUND(G104*MasterData!$D$4,2)</f>
        <v>41516.800000000003</v>
      </c>
      <c r="I104" s="199">
        <f t="shared" si="11"/>
        <v>4.5</v>
      </c>
      <c r="J104" s="199">
        <f>VLOOKUP($C29,MasterData!$B$62:$L$111,4,FALSE)</f>
        <v>3.1</v>
      </c>
      <c r="K104" s="198">
        <f>ROUND(J104*MasterData!$F$26,2)</f>
        <v>145480.57</v>
      </c>
      <c r="L104" s="199">
        <f>VLOOKUP($C29,MasterData!$B$62:$L$111,5,FALSE)</f>
        <v>1.4</v>
      </c>
      <c r="M104" s="200">
        <f>ROUND(L104*MasterData!$F$4,2)</f>
        <v>41496</v>
      </c>
      <c r="N104" s="199">
        <f>VLOOKUP($A104,MasterData!$B$62:$L$111,6,FALSE)</f>
        <v>0.69</v>
      </c>
      <c r="O104" s="211">
        <f>ROUND(N104*MasterData!$G$26,2)</f>
        <v>28268.75</v>
      </c>
      <c r="P104" s="199">
        <f>VLOOKUP($A104,MasterData!$B$62:$L$111,7,FALSE)</f>
        <v>0.22</v>
      </c>
      <c r="Q104" s="198">
        <f>ROUND(P104*MasterData!$H$4,2)</f>
        <v>6520.8</v>
      </c>
      <c r="R104" s="199">
        <f>VLOOKUP($A104,MasterData!$B$62:$L$111,8,FALSE)</f>
        <v>0.12</v>
      </c>
      <c r="S104" s="200">
        <f>ROUND(R104*MasterData!$I$4,2)</f>
        <v>3863.81</v>
      </c>
      <c r="T104" s="201">
        <f t="shared" si="12"/>
        <v>288323.91000000003</v>
      </c>
      <c r="U104" s="200">
        <f>ROUND(T104*MasterData!$C$29,2)</f>
        <v>64325.06</v>
      </c>
      <c r="V104" s="200">
        <f>ROUND(T104*MasterData!$J$29,2)</f>
        <v>1066.8</v>
      </c>
      <c r="W104" s="201">
        <f t="shared" si="13"/>
        <v>352648.97000000003</v>
      </c>
      <c r="X104" s="212">
        <f>VLOOKUP($A104,MasterData!$B$62:$L$111,10,FALSE)*52</f>
        <v>104</v>
      </c>
      <c r="Y104" s="200">
        <f>ROUND(X104*MasterData!$C$7,2)</f>
        <v>6277.44</v>
      </c>
      <c r="Z104" s="199">
        <f>VLOOKUP($A104,MasterData!$B$62:$L$111,11,FALSE)*52</f>
        <v>156</v>
      </c>
      <c r="AA104" s="200">
        <f>ROUND(Z104*MasterData!$D$7,2)</f>
        <v>6605.04</v>
      </c>
      <c r="AB104" s="201">
        <f t="shared" si="14"/>
        <v>12882.48</v>
      </c>
      <c r="AC104" s="202">
        <f>MasterData!$M$29</f>
        <v>17820.45943877551</v>
      </c>
      <c r="AD104" s="200">
        <f>MasterData!$D$29</f>
        <v>2233.8000000000002</v>
      </c>
      <c r="AE104" s="200">
        <f>MasterData!$E$29</f>
        <v>6471.45</v>
      </c>
      <c r="AF104" s="200">
        <f>MasterData!$F$29</f>
        <v>0</v>
      </c>
      <c r="AG104" s="201">
        <f t="shared" si="9"/>
        <v>392057.1594387755</v>
      </c>
      <c r="AH104" s="200">
        <f>ROUND(AG104*MasterData!$G$29,2)</f>
        <v>47046.86</v>
      </c>
      <c r="AI104" s="200">
        <f>((AG104+AH104)*MasterData!$I$29)-'Model Calculator'!W104*MasterData!$I$29</f>
        <v>1538.8998800102027</v>
      </c>
      <c r="AJ104" s="201">
        <f t="shared" si="10"/>
        <v>441709.7193187857</v>
      </c>
      <c r="AK104" s="201">
        <f t="shared" si="15"/>
        <v>1272.94</v>
      </c>
    </row>
    <row r="105" spans="1:37" hidden="1">
      <c r="A105" s="197" t="s">
        <v>92</v>
      </c>
      <c r="B105" s="197" t="str">
        <f t="shared" si="8"/>
        <v>M405.03</v>
      </c>
      <c r="C105" s="197" t="s">
        <v>164</v>
      </c>
      <c r="D105" s="197" t="s">
        <v>282</v>
      </c>
      <c r="E105" s="197">
        <f>VLOOKUP($C30,MasterData!$B$62:$L$111,2,FALSE)</f>
        <v>0.41</v>
      </c>
      <c r="F105" s="198">
        <f>ROUND(E105*MasterData!$C$4,2)</f>
        <v>21177.18</v>
      </c>
      <c r="G105" s="199">
        <f>VLOOKUP($C30,MasterData!$B$62:$L$111,3,FALSE)</f>
        <v>1</v>
      </c>
      <c r="H105" s="198">
        <f>ROUND(G105*MasterData!$D$4,2)</f>
        <v>41516.800000000003</v>
      </c>
      <c r="I105" s="199">
        <f t="shared" si="11"/>
        <v>5</v>
      </c>
      <c r="J105" s="199">
        <f>VLOOKUP($C30,MasterData!$B$62:$L$111,4,FALSE)</f>
        <v>3.6</v>
      </c>
      <c r="K105" s="198">
        <f>ROUND(J105*MasterData!$F$26,2)</f>
        <v>168945.18</v>
      </c>
      <c r="L105" s="199">
        <f>VLOOKUP($C30,MasterData!$B$62:$L$111,5,FALSE)</f>
        <v>1.4</v>
      </c>
      <c r="M105" s="200">
        <f>ROUND(L105*MasterData!$F$4,2)</f>
        <v>41496</v>
      </c>
      <c r="N105" s="199">
        <f>VLOOKUP($A105,MasterData!$B$62:$L$111,6,FALSE)</f>
        <v>0.77</v>
      </c>
      <c r="O105" s="211">
        <f>ROUND(N105*MasterData!$G$26,2)</f>
        <v>31546.29</v>
      </c>
      <c r="P105" s="199">
        <f>VLOOKUP($A105,MasterData!$B$62:$L$111,7,FALSE)</f>
        <v>0.22</v>
      </c>
      <c r="Q105" s="198">
        <f>ROUND(P105*MasterData!$H$4,2)</f>
        <v>6520.8</v>
      </c>
      <c r="R105" s="199">
        <f>VLOOKUP($A105,MasterData!$B$62:$L$111,8,FALSE)</f>
        <v>0.12</v>
      </c>
      <c r="S105" s="200">
        <f>ROUND(R105*MasterData!$I$4,2)</f>
        <v>3863.81</v>
      </c>
      <c r="T105" s="201">
        <f t="shared" si="12"/>
        <v>315066.06</v>
      </c>
      <c r="U105" s="200">
        <f>ROUND(T105*MasterData!$C$29,2)</f>
        <v>70291.240000000005</v>
      </c>
      <c r="V105" s="200">
        <f>ROUND(T105*MasterData!$J$29,2)</f>
        <v>1165.74</v>
      </c>
      <c r="W105" s="201">
        <f t="shared" si="13"/>
        <v>385357.3</v>
      </c>
      <c r="X105" s="212">
        <f>VLOOKUP($A105,MasterData!$B$62:$L$111,10,FALSE)*52</f>
        <v>104</v>
      </c>
      <c r="Y105" s="200">
        <f>ROUND(X105*MasterData!$C$7,2)</f>
        <v>6277.44</v>
      </c>
      <c r="Z105" s="199">
        <f>VLOOKUP($A105,MasterData!$B$62:$L$111,11,FALSE)*52</f>
        <v>156</v>
      </c>
      <c r="AA105" s="200">
        <f>ROUND(Z105*MasterData!$D$7,2)</f>
        <v>6605.04</v>
      </c>
      <c r="AB105" s="201">
        <f t="shared" si="14"/>
        <v>12882.48</v>
      </c>
      <c r="AC105" s="202">
        <f>MasterData!$M$29</f>
        <v>17820.45943877551</v>
      </c>
      <c r="AD105" s="200">
        <f>MasterData!$D$29</f>
        <v>2233.8000000000002</v>
      </c>
      <c r="AE105" s="200">
        <f>MasterData!$E$29</f>
        <v>6471.45</v>
      </c>
      <c r="AF105" s="200">
        <f>MasterData!$F$29</f>
        <v>0</v>
      </c>
      <c r="AG105" s="201">
        <f t="shared" si="9"/>
        <v>424765.48943877546</v>
      </c>
      <c r="AH105" s="200">
        <f>ROUND(AG105*MasterData!$G$29,2)</f>
        <v>50971.86</v>
      </c>
      <c r="AI105" s="200">
        <f>((AG105+AH105)*MasterData!$I$29)-'Model Calculator'!W105*MasterData!$I$29</f>
        <v>1608.7648800102043</v>
      </c>
      <c r="AJ105" s="201">
        <f t="shared" si="10"/>
        <v>478511.85431878566</v>
      </c>
      <c r="AK105" s="201">
        <f t="shared" si="15"/>
        <v>1379</v>
      </c>
    </row>
    <row r="106" spans="1:37" hidden="1">
      <c r="A106" s="197" t="s">
        <v>93</v>
      </c>
      <c r="B106" s="197" t="str">
        <f t="shared" si="8"/>
        <v>M405.53</v>
      </c>
      <c r="C106" s="197" t="s">
        <v>165</v>
      </c>
      <c r="D106" s="197" t="s">
        <v>282</v>
      </c>
      <c r="E106" s="197">
        <f>VLOOKUP($C31,MasterData!$B$62:$L$111,2,FALSE)</f>
        <v>0.41</v>
      </c>
      <c r="F106" s="198">
        <f>ROUND(E106*MasterData!$C$4,2)</f>
        <v>21177.18</v>
      </c>
      <c r="G106" s="199">
        <f>VLOOKUP($C31,MasterData!$B$62:$L$111,3,FALSE)</f>
        <v>1</v>
      </c>
      <c r="H106" s="198">
        <f>ROUND(G106*MasterData!$D$4,2)</f>
        <v>41516.800000000003</v>
      </c>
      <c r="I106" s="199">
        <f t="shared" si="11"/>
        <v>5.5</v>
      </c>
      <c r="J106" s="199">
        <f>VLOOKUP($C31,MasterData!$B$62:$L$111,4,FALSE)</f>
        <v>4.0999999999999996</v>
      </c>
      <c r="K106" s="198">
        <f>ROUND(J106*MasterData!$F$26,2)</f>
        <v>192409.79</v>
      </c>
      <c r="L106" s="199">
        <f>VLOOKUP($C31,MasterData!$B$62:$L$111,5,FALSE)</f>
        <v>1.4</v>
      </c>
      <c r="M106" s="200">
        <f>ROUND(L106*MasterData!$F$4,2)</f>
        <v>41496</v>
      </c>
      <c r="N106" s="199">
        <f>VLOOKUP($A106,MasterData!$B$62:$L$111,6,FALSE)</f>
        <v>0.85</v>
      </c>
      <c r="O106" s="211">
        <f>ROUND(N106*MasterData!$G$26,2)</f>
        <v>34823.82</v>
      </c>
      <c r="P106" s="199">
        <f>VLOOKUP($A106,MasterData!$B$62:$L$111,7,FALSE)</f>
        <v>0.22</v>
      </c>
      <c r="Q106" s="198">
        <f>ROUND(P106*MasterData!$H$4,2)</f>
        <v>6520.8</v>
      </c>
      <c r="R106" s="199">
        <f>VLOOKUP($A106,MasterData!$B$62:$L$111,8,FALSE)</f>
        <v>0.12</v>
      </c>
      <c r="S106" s="200">
        <f>ROUND(R106*MasterData!$I$4,2)</f>
        <v>3863.81</v>
      </c>
      <c r="T106" s="201">
        <f t="shared" si="12"/>
        <v>341808.2</v>
      </c>
      <c r="U106" s="200">
        <f>ROUND(T106*MasterData!$C$29,2)</f>
        <v>76257.41</v>
      </c>
      <c r="V106" s="200">
        <f>ROUND(T106*MasterData!$J$29,2)</f>
        <v>1264.69</v>
      </c>
      <c r="W106" s="201">
        <f t="shared" si="13"/>
        <v>418065.61</v>
      </c>
      <c r="X106" s="212">
        <f>VLOOKUP($A106,MasterData!$B$62:$L$111,10,FALSE)*52</f>
        <v>104</v>
      </c>
      <c r="Y106" s="200">
        <f>ROUND(X106*MasterData!$C$7,2)</f>
        <v>6277.44</v>
      </c>
      <c r="Z106" s="199">
        <f>VLOOKUP($A106,MasterData!$B$62:$L$111,11,FALSE)*52</f>
        <v>156</v>
      </c>
      <c r="AA106" s="200">
        <f>ROUND(Z106*MasterData!$D$7,2)</f>
        <v>6605.04</v>
      </c>
      <c r="AB106" s="201">
        <f t="shared" si="14"/>
        <v>12882.48</v>
      </c>
      <c r="AC106" s="202">
        <f>MasterData!$M$29</f>
        <v>17820.45943877551</v>
      </c>
      <c r="AD106" s="200">
        <f>MasterData!$D$29</f>
        <v>2233.8000000000002</v>
      </c>
      <c r="AE106" s="200">
        <f>MasterData!$E$29</f>
        <v>6471.45</v>
      </c>
      <c r="AF106" s="200">
        <f>MasterData!$F$29</f>
        <v>0</v>
      </c>
      <c r="AG106" s="201">
        <f t="shared" si="9"/>
        <v>457473.79943877546</v>
      </c>
      <c r="AH106" s="200">
        <f>ROUND(AG106*MasterData!$G$29,2)</f>
        <v>54896.86</v>
      </c>
      <c r="AI106" s="200">
        <f>((AG106+AH106)*MasterData!$I$29)-'Model Calculator'!W106*MasterData!$I$29</f>
        <v>1678.629880010204</v>
      </c>
      <c r="AJ106" s="201">
        <f t="shared" si="10"/>
        <v>515313.97931878566</v>
      </c>
      <c r="AK106" s="201">
        <f t="shared" si="15"/>
        <v>1485.05</v>
      </c>
    </row>
    <row r="107" spans="1:37">
      <c r="A107" s="197" t="s">
        <v>213</v>
      </c>
      <c r="B107" s="197" t="str">
        <f t="shared" si="8"/>
        <v>M406.03</v>
      </c>
      <c r="C107" s="197" t="s">
        <v>216</v>
      </c>
      <c r="D107" s="197" t="s">
        <v>282</v>
      </c>
      <c r="E107" s="197">
        <f>VLOOKUP($C32,MasterData!$B$62:$L$111,2,FALSE)</f>
        <v>0.41</v>
      </c>
      <c r="F107" s="198">
        <f>ROUND(E107*MasterData!$C$4,2)</f>
        <v>21177.18</v>
      </c>
      <c r="G107" s="199">
        <f>VLOOKUP($C32,MasterData!$B$62:$L$111,3,FALSE)</f>
        <v>1</v>
      </c>
      <c r="H107" s="198">
        <f>ROUND(G107*MasterData!$D$4,2)</f>
        <v>41516.800000000003</v>
      </c>
      <c r="I107" s="199">
        <f t="shared" si="11"/>
        <v>6</v>
      </c>
      <c r="J107" s="199">
        <f>VLOOKUP($C32,MasterData!$B$62:$L$111,4,FALSE)</f>
        <v>4.5999999999999996</v>
      </c>
      <c r="K107" s="198">
        <f>ROUND(J107*MasterData!$F$26,2)</f>
        <v>215874.39</v>
      </c>
      <c r="L107" s="199">
        <f>VLOOKUP($C32,MasterData!$B$62:$L$111,5,FALSE)</f>
        <v>1.4</v>
      </c>
      <c r="M107" s="200">
        <f>ROUND(L107*MasterData!$F$4,2)</f>
        <v>41496</v>
      </c>
      <c r="N107" s="199">
        <f>VLOOKUP($A107,MasterData!$B$62:$L$111,6,FALSE)</f>
        <v>0.92</v>
      </c>
      <c r="O107" s="211">
        <f>ROUND(N107*MasterData!$G$26,2)</f>
        <v>37691.67</v>
      </c>
      <c r="P107" s="199">
        <f>VLOOKUP($A107,MasterData!$B$62:$L$111,7,FALSE)</f>
        <v>0.22</v>
      </c>
      <c r="Q107" s="198">
        <f>ROUND(P107*MasterData!$H$4,2)</f>
        <v>6520.8</v>
      </c>
      <c r="R107" s="199">
        <f>VLOOKUP($A107,MasterData!$B$62:$L$111,8,FALSE)</f>
        <v>0.12</v>
      </c>
      <c r="S107" s="200">
        <f>ROUND(R107*MasterData!$I$4,2)</f>
        <v>3863.81</v>
      </c>
      <c r="T107" s="201">
        <f t="shared" si="12"/>
        <v>368140.64999999997</v>
      </c>
      <c r="U107" s="200">
        <f>ROUND(T107*MasterData!$C$29,2)</f>
        <v>82132.179999999993</v>
      </c>
      <c r="V107" s="200">
        <f>ROUND(T107*MasterData!$J$29,2)</f>
        <v>1362.12</v>
      </c>
      <c r="W107" s="201">
        <f t="shared" si="13"/>
        <v>450272.82999999996</v>
      </c>
      <c r="X107" s="212">
        <f>VLOOKUP($A107,MasterData!$B$62:$L$111,10,FALSE)*52</f>
        <v>104</v>
      </c>
      <c r="Y107" s="200">
        <f>ROUND(X107*MasterData!$C$7,2)</f>
        <v>6277.44</v>
      </c>
      <c r="Z107" s="199">
        <f>VLOOKUP($A107,MasterData!$B$62:$L$111,11,FALSE)*52</f>
        <v>156</v>
      </c>
      <c r="AA107" s="200">
        <f>ROUND(Z107*MasterData!$D$7,2)</f>
        <v>6605.04</v>
      </c>
      <c r="AB107" s="201">
        <f t="shared" si="14"/>
        <v>12882.48</v>
      </c>
      <c r="AC107" s="202">
        <f>MasterData!$M$29</f>
        <v>17820.45943877551</v>
      </c>
      <c r="AD107" s="200">
        <f>MasterData!$D$29</f>
        <v>2233.8000000000002</v>
      </c>
      <c r="AE107" s="200">
        <f>MasterData!$E$29</f>
        <v>6471.45</v>
      </c>
      <c r="AF107" s="200">
        <f>MasterData!$F$29</f>
        <v>0</v>
      </c>
      <c r="AG107" s="201">
        <f t="shared" si="9"/>
        <v>489681.01943877543</v>
      </c>
      <c r="AH107" s="200">
        <f>ROUND(AG107*MasterData!$G$29,2)</f>
        <v>58761.72</v>
      </c>
      <c r="AI107" s="200">
        <f>((AG107+AH107)*MasterData!$I$29)-'Model Calculator'!W107*MasterData!$I$29</f>
        <v>1747.424388010204</v>
      </c>
      <c r="AJ107" s="201">
        <f t="shared" si="10"/>
        <v>551552.28382678563</v>
      </c>
      <c r="AK107" s="201">
        <f t="shared" si="15"/>
        <v>1589.49</v>
      </c>
    </row>
    <row r="108" spans="1:37">
      <c r="A108" s="197" t="s">
        <v>94</v>
      </c>
      <c r="B108" s="197" t="str">
        <f t="shared" si="8"/>
        <v>M406.53</v>
      </c>
      <c r="C108" s="197" t="s">
        <v>166</v>
      </c>
      <c r="D108" s="197" t="s">
        <v>282</v>
      </c>
      <c r="E108" s="197">
        <f>VLOOKUP($C33,MasterData!$B$62:$L$111,2,FALSE)</f>
        <v>0.41</v>
      </c>
      <c r="F108" s="198">
        <f>ROUND(E108*MasterData!$C$4,2)</f>
        <v>21177.18</v>
      </c>
      <c r="G108" s="199">
        <f>VLOOKUP($C33,MasterData!$B$62:$L$111,3,FALSE)</f>
        <v>1</v>
      </c>
      <c r="H108" s="198">
        <f>ROUND(G108*MasterData!$D$4,2)</f>
        <v>41516.800000000003</v>
      </c>
      <c r="I108" s="199">
        <f t="shared" si="11"/>
        <v>6.5</v>
      </c>
      <c r="J108" s="199">
        <f>VLOOKUP($C33,MasterData!$B$62:$L$111,4,FALSE)</f>
        <v>5.0999999999999996</v>
      </c>
      <c r="K108" s="198">
        <f>ROUND(J108*MasterData!$F$26,2)</f>
        <v>239339</v>
      </c>
      <c r="L108" s="199">
        <f>VLOOKUP($C33,MasterData!$B$62:$L$111,5,FALSE)</f>
        <v>1.4</v>
      </c>
      <c r="M108" s="200">
        <f>ROUND(L108*MasterData!$F$4,2)</f>
        <v>41496</v>
      </c>
      <c r="N108" s="199">
        <f>VLOOKUP($A108,MasterData!$B$62:$L$111,6,FALSE)</f>
        <v>1</v>
      </c>
      <c r="O108" s="211">
        <f>ROUND(N108*MasterData!$G$26,2)</f>
        <v>40969.21</v>
      </c>
      <c r="P108" s="199">
        <f>VLOOKUP($A108,MasterData!$B$62:$L$111,7,FALSE)</f>
        <v>0.22</v>
      </c>
      <c r="Q108" s="198">
        <f>ROUND(P108*MasterData!$H$4,2)</f>
        <v>6520.8</v>
      </c>
      <c r="R108" s="199">
        <f>VLOOKUP($A108,MasterData!$B$62:$L$111,8,FALSE)</f>
        <v>0.12</v>
      </c>
      <c r="S108" s="200">
        <f>ROUND(R108*MasterData!$I$4,2)</f>
        <v>3863.81</v>
      </c>
      <c r="T108" s="201">
        <f t="shared" si="12"/>
        <v>394882.8</v>
      </c>
      <c r="U108" s="200">
        <f>ROUND(T108*MasterData!$C$29,2)</f>
        <v>88098.35</v>
      </c>
      <c r="V108" s="200">
        <f>ROUND(T108*MasterData!$J$29,2)</f>
        <v>1461.07</v>
      </c>
      <c r="W108" s="201">
        <f t="shared" si="13"/>
        <v>482981.15</v>
      </c>
      <c r="X108" s="212">
        <f>VLOOKUP($A108,MasterData!$B$62:$L$111,10,FALSE)*52</f>
        <v>104</v>
      </c>
      <c r="Y108" s="200">
        <f>ROUND(X108*MasterData!$C$7,2)</f>
        <v>6277.44</v>
      </c>
      <c r="Z108" s="199">
        <f>VLOOKUP($A108,MasterData!$B$62:$L$111,11,FALSE)*52</f>
        <v>156</v>
      </c>
      <c r="AA108" s="200">
        <f>ROUND(Z108*MasterData!$D$7,2)</f>
        <v>6605.04</v>
      </c>
      <c r="AB108" s="201">
        <f t="shared" si="14"/>
        <v>12882.48</v>
      </c>
      <c r="AC108" s="202">
        <f>MasterData!$M$29</f>
        <v>17820.45943877551</v>
      </c>
      <c r="AD108" s="200">
        <f>MasterData!$D$29</f>
        <v>2233.8000000000002</v>
      </c>
      <c r="AE108" s="200">
        <f>MasterData!$E$29</f>
        <v>6471.45</v>
      </c>
      <c r="AF108" s="200">
        <f>MasterData!$F$29</f>
        <v>0</v>
      </c>
      <c r="AG108" s="201">
        <f t="shared" si="9"/>
        <v>522389.3394387755</v>
      </c>
      <c r="AH108" s="200">
        <f>ROUND(AG108*MasterData!$G$29,2)</f>
        <v>62686.720000000001</v>
      </c>
      <c r="AI108" s="200">
        <f>((AG108+AH108)*MasterData!$I$29)-'Model Calculator'!W108*MasterData!$I$29</f>
        <v>1817.2893880102038</v>
      </c>
      <c r="AJ108" s="201">
        <f t="shared" si="10"/>
        <v>588354.41882678564</v>
      </c>
      <c r="AK108" s="201">
        <f t="shared" si="15"/>
        <v>1695.55</v>
      </c>
    </row>
    <row r="109" spans="1:37">
      <c r="A109" s="197" t="s">
        <v>95</v>
      </c>
      <c r="B109" s="197" t="str">
        <f t="shared" si="8"/>
        <v>M407.03</v>
      </c>
      <c r="C109" s="197" t="s">
        <v>167</v>
      </c>
      <c r="D109" s="197" t="s">
        <v>282</v>
      </c>
      <c r="E109" s="197">
        <f>VLOOKUP($C34,MasterData!$B$62:$L$111,2,FALSE)</f>
        <v>0.41</v>
      </c>
      <c r="F109" s="198">
        <f>ROUND(E109*MasterData!$C$4,2)</f>
        <v>21177.18</v>
      </c>
      <c r="G109" s="199">
        <f>VLOOKUP($C34,MasterData!$B$62:$L$111,3,FALSE)</f>
        <v>1</v>
      </c>
      <c r="H109" s="198">
        <f>ROUND(G109*MasterData!$D$4,2)</f>
        <v>41516.800000000003</v>
      </c>
      <c r="I109" s="199">
        <f t="shared" si="11"/>
        <v>7</v>
      </c>
      <c r="J109" s="199">
        <f>VLOOKUP($C34,MasterData!$B$62:$L$111,4,FALSE)</f>
        <v>5.6</v>
      </c>
      <c r="K109" s="198">
        <f>ROUND(J109*MasterData!$F$26,2)</f>
        <v>262803.61</v>
      </c>
      <c r="L109" s="199">
        <f>VLOOKUP($C34,MasterData!$B$62:$L$111,5,FALSE)</f>
        <v>1.4</v>
      </c>
      <c r="M109" s="200">
        <f>ROUND(L109*MasterData!$F$4,2)</f>
        <v>41496</v>
      </c>
      <c r="N109" s="199">
        <f>VLOOKUP($A109,MasterData!$B$62:$L$111,6,FALSE)</f>
        <v>1.08</v>
      </c>
      <c r="O109" s="211">
        <f>ROUND(N109*MasterData!$G$26,2)</f>
        <v>44246.74</v>
      </c>
      <c r="P109" s="199">
        <f>VLOOKUP($A109,MasterData!$B$62:$L$111,7,FALSE)</f>
        <v>0.22</v>
      </c>
      <c r="Q109" s="198">
        <f>ROUND(P109*MasterData!$H$4,2)</f>
        <v>6520.8</v>
      </c>
      <c r="R109" s="199">
        <f>VLOOKUP($A109,MasterData!$B$62:$L$111,8,FALSE)</f>
        <v>0.12</v>
      </c>
      <c r="S109" s="200">
        <f>ROUND(R109*MasterData!$I$4,2)</f>
        <v>3863.81</v>
      </c>
      <c r="T109" s="201">
        <f t="shared" si="12"/>
        <v>421624.93999999994</v>
      </c>
      <c r="U109" s="200">
        <f>ROUND(T109*MasterData!$C$29,2)</f>
        <v>94064.52</v>
      </c>
      <c r="V109" s="200">
        <f>ROUND(T109*MasterData!$J$29,2)</f>
        <v>1560.01</v>
      </c>
      <c r="W109" s="201">
        <f t="shared" si="13"/>
        <v>515689.45999999996</v>
      </c>
      <c r="X109" s="212">
        <f>VLOOKUP($A109,MasterData!$B$62:$L$111,10,FALSE)*52</f>
        <v>104</v>
      </c>
      <c r="Y109" s="200">
        <f>ROUND(X109*MasterData!$C$7,2)</f>
        <v>6277.44</v>
      </c>
      <c r="Z109" s="199">
        <f>VLOOKUP($A109,MasterData!$B$62:$L$111,11,FALSE)*52</f>
        <v>156</v>
      </c>
      <c r="AA109" s="200">
        <f>ROUND(Z109*MasterData!$D$7,2)</f>
        <v>6605.04</v>
      </c>
      <c r="AB109" s="201">
        <f t="shared" si="14"/>
        <v>12882.48</v>
      </c>
      <c r="AC109" s="202">
        <f>MasterData!$M$29</f>
        <v>17820.45943877551</v>
      </c>
      <c r="AD109" s="200">
        <f>MasterData!$D$29</f>
        <v>2233.8000000000002</v>
      </c>
      <c r="AE109" s="200">
        <f>MasterData!$E$29</f>
        <v>6471.45</v>
      </c>
      <c r="AF109" s="200">
        <f>MasterData!$F$29</f>
        <v>0</v>
      </c>
      <c r="AG109" s="201">
        <f t="shared" si="9"/>
        <v>555097.64943877549</v>
      </c>
      <c r="AH109" s="200">
        <f>ROUND(AG109*MasterData!$G$29,2)</f>
        <v>66611.72</v>
      </c>
      <c r="AI109" s="200">
        <f>((AG109+AH109)*MasterData!$I$29)-'Model Calculator'!W109*MasterData!$I$29</f>
        <v>1887.1543880102035</v>
      </c>
      <c r="AJ109" s="201">
        <f t="shared" si="10"/>
        <v>625156.53382678563</v>
      </c>
      <c r="AK109" s="201">
        <f t="shared" si="15"/>
        <v>1801.6</v>
      </c>
    </row>
    <row r="110" spans="1:37">
      <c r="A110" s="197" t="s">
        <v>96</v>
      </c>
      <c r="B110" s="197" t="str">
        <f t="shared" si="8"/>
        <v>M407.53</v>
      </c>
      <c r="C110" s="197" t="s">
        <v>168</v>
      </c>
      <c r="D110" s="197" t="s">
        <v>282</v>
      </c>
      <c r="E110" s="197">
        <f>VLOOKUP($C35,MasterData!$B$62:$L$111,2,FALSE)</f>
        <v>0.41</v>
      </c>
      <c r="F110" s="198">
        <f>ROUND(E110*MasterData!$C$4,2)</f>
        <v>21177.18</v>
      </c>
      <c r="G110" s="199">
        <f>VLOOKUP($C35,MasterData!$B$62:$L$111,3,FALSE)</f>
        <v>1</v>
      </c>
      <c r="H110" s="198">
        <f>ROUND(G110*MasterData!$D$4,2)</f>
        <v>41516.800000000003</v>
      </c>
      <c r="I110" s="199">
        <f t="shared" si="11"/>
        <v>7.5</v>
      </c>
      <c r="J110" s="199">
        <f>VLOOKUP($C35,MasterData!$B$62:$L$111,4,FALSE)</f>
        <v>6.1</v>
      </c>
      <c r="K110" s="198">
        <f>ROUND(J110*MasterData!$F$26,2)</f>
        <v>286268.21999999997</v>
      </c>
      <c r="L110" s="199">
        <f>VLOOKUP($C35,MasterData!$B$62:$L$111,5,FALSE)</f>
        <v>1.4</v>
      </c>
      <c r="M110" s="200">
        <f>ROUND(L110*MasterData!$F$4,2)</f>
        <v>41496</v>
      </c>
      <c r="N110" s="199">
        <f>VLOOKUP($A110,MasterData!$B$62:$L$111,6,FALSE)</f>
        <v>1.1599999999999999</v>
      </c>
      <c r="O110" s="211">
        <f>ROUND(N110*MasterData!$G$26,2)</f>
        <v>47524.28</v>
      </c>
      <c r="P110" s="199">
        <f>VLOOKUP($A110,MasterData!$B$62:$L$111,7,FALSE)</f>
        <v>0.22</v>
      </c>
      <c r="Q110" s="198">
        <f>ROUND(P110*MasterData!$H$4,2)</f>
        <v>6520.8</v>
      </c>
      <c r="R110" s="199">
        <f>VLOOKUP($A110,MasterData!$B$62:$L$111,8,FALSE)</f>
        <v>0.12</v>
      </c>
      <c r="S110" s="200">
        <f>ROUND(R110*MasterData!$I$4,2)</f>
        <v>3863.81</v>
      </c>
      <c r="T110" s="201">
        <f t="shared" si="12"/>
        <v>448367.08999999997</v>
      </c>
      <c r="U110" s="200">
        <f>ROUND(T110*MasterData!$C$29,2)</f>
        <v>100030.7</v>
      </c>
      <c r="V110" s="200">
        <f>ROUND(T110*MasterData!$J$29,2)</f>
        <v>1658.96</v>
      </c>
      <c r="W110" s="201">
        <f t="shared" si="13"/>
        <v>548397.78999999992</v>
      </c>
      <c r="X110" s="212">
        <f>VLOOKUP($A110,MasterData!$B$62:$L$111,10,FALSE)*52</f>
        <v>104</v>
      </c>
      <c r="Y110" s="200">
        <f>ROUND(X110*MasterData!$C$7,2)</f>
        <v>6277.44</v>
      </c>
      <c r="Z110" s="199">
        <f>VLOOKUP($A110,MasterData!$B$62:$L$111,11,FALSE)*52</f>
        <v>156</v>
      </c>
      <c r="AA110" s="200">
        <f>ROUND(Z110*MasterData!$D$7,2)</f>
        <v>6605.04</v>
      </c>
      <c r="AB110" s="201">
        <f t="shared" si="14"/>
        <v>12882.48</v>
      </c>
      <c r="AC110" s="202">
        <f>MasterData!$M$29</f>
        <v>17820.45943877551</v>
      </c>
      <c r="AD110" s="200">
        <f>MasterData!$D$29</f>
        <v>2233.8000000000002</v>
      </c>
      <c r="AE110" s="200">
        <f>MasterData!$E$29</f>
        <v>6471.45</v>
      </c>
      <c r="AF110" s="200">
        <f>MasterData!$F$29</f>
        <v>0</v>
      </c>
      <c r="AG110" s="201">
        <f t="shared" si="9"/>
        <v>587805.97943877545</v>
      </c>
      <c r="AH110" s="200">
        <f>ROUND(AG110*MasterData!$G$29,2)</f>
        <v>70536.72</v>
      </c>
      <c r="AI110" s="200">
        <f>((AG110+AH110)*MasterData!$I$29)-'Model Calculator'!W110*MasterData!$I$29</f>
        <v>1957.0193880102051</v>
      </c>
      <c r="AJ110" s="201">
        <f t="shared" si="10"/>
        <v>661958.67882678565</v>
      </c>
      <c r="AK110" s="201">
        <f t="shared" si="15"/>
        <v>1907.66</v>
      </c>
    </row>
    <row r="111" spans="1:37">
      <c r="A111" s="197" t="s">
        <v>97</v>
      </c>
      <c r="B111" s="197" t="str">
        <f t="shared" si="8"/>
        <v>M408.03</v>
      </c>
      <c r="C111" s="197" t="s">
        <v>169</v>
      </c>
      <c r="D111" s="197" t="s">
        <v>282</v>
      </c>
      <c r="E111" s="197">
        <f>VLOOKUP($C36,MasterData!$B$62:$L$111,2,FALSE)</f>
        <v>0.41</v>
      </c>
      <c r="F111" s="198">
        <f>ROUND(E111*MasterData!$C$4,2)</f>
        <v>21177.18</v>
      </c>
      <c r="G111" s="199">
        <f>VLOOKUP($C36,MasterData!$B$62:$L$111,3,FALSE)</f>
        <v>1</v>
      </c>
      <c r="H111" s="198">
        <f>ROUND(G111*MasterData!$D$4,2)</f>
        <v>41516.800000000003</v>
      </c>
      <c r="I111" s="199">
        <f t="shared" si="11"/>
        <v>8</v>
      </c>
      <c r="J111" s="199">
        <f>VLOOKUP($C36,MasterData!$B$62:$L$111,4,FALSE)</f>
        <v>6.6</v>
      </c>
      <c r="K111" s="198">
        <f>ROUND(J111*MasterData!$F$26,2)</f>
        <v>309732.83</v>
      </c>
      <c r="L111" s="199">
        <f>VLOOKUP($C36,MasterData!$B$62:$L$111,5,FALSE)</f>
        <v>1.4</v>
      </c>
      <c r="M111" s="200">
        <f>ROUND(L111*MasterData!$F$4,2)</f>
        <v>41496</v>
      </c>
      <c r="N111" s="199">
        <f>VLOOKUP($A111,MasterData!$B$62:$L$111,6,FALSE)</f>
        <v>1.23</v>
      </c>
      <c r="O111" s="211">
        <f>ROUND(N111*MasterData!$G$26,2)</f>
        <v>50392.12</v>
      </c>
      <c r="P111" s="199">
        <f>VLOOKUP($A111,MasterData!$B$62:$L$111,7,FALSE)</f>
        <v>0.22</v>
      </c>
      <c r="Q111" s="198">
        <f>ROUND(P111*MasterData!$H$4,2)</f>
        <v>6520.8</v>
      </c>
      <c r="R111" s="199">
        <f>VLOOKUP($A111,MasterData!$B$62:$L$111,8,FALSE)</f>
        <v>0.12</v>
      </c>
      <c r="S111" s="200">
        <f>ROUND(R111*MasterData!$I$4,2)</f>
        <v>3863.81</v>
      </c>
      <c r="T111" s="201">
        <f t="shared" si="12"/>
        <v>474699.54</v>
      </c>
      <c r="U111" s="200">
        <f>ROUND(T111*MasterData!$C$29,2)</f>
        <v>105905.47</v>
      </c>
      <c r="V111" s="200">
        <f>ROUND(T111*MasterData!$J$29,2)</f>
        <v>1756.39</v>
      </c>
      <c r="W111" s="201">
        <f t="shared" si="13"/>
        <v>580605.01</v>
      </c>
      <c r="X111" s="212">
        <f>VLOOKUP($A111,MasterData!$B$62:$L$111,10,FALSE)*52</f>
        <v>104</v>
      </c>
      <c r="Y111" s="200">
        <f>ROUND(X111*MasterData!$C$7,2)</f>
        <v>6277.44</v>
      </c>
      <c r="Z111" s="199">
        <f>VLOOKUP($A111,MasterData!$B$62:$L$111,11,FALSE)*52</f>
        <v>156</v>
      </c>
      <c r="AA111" s="200">
        <f>ROUND(Z111*MasterData!$D$7,2)</f>
        <v>6605.04</v>
      </c>
      <c r="AB111" s="201">
        <f t="shared" si="14"/>
        <v>12882.48</v>
      </c>
      <c r="AC111" s="202">
        <f>MasterData!$M$29</f>
        <v>17820.45943877551</v>
      </c>
      <c r="AD111" s="200">
        <f>MasterData!$D$29</f>
        <v>2233.8000000000002</v>
      </c>
      <c r="AE111" s="200">
        <f>MasterData!$E$29</f>
        <v>6471.45</v>
      </c>
      <c r="AF111" s="200">
        <f>MasterData!$F$29</f>
        <v>0</v>
      </c>
      <c r="AG111" s="201">
        <f t="shared" si="9"/>
        <v>620013.19943877554</v>
      </c>
      <c r="AH111" s="200">
        <f>ROUND(AG111*MasterData!$G$29,2)</f>
        <v>74401.58</v>
      </c>
      <c r="AI111" s="200">
        <f>((AG111+AH111)*MasterData!$I$29)-'Model Calculator'!W111*MasterData!$I$29</f>
        <v>2025.8138960102042</v>
      </c>
      <c r="AJ111" s="201">
        <f t="shared" si="10"/>
        <v>698196.98333478568</v>
      </c>
      <c r="AK111" s="201">
        <f t="shared" si="15"/>
        <v>2012.1</v>
      </c>
    </row>
    <row r="112" spans="1:37">
      <c r="A112" s="197" t="s">
        <v>98</v>
      </c>
      <c r="B112" s="197" t="str">
        <f t="shared" si="8"/>
        <v>M408.53</v>
      </c>
      <c r="C112" s="197" t="s">
        <v>170</v>
      </c>
      <c r="D112" s="197" t="s">
        <v>282</v>
      </c>
      <c r="E112" s="197">
        <f>VLOOKUP($C37,MasterData!$B$62:$L$111,2,FALSE)</f>
        <v>0.41</v>
      </c>
      <c r="F112" s="198">
        <f>ROUND(E112*MasterData!$C$4,2)</f>
        <v>21177.18</v>
      </c>
      <c r="G112" s="199">
        <f>VLOOKUP($C37,MasterData!$B$62:$L$111,3,FALSE)</f>
        <v>1</v>
      </c>
      <c r="H112" s="198">
        <f>ROUND(G112*MasterData!$D$4,2)</f>
        <v>41516.800000000003</v>
      </c>
      <c r="I112" s="199">
        <f t="shared" si="11"/>
        <v>8.5</v>
      </c>
      <c r="J112" s="199">
        <f>VLOOKUP($C37,MasterData!$B$62:$L$111,4,FALSE)</f>
        <v>7.1</v>
      </c>
      <c r="K112" s="198">
        <f>ROUND(J112*MasterData!$F$26,2)</f>
        <v>333197.43</v>
      </c>
      <c r="L112" s="199">
        <f>VLOOKUP($C37,MasterData!$B$62:$L$111,5,FALSE)</f>
        <v>1.4</v>
      </c>
      <c r="M112" s="200">
        <f>ROUND(L112*MasterData!$F$4,2)</f>
        <v>41496</v>
      </c>
      <c r="N112" s="199">
        <f>VLOOKUP($A112,MasterData!$B$62:$L$111,6,FALSE)</f>
        <v>1.31</v>
      </c>
      <c r="O112" s="211">
        <f>ROUND(N112*MasterData!$G$26,2)</f>
        <v>53669.66</v>
      </c>
      <c r="P112" s="199">
        <f>VLOOKUP($A112,MasterData!$B$62:$L$111,7,FALSE)</f>
        <v>0.22</v>
      </c>
      <c r="Q112" s="198">
        <f>ROUND(P112*MasterData!$H$4,2)</f>
        <v>6520.8</v>
      </c>
      <c r="R112" s="199">
        <f>VLOOKUP($A112,MasterData!$B$62:$L$111,8,FALSE)</f>
        <v>0.12</v>
      </c>
      <c r="S112" s="200">
        <f>ROUND(R112*MasterData!$I$4,2)</f>
        <v>3863.81</v>
      </c>
      <c r="T112" s="201">
        <f t="shared" si="12"/>
        <v>501441.67999999993</v>
      </c>
      <c r="U112" s="200">
        <f>ROUND(T112*MasterData!$C$29,2)</f>
        <v>111871.64</v>
      </c>
      <c r="V112" s="200">
        <f>ROUND(T112*MasterData!$J$29,2)</f>
        <v>1855.33</v>
      </c>
      <c r="W112" s="201">
        <f t="shared" si="13"/>
        <v>613313.31999999995</v>
      </c>
      <c r="X112" s="212">
        <f>VLOOKUP($A112,MasterData!$B$62:$L$111,10,FALSE)*52</f>
        <v>104</v>
      </c>
      <c r="Y112" s="200">
        <f>ROUND(X112*MasterData!$C$7,2)</f>
        <v>6277.44</v>
      </c>
      <c r="Z112" s="199">
        <f>VLOOKUP($A112,MasterData!$B$62:$L$111,11,FALSE)*52</f>
        <v>156</v>
      </c>
      <c r="AA112" s="200">
        <f>ROUND(Z112*MasterData!$D$7,2)</f>
        <v>6605.04</v>
      </c>
      <c r="AB112" s="201">
        <f t="shared" si="14"/>
        <v>12882.48</v>
      </c>
      <c r="AC112" s="202">
        <f>MasterData!$M$29</f>
        <v>17820.45943877551</v>
      </c>
      <c r="AD112" s="200">
        <f>MasterData!$D$29</f>
        <v>2233.8000000000002</v>
      </c>
      <c r="AE112" s="200">
        <f>MasterData!$E$29</f>
        <v>6471.45</v>
      </c>
      <c r="AF112" s="200">
        <f>MasterData!$F$29</f>
        <v>0</v>
      </c>
      <c r="AG112" s="201">
        <f t="shared" si="9"/>
        <v>652721.50943877548</v>
      </c>
      <c r="AH112" s="200">
        <f>ROUND(AG112*MasterData!$G$29,2)</f>
        <v>78326.58</v>
      </c>
      <c r="AI112" s="200">
        <f>((AG112+AH112)*MasterData!$I$29)-'Model Calculator'!W112*MasterData!$I$29</f>
        <v>2095.678896010204</v>
      </c>
      <c r="AJ112" s="201">
        <f t="shared" si="10"/>
        <v>734999.09833478555</v>
      </c>
      <c r="AK112" s="201">
        <f t="shared" si="15"/>
        <v>2118.15</v>
      </c>
    </row>
    <row r="113" spans="1:37">
      <c r="A113" s="197" t="s">
        <v>99</v>
      </c>
      <c r="B113" s="197" t="str">
        <f t="shared" si="8"/>
        <v>M409.03</v>
      </c>
      <c r="C113" s="197" t="s">
        <v>171</v>
      </c>
      <c r="D113" s="197" t="s">
        <v>282</v>
      </c>
      <c r="E113" s="197">
        <f>VLOOKUP($C38,MasterData!$B$62:$L$111,2,FALSE)</f>
        <v>0.41</v>
      </c>
      <c r="F113" s="198">
        <f>ROUND(E113*MasterData!$C$4,2)</f>
        <v>21177.18</v>
      </c>
      <c r="G113" s="199">
        <f>VLOOKUP($C38,MasterData!$B$62:$L$111,3,FALSE)</f>
        <v>1</v>
      </c>
      <c r="H113" s="198">
        <f>ROUND(G113*MasterData!$D$4,2)</f>
        <v>41516.800000000003</v>
      </c>
      <c r="I113" s="199">
        <f t="shared" si="11"/>
        <v>9</v>
      </c>
      <c r="J113" s="199">
        <f>VLOOKUP($C38,MasterData!$B$62:$L$111,4,FALSE)</f>
        <v>7.6</v>
      </c>
      <c r="K113" s="198">
        <f>ROUND(J113*MasterData!$F$26,2)</f>
        <v>356662.04</v>
      </c>
      <c r="L113" s="199">
        <f>VLOOKUP($C38,MasterData!$B$62:$L$111,5,FALSE)</f>
        <v>1.4</v>
      </c>
      <c r="M113" s="200">
        <f>ROUND(L113*MasterData!$F$4,2)</f>
        <v>41496</v>
      </c>
      <c r="N113" s="199">
        <f>VLOOKUP($A113,MasterData!$B$62:$L$111,6,FALSE)</f>
        <v>1.39</v>
      </c>
      <c r="O113" s="211">
        <f>ROUND(N113*MasterData!$G$26,2)</f>
        <v>56947.199999999997</v>
      </c>
      <c r="P113" s="199">
        <f>VLOOKUP($A113,MasterData!$B$62:$L$111,7,FALSE)</f>
        <v>0.22</v>
      </c>
      <c r="Q113" s="198">
        <f>ROUND(P113*MasterData!$H$4,2)</f>
        <v>6520.8</v>
      </c>
      <c r="R113" s="199">
        <f>VLOOKUP($A113,MasterData!$B$62:$L$111,8,FALSE)</f>
        <v>0.12</v>
      </c>
      <c r="S113" s="200">
        <f>ROUND(R113*MasterData!$I$4,2)</f>
        <v>3863.81</v>
      </c>
      <c r="T113" s="201">
        <f t="shared" si="12"/>
        <v>528183.83000000007</v>
      </c>
      <c r="U113" s="200">
        <f>ROUND(T113*MasterData!$C$29,2)</f>
        <v>117837.81</v>
      </c>
      <c r="V113" s="200">
        <f>ROUND(T113*MasterData!$J$29,2)</f>
        <v>1954.28</v>
      </c>
      <c r="W113" s="201">
        <f t="shared" si="13"/>
        <v>646021.64000000013</v>
      </c>
      <c r="X113" s="212">
        <f>VLOOKUP($A113,MasterData!$B$62:$L$111,10,FALSE)*52</f>
        <v>104</v>
      </c>
      <c r="Y113" s="200">
        <f>ROUND(X113*MasterData!$C$7,2)</f>
        <v>6277.44</v>
      </c>
      <c r="Z113" s="199">
        <f>VLOOKUP($A113,MasterData!$B$62:$L$111,11,FALSE)*52</f>
        <v>156</v>
      </c>
      <c r="AA113" s="200">
        <f>ROUND(Z113*MasterData!$D$7,2)</f>
        <v>6605.04</v>
      </c>
      <c r="AB113" s="201">
        <f t="shared" si="14"/>
        <v>12882.48</v>
      </c>
      <c r="AC113" s="202">
        <f>MasterData!$M$29</f>
        <v>17820.45943877551</v>
      </c>
      <c r="AD113" s="200">
        <f>MasterData!$D$29</f>
        <v>2233.8000000000002</v>
      </c>
      <c r="AE113" s="200">
        <f>MasterData!$E$29</f>
        <v>6471.45</v>
      </c>
      <c r="AF113" s="200">
        <f>MasterData!$F$29</f>
        <v>0</v>
      </c>
      <c r="AG113" s="201">
        <f t="shared" si="9"/>
        <v>685429.82943877566</v>
      </c>
      <c r="AH113" s="200">
        <f>ROUND(AG113*MasterData!$G$29,2)</f>
        <v>82251.58</v>
      </c>
      <c r="AI113" s="200">
        <f>((AG113+AH113)*MasterData!$I$29)-'Model Calculator'!W113*MasterData!$I$29</f>
        <v>2165.5438960102038</v>
      </c>
      <c r="AJ113" s="201">
        <f t="shared" si="10"/>
        <v>771801.23333478579</v>
      </c>
      <c r="AK113" s="201">
        <f t="shared" si="15"/>
        <v>2224.21</v>
      </c>
    </row>
    <row r="114" spans="1:37">
      <c r="A114" s="197" t="s">
        <v>100</v>
      </c>
      <c r="B114" s="197" t="str">
        <f t="shared" si="8"/>
        <v>M409.53</v>
      </c>
      <c r="C114" s="197" t="s">
        <v>172</v>
      </c>
      <c r="D114" s="197" t="s">
        <v>282</v>
      </c>
      <c r="E114" s="197">
        <f>VLOOKUP($C39,MasterData!$B$62:$L$111,2,FALSE)</f>
        <v>0.41</v>
      </c>
      <c r="F114" s="198">
        <f>ROUND(E114*MasterData!$C$4,2)</f>
        <v>21177.18</v>
      </c>
      <c r="G114" s="199">
        <f>VLOOKUP($C39,MasterData!$B$62:$L$111,3,FALSE)</f>
        <v>1</v>
      </c>
      <c r="H114" s="198">
        <f>ROUND(G114*MasterData!$D$4,2)</f>
        <v>41516.800000000003</v>
      </c>
      <c r="I114" s="199">
        <f t="shared" si="11"/>
        <v>9.5</v>
      </c>
      <c r="J114" s="199">
        <f>VLOOKUP($C39,MasterData!$B$62:$L$111,4,FALSE)</f>
        <v>8.1</v>
      </c>
      <c r="K114" s="198">
        <f>ROUND(J114*MasterData!$F$26,2)</f>
        <v>380126.65</v>
      </c>
      <c r="L114" s="199">
        <f>VLOOKUP($C39,MasterData!$B$62:$L$111,5,FALSE)</f>
        <v>1.4</v>
      </c>
      <c r="M114" s="200">
        <f>ROUND(L114*MasterData!$F$4,2)</f>
        <v>41496</v>
      </c>
      <c r="N114" s="199">
        <f>VLOOKUP($A114,MasterData!$B$62:$L$111,6,FALSE)</f>
        <v>1.46</v>
      </c>
      <c r="O114" s="211">
        <f>ROUND(N114*MasterData!$G$26,2)</f>
        <v>59815.040000000001</v>
      </c>
      <c r="P114" s="199">
        <f>VLOOKUP($A114,MasterData!$B$62:$L$111,7,FALSE)</f>
        <v>0.22</v>
      </c>
      <c r="Q114" s="198">
        <f>ROUND(P114*MasterData!$H$4,2)</f>
        <v>6520.8</v>
      </c>
      <c r="R114" s="199">
        <f>VLOOKUP($A114,MasterData!$B$62:$L$111,8,FALSE)</f>
        <v>0.12</v>
      </c>
      <c r="S114" s="200">
        <f>ROUND(R114*MasterData!$I$4,2)</f>
        <v>3863.81</v>
      </c>
      <c r="T114" s="201">
        <f t="shared" si="12"/>
        <v>554516.28000000014</v>
      </c>
      <c r="U114" s="200">
        <f>ROUND(T114*MasterData!$C$29,2)</f>
        <v>123712.58</v>
      </c>
      <c r="V114" s="200">
        <f>ROUND(T114*MasterData!$J$29,2)</f>
        <v>2051.71</v>
      </c>
      <c r="W114" s="201">
        <f t="shared" si="13"/>
        <v>678228.8600000001</v>
      </c>
      <c r="X114" s="212">
        <f>VLOOKUP($A114,MasterData!$B$62:$L$111,10,FALSE)*52</f>
        <v>104</v>
      </c>
      <c r="Y114" s="200">
        <f>ROUND(X114*MasterData!$C$7,2)</f>
        <v>6277.44</v>
      </c>
      <c r="Z114" s="199">
        <f>VLOOKUP($A114,MasterData!$B$62:$L$111,11,FALSE)*52</f>
        <v>156</v>
      </c>
      <c r="AA114" s="200">
        <f>ROUND(Z114*MasterData!$D$7,2)</f>
        <v>6605.04</v>
      </c>
      <c r="AB114" s="201">
        <f t="shared" si="14"/>
        <v>12882.48</v>
      </c>
      <c r="AC114" s="202">
        <f>MasterData!$M$29</f>
        <v>17820.45943877551</v>
      </c>
      <c r="AD114" s="200">
        <f>MasterData!$D$29</f>
        <v>2233.8000000000002</v>
      </c>
      <c r="AE114" s="200">
        <f>MasterData!$E$29</f>
        <v>6471.45</v>
      </c>
      <c r="AF114" s="200">
        <f>MasterData!$F$29</f>
        <v>0</v>
      </c>
      <c r="AG114" s="201">
        <f t="shared" si="9"/>
        <v>717637.04943877563</v>
      </c>
      <c r="AH114" s="200">
        <f>ROUND(AG114*MasterData!$G$29,2)</f>
        <v>86116.45</v>
      </c>
      <c r="AI114" s="200">
        <f>((AG114+AH114)*MasterData!$I$29)-'Model Calculator'!W114*MasterData!$I$29</f>
        <v>2234.3385820102048</v>
      </c>
      <c r="AJ114" s="201">
        <f t="shared" si="10"/>
        <v>808039.54802078579</v>
      </c>
      <c r="AK114" s="201">
        <f t="shared" si="15"/>
        <v>2328.64</v>
      </c>
    </row>
    <row r="115" spans="1:37">
      <c r="A115" s="197" t="s">
        <v>101</v>
      </c>
      <c r="B115" s="197" t="str">
        <f t="shared" si="8"/>
        <v>M410.03</v>
      </c>
      <c r="C115" s="197" t="s">
        <v>173</v>
      </c>
      <c r="D115" s="197" t="s">
        <v>282</v>
      </c>
      <c r="E115" s="197">
        <f>VLOOKUP($C40,MasterData!$B$62:$L$111,2,FALSE)</f>
        <v>0.41</v>
      </c>
      <c r="F115" s="198">
        <f>ROUND(E115*MasterData!$C$4,2)</f>
        <v>21177.18</v>
      </c>
      <c r="G115" s="199">
        <f>VLOOKUP($C40,MasterData!$B$62:$L$111,3,FALSE)</f>
        <v>1</v>
      </c>
      <c r="H115" s="198">
        <f>ROUND(G115*MasterData!$D$4,2)</f>
        <v>41516.800000000003</v>
      </c>
      <c r="I115" s="199">
        <f t="shared" si="11"/>
        <v>10</v>
      </c>
      <c r="J115" s="199">
        <f>VLOOKUP($C40,MasterData!$B$62:$L$111,4,FALSE)</f>
        <v>8.6</v>
      </c>
      <c r="K115" s="198">
        <f>ROUND(J115*MasterData!$F$26,2)</f>
        <v>403591.26</v>
      </c>
      <c r="L115" s="199">
        <f>VLOOKUP($C40,MasterData!$B$62:$L$111,5,FALSE)</f>
        <v>1.4</v>
      </c>
      <c r="M115" s="200">
        <f>ROUND(L115*MasterData!$F$4,2)</f>
        <v>41496</v>
      </c>
      <c r="N115" s="199">
        <f>VLOOKUP($A115,MasterData!$B$62:$L$111,6,FALSE)</f>
        <v>1.54</v>
      </c>
      <c r="O115" s="211">
        <f>ROUND(N115*MasterData!$G$26,2)</f>
        <v>63092.58</v>
      </c>
      <c r="P115" s="199">
        <f>VLOOKUP($A115,MasterData!$B$62:$L$111,7,FALSE)</f>
        <v>0.22</v>
      </c>
      <c r="Q115" s="198">
        <f>ROUND(P115*MasterData!$H$4,2)</f>
        <v>6520.8</v>
      </c>
      <c r="R115" s="199">
        <f>VLOOKUP($A115,MasterData!$B$62:$L$111,8,FALSE)</f>
        <v>0.12</v>
      </c>
      <c r="S115" s="200">
        <f>ROUND(R115*MasterData!$I$4,2)</f>
        <v>3863.81</v>
      </c>
      <c r="T115" s="201">
        <f t="shared" si="12"/>
        <v>581258.43000000005</v>
      </c>
      <c r="U115" s="200">
        <f>ROUND(T115*MasterData!$C$29,2)</f>
        <v>129678.76</v>
      </c>
      <c r="V115" s="200">
        <f>ROUND(T115*MasterData!$J$29,2)</f>
        <v>2150.66</v>
      </c>
      <c r="W115" s="201">
        <f t="shared" si="13"/>
        <v>710937.19000000006</v>
      </c>
      <c r="X115" s="212">
        <f>VLOOKUP($A115,MasterData!$B$62:$L$111,10,FALSE)*52</f>
        <v>104</v>
      </c>
      <c r="Y115" s="200">
        <f>ROUND(X115*MasterData!$C$7,2)</f>
        <v>6277.44</v>
      </c>
      <c r="Z115" s="199">
        <f>VLOOKUP($A115,MasterData!$B$62:$L$111,11,FALSE)*52</f>
        <v>156</v>
      </c>
      <c r="AA115" s="200">
        <f>ROUND(Z115*MasterData!$D$7,2)</f>
        <v>6605.04</v>
      </c>
      <c r="AB115" s="201">
        <f t="shared" si="14"/>
        <v>12882.48</v>
      </c>
      <c r="AC115" s="202">
        <f>MasterData!$M$29</f>
        <v>17820.45943877551</v>
      </c>
      <c r="AD115" s="200">
        <f>MasterData!$D$29</f>
        <v>2233.8000000000002</v>
      </c>
      <c r="AE115" s="200">
        <f>MasterData!$E$29</f>
        <v>6471.45</v>
      </c>
      <c r="AF115" s="200">
        <f>MasterData!$F$29</f>
        <v>0</v>
      </c>
      <c r="AG115" s="201">
        <f t="shared" si="9"/>
        <v>750345.37943877559</v>
      </c>
      <c r="AH115" s="200">
        <f>ROUND(AG115*MasterData!$G$29,2)</f>
        <v>90041.45</v>
      </c>
      <c r="AI115" s="200">
        <f>((AG115+AH115)*MasterData!$I$29)-'Model Calculator'!W115*MasterData!$I$29</f>
        <v>2304.2035820102028</v>
      </c>
      <c r="AJ115" s="201">
        <f t="shared" si="10"/>
        <v>844841.69302078581</v>
      </c>
      <c r="AK115" s="201">
        <f t="shared" si="15"/>
        <v>2434.6999999999998</v>
      </c>
    </row>
    <row r="116" spans="1:37">
      <c r="A116" s="197" t="s">
        <v>102</v>
      </c>
      <c r="B116" s="197" t="str">
        <f t="shared" si="8"/>
        <v>M410.53</v>
      </c>
      <c r="C116" s="197" t="s">
        <v>174</v>
      </c>
      <c r="D116" s="197" t="s">
        <v>282</v>
      </c>
      <c r="E116" s="197">
        <f>VLOOKUP($C41,MasterData!$B$62:$L$111,2,FALSE)</f>
        <v>0.41</v>
      </c>
      <c r="F116" s="198">
        <f>ROUND(E116*MasterData!$C$4,2)</f>
        <v>21177.18</v>
      </c>
      <c r="G116" s="199">
        <f>VLOOKUP($C41,MasterData!$B$62:$L$111,3,FALSE)</f>
        <v>1</v>
      </c>
      <c r="H116" s="198">
        <f>ROUND(G116*MasterData!$D$4,2)</f>
        <v>41516.800000000003</v>
      </c>
      <c r="I116" s="199">
        <f t="shared" si="11"/>
        <v>10.5</v>
      </c>
      <c r="J116" s="199">
        <f>VLOOKUP($C41,MasterData!$B$62:$L$111,4,FALSE)</f>
        <v>9.1</v>
      </c>
      <c r="K116" s="198">
        <f>ROUND(J116*MasterData!$F$26,2)</f>
        <v>427055.87</v>
      </c>
      <c r="L116" s="199">
        <f>VLOOKUP($C41,MasterData!$B$62:$L$111,5,FALSE)</f>
        <v>1.4</v>
      </c>
      <c r="M116" s="200">
        <f>ROUND(L116*MasterData!$F$4,2)</f>
        <v>41496</v>
      </c>
      <c r="N116" s="199">
        <f>VLOOKUP($A116,MasterData!$B$62:$L$111,6,FALSE)</f>
        <v>1.62</v>
      </c>
      <c r="O116" s="211">
        <f>ROUND(N116*MasterData!$G$26,2)</f>
        <v>66370.11</v>
      </c>
      <c r="P116" s="199">
        <f>VLOOKUP($A116,MasterData!$B$62:$L$111,7,FALSE)</f>
        <v>0.22</v>
      </c>
      <c r="Q116" s="198">
        <f>ROUND(P116*MasterData!$H$4,2)</f>
        <v>6520.8</v>
      </c>
      <c r="R116" s="199">
        <f>VLOOKUP($A116,MasterData!$B$62:$L$111,8,FALSE)</f>
        <v>0.12</v>
      </c>
      <c r="S116" s="200">
        <f>ROUND(R116*MasterData!$I$4,2)</f>
        <v>3863.81</v>
      </c>
      <c r="T116" s="201">
        <f t="shared" si="12"/>
        <v>608000.57000000007</v>
      </c>
      <c r="U116" s="200">
        <f>ROUND(T116*MasterData!$C$29,2)</f>
        <v>135644.93</v>
      </c>
      <c r="V116" s="200">
        <f>ROUND(T116*MasterData!$J$29,2)</f>
        <v>2249.6</v>
      </c>
      <c r="W116" s="201">
        <f t="shared" si="13"/>
        <v>743645.5</v>
      </c>
      <c r="X116" s="212">
        <f>VLOOKUP($A116,MasterData!$B$62:$L$111,10,FALSE)*52</f>
        <v>104</v>
      </c>
      <c r="Y116" s="200">
        <f>ROUND(X116*MasterData!$C$7,2)</f>
        <v>6277.44</v>
      </c>
      <c r="Z116" s="199">
        <f>VLOOKUP($A116,MasterData!$B$62:$L$111,11,FALSE)*52</f>
        <v>156</v>
      </c>
      <c r="AA116" s="200">
        <f>ROUND(Z116*MasterData!$D$7,2)</f>
        <v>6605.04</v>
      </c>
      <c r="AB116" s="201">
        <f t="shared" si="14"/>
        <v>12882.48</v>
      </c>
      <c r="AC116" s="202">
        <f>MasterData!$M$29</f>
        <v>17820.45943877551</v>
      </c>
      <c r="AD116" s="200">
        <f>MasterData!$D$29</f>
        <v>2233.8000000000002</v>
      </c>
      <c r="AE116" s="200">
        <f>MasterData!$E$29</f>
        <v>6471.45</v>
      </c>
      <c r="AF116" s="200">
        <f>MasterData!$F$29</f>
        <v>0</v>
      </c>
      <c r="AG116" s="201">
        <f t="shared" si="9"/>
        <v>783053.68943877553</v>
      </c>
      <c r="AH116" s="200">
        <f>ROUND(AG116*MasterData!$G$29,2)</f>
        <v>93966.44</v>
      </c>
      <c r="AI116" s="200">
        <f>((AG116+AH116)*MasterData!$I$29)-'Model Calculator'!W116*MasterData!$I$29</f>
        <v>2374.068404010206</v>
      </c>
      <c r="AJ116" s="201">
        <f t="shared" si="10"/>
        <v>881643.79784278583</v>
      </c>
      <c r="AK116" s="201">
        <f t="shared" si="15"/>
        <v>2540.7600000000002</v>
      </c>
    </row>
    <row r="117" spans="1:37">
      <c r="A117" s="197" t="s">
        <v>103</v>
      </c>
      <c r="B117" s="197" t="str">
        <f t="shared" ref="B117:B151" si="16">CONCATENATE(LEFT(C117,1),LEFT(D117,1),MID(C117,2,4),RIGHT(C117,1))</f>
        <v>M411.03</v>
      </c>
      <c r="C117" s="197" t="s">
        <v>175</v>
      </c>
      <c r="D117" s="197" t="s">
        <v>282</v>
      </c>
      <c r="E117" s="197">
        <f>VLOOKUP($C42,MasterData!$B$62:$L$111,2,FALSE)</f>
        <v>0.41</v>
      </c>
      <c r="F117" s="198">
        <f>ROUND(E117*MasterData!$C$4,2)</f>
        <v>21177.18</v>
      </c>
      <c r="G117" s="199">
        <f>VLOOKUP($C42,MasterData!$B$62:$L$111,3,FALSE)</f>
        <v>1</v>
      </c>
      <c r="H117" s="198">
        <f>ROUND(G117*MasterData!$D$4,2)</f>
        <v>41516.800000000003</v>
      </c>
      <c r="I117" s="199">
        <f t="shared" si="11"/>
        <v>11</v>
      </c>
      <c r="J117" s="199">
        <f>VLOOKUP($C42,MasterData!$B$62:$L$111,4,FALSE)</f>
        <v>9.6</v>
      </c>
      <c r="K117" s="198">
        <f>ROUND(J117*MasterData!$F$26,2)</f>
        <v>450520.47</v>
      </c>
      <c r="L117" s="199">
        <f>VLOOKUP($C42,MasterData!$B$62:$L$111,5,FALSE)</f>
        <v>1.4</v>
      </c>
      <c r="M117" s="200">
        <f>ROUND(L117*MasterData!$F$4,2)</f>
        <v>41496</v>
      </c>
      <c r="N117" s="199">
        <f>VLOOKUP($A117,MasterData!$B$62:$L$111,6,FALSE)</f>
        <v>1.69</v>
      </c>
      <c r="O117" s="211">
        <f>ROUND(N117*MasterData!$G$26,2)</f>
        <v>69237.960000000006</v>
      </c>
      <c r="P117" s="199">
        <f>VLOOKUP($A117,MasterData!$B$62:$L$111,7,FALSE)</f>
        <v>0.22</v>
      </c>
      <c r="Q117" s="198">
        <f>ROUND(P117*MasterData!$H$4,2)</f>
        <v>6520.8</v>
      </c>
      <c r="R117" s="199">
        <f>VLOOKUP($A117,MasterData!$B$62:$L$111,8,FALSE)</f>
        <v>0.12</v>
      </c>
      <c r="S117" s="200">
        <f>ROUND(R117*MasterData!$I$4,2)</f>
        <v>3863.81</v>
      </c>
      <c r="T117" s="201">
        <f t="shared" si="12"/>
        <v>634333.02</v>
      </c>
      <c r="U117" s="200">
        <f>ROUND(T117*MasterData!$C$29,2)</f>
        <v>141519.70000000001</v>
      </c>
      <c r="V117" s="200">
        <f>ROUND(T117*MasterData!$J$29,2)</f>
        <v>2347.0300000000002</v>
      </c>
      <c r="W117" s="201">
        <f t="shared" si="13"/>
        <v>775852.72</v>
      </c>
      <c r="X117" s="212">
        <f>VLOOKUP($A117,MasterData!$B$62:$L$111,10,FALSE)*52</f>
        <v>104</v>
      </c>
      <c r="Y117" s="200">
        <f>ROUND(X117*MasterData!$C$7,2)</f>
        <v>6277.44</v>
      </c>
      <c r="Z117" s="199">
        <f>VLOOKUP($A117,MasterData!$B$62:$L$111,11,FALSE)*52</f>
        <v>156</v>
      </c>
      <c r="AA117" s="200">
        <f>ROUND(Z117*MasterData!$D$7,2)</f>
        <v>6605.04</v>
      </c>
      <c r="AB117" s="201">
        <f t="shared" si="14"/>
        <v>12882.48</v>
      </c>
      <c r="AC117" s="202">
        <f>MasterData!$M$29</f>
        <v>17820.45943877551</v>
      </c>
      <c r="AD117" s="200">
        <f>MasterData!$D$29</f>
        <v>2233.8000000000002</v>
      </c>
      <c r="AE117" s="200">
        <f>MasterData!$E$29</f>
        <v>6471.45</v>
      </c>
      <c r="AF117" s="200">
        <f>MasterData!$F$29</f>
        <v>0</v>
      </c>
      <c r="AG117" s="201">
        <f t="shared" si="9"/>
        <v>815260.9094387755</v>
      </c>
      <c r="AH117" s="200">
        <f>ROUND(AG117*MasterData!$G$29,2)</f>
        <v>97831.31</v>
      </c>
      <c r="AI117" s="200">
        <f>((AG117+AH117)*MasterData!$I$29)-'Model Calculator'!W117*MasterData!$I$29</f>
        <v>2442.8630900102035</v>
      </c>
      <c r="AJ117" s="201">
        <f t="shared" si="10"/>
        <v>917882.11252878571</v>
      </c>
      <c r="AK117" s="201">
        <f t="shared" si="15"/>
        <v>2645.19</v>
      </c>
    </row>
    <row r="118" spans="1:37">
      <c r="A118" s="197" t="s">
        <v>104</v>
      </c>
      <c r="B118" s="197" t="str">
        <f t="shared" si="16"/>
        <v>M411.53</v>
      </c>
      <c r="C118" s="197" t="s">
        <v>176</v>
      </c>
      <c r="D118" s="197" t="s">
        <v>282</v>
      </c>
      <c r="E118" s="197">
        <f>VLOOKUP($C43,MasterData!$B$62:$L$111,2,FALSE)</f>
        <v>0.41</v>
      </c>
      <c r="F118" s="198">
        <f>ROUND(E118*MasterData!$C$4,2)</f>
        <v>21177.18</v>
      </c>
      <c r="G118" s="199">
        <f>VLOOKUP($C43,MasterData!$B$62:$L$111,3,FALSE)</f>
        <v>1</v>
      </c>
      <c r="H118" s="198">
        <f>ROUND(G118*MasterData!$D$4,2)</f>
        <v>41516.800000000003</v>
      </c>
      <c r="I118" s="199">
        <f t="shared" si="11"/>
        <v>11.5</v>
      </c>
      <c r="J118" s="199">
        <f>VLOOKUP($C43,MasterData!$B$62:$L$111,4,FALSE)</f>
        <v>10.1</v>
      </c>
      <c r="K118" s="198">
        <f>ROUND(J118*MasterData!$F$26,2)</f>
        <v>473985.08</v>
      </c>
      <c r="L118" s="199">
        <f>VLOOKUP($C43,MasterData!$B$62:$L$111,5,FALSE)</f>
        <v>1.4</v>
      </c>
      <c r="M118" s="200">
        <f>ROUND(L118*MasterData!$F$4,2)</f>
        <v>41496</v>
      </c>
      <c r="N118" s="199">
        <f>VLOOKUP($A118,MasterData!$B$62:$L$111,6,FALSE)</f>
        <v>1.77</v>
      </c>
      <c r="O118" s="211">
        <f>ROUND(N118*MasterData!$G$26,2)</f>
        <v>72515.490000000005</v>
      </c>
      <c r="P118" s="199">
        <f>VLOOKUP($A118,MasterData!$B$62:$L$111,7,FALSE)</f>
        <v>0.22</v>
      </c>
      <c r="Q118" s="198">
        <f>ROUND(P118*MasterData!$H$4,2)</f>
        <v>6520.8</v>
      </c>
      <c r="R118" s="199">
        <f>VLOOKUP($A118,MasterData!$B$62:$L$111,8,FALSE)</f>
        <v>0.12</v>
      </c>
      <c r="S118" s="200">
        <f>ROUND(R118*MasterData!$I$4,2)</f>
        <v>3863.81</v>
      </c>
      <c r="T118" s="201">
        <f t="shared" si="12"/>
        <v>661075.16000000015</v>
      </c>
      <c r="U118" s="200">
        <f>ROUND(T118*MasterData!$C$29,2)</f>
        <v>147485.87</v>
      </c>
      <c r="V118" s="200">
        <f>ROUND(T118*MasterData!$J$29,2)</f>
        <v>2445.98</v>
      </c>
      <c r="W118" s="201">
        <f t="shared" si="13"/>
        <v>808561.03000000014</v>
      </c>
      <c r="X118" s="212">
        <f>VLOOKUP($A118,MasterData!$B$62:$L$111,10,FALSE)*52</f>
        <v>104</v>
      </c>
      <c r="Y118" s="200">
        <f>ROUND(X118*MasterData!$C$7,2)</f>
        <v>6277.44</v>
      </c>
      <c r="Z118" s="199">
        <f>VLOOKUP($A118,MasterData!$B$62:$L$111,11,FALSE)*52</f>
        <v>156</v>
      </c>
      <c r="AA118" s="200">
        <f>ROUND(Z118*MasterData!$D$7,2)</f>
        <v>6605.04</v>
      </c>
      <c r="AB118" s="201">
        <f t="shared" si="14"/>
        <v>12882.48</v>
      </c>
      <c r="AC118" s="202">
        <f>MasterData!$M$29</f>
        <v>17820.45943877551</v>
      </c>
      <c r="AD118" s="200">
        <f>MasterData!$D$29</f>
        <v>2233.8000000000002</v>
      </c>
      <c r="AE118" s="200">
        <f>MasterData!$E$29</f>
        <v>6471.45</v>
      </c>
      <c r="AF118" s="200">
        <f>MasterData!$F$29</f>
        <v>0</v>
      </c>
      <c r="AG118" s="201">
        <f t="shared" si="9"/>
        <v>847969.21943877568</v>
      </c>
      <c r="AH118" s="200">
        <f>ROUND(AG118*MasterData!$G$29,2)</f>
        <v>101756.31</v>
      </c>
      <c r="AI118" s="200">
        <f>((AG118+AH118)*MasterData!$I$29)-'Model Calculator'!W118*MasterData!$I$29</f>
        <v>2512.7280900102051</v>
      </c>
      <c r="AJ118" s="201">
        <f t="shared" si="10"/>
        <v>954684.23752878595</v>
      </c>
      <c r="AK118" s="201">
        <f t="shared" si="15"/>
        <v>2751.25</v>
      </c>
    </row>
    <row r="119" spans="1:37">
      <c r="A119" s="197" t="s">
        <v>105</v>
      </c>
      <c r="B119" s="197" t="str">
        <f t="shared" si="16"/>
        <v>M412.03</v>
      </c>
      <c r="C119" s="197" t="s">
        <v>177</v>
      </c>
      <c r="D119" s="197" t="s">
        <v>282</v>
      </c>
      <c r="E119" s="197">
        <f>VLOOKUP($C44,MasterData!$B$62:$L$111,2,FALSE)</f>
        <v>0.41</v>
      </c>
      <c r="F119" s="198">
        <f>ROUND(E119*MasterData!$C$4,2)</f>
        <v>21177.18</v>
      </c>
      <c r="G119" s="199">
        <f>VLOOKUP($C44,MasterData!$B$62:$L$111,3,FALSE)</f>
        <v>1</v>
      </c>
      <c r="H119" s="198">
        <f>ROUND(G119*MasterData!$D$4,2)</f>
        <v>41516.800000000003</v>
      </c>
      <c r="I119" s="199">
        <f t="shared" si="11"/>
        <v>12</v>
      </c>
      <c r="J119" s="199">
        <f>VLOOKUP($C44,MasterData!$B$62:$L$111,4,FALSE)</f>
        <v>10.6</v>
      </c>
      <c r="K119" s="198">
        <f>ROUND(J119*MasterData!$F$26,2)</f>
        <v>497449.69</v>
      </c>
      <c r="L119" s="199">
        <f>VLOOKUP($C44,MasterData!$B$62:$L$111,5,FALSE)</f>
        <v>1.4</v>
      </c>
      <c r="M119" s="200">
        <f>ROUND(L119*MasterData!$F$4,2)</f>
        <v>41496</v>
      </c>
      <c r="N119" s="199">
        <f>VLOOKUP($A119,MasterData!$B$62:$L$111,6,FALSE)</f>
        <v>1.85</v>
      </c>
      <c r="O119" s="211">
        <f>ROUND(N119*MasterData!$G$26,2)</f>
        <v>75793.03</v>
      </c>
      <c r="P119" s="199">
        <f>VLOOKUP($A119,MasterData!$B$62:$L$111,7,FALSE)</f>
        <v>0.22</v>
      </c>
      <c r="Q119" s="198">
        <f>ROUND(P119*MasterData!$H$4,2)</f>
        <v>6520.8</v>
      </c>
      <c r="R119" s="199">
        <f>VLOOKUP($A119,MasterData!$B$62:$L$111,8,FALSE)</f>
        <v>0.12</v>
      </c>
      <c r="S119" s="200">
        <f>ROUND(R119*MasterData!$I$4,2)</f>
        <v>3863.81</v>
      </c>
      <c r="T119" s="201">
        <f t="shared" si="12"/>
        <v>687817.31000000017</v>
      </c>
      <c r="U119" s="200">
        <f>ROUND(T119*MasterData!$C$29,2)</f>
        <v>153452.04</v>
      </c>
      <c r="V119" s="200">
        <f>ROUND(T119*MasterData!$J$29,2)</f>
        <v>2544.92</v>
      </c>
      <c r="W119" s="201">
        <f t="shared" si="13"/>
        <v>841269.35000000021</v>
      </c>
      <c r="X119" s="212">
        <f>VLOOKUP($A119,MasterData!$B$62:$L$111,10,FALSE)*52</f>
        <v>104</v>
      </c>
      <c r="Y119" s="200">
        <f>ROUND(X119*MasterData!$C$7,2)</f>
        <v>6277.44</v>
      </c>
      <c r="Z119" s="199">
        <f>VLOOKUP($A119,MasterData!$B$62:$L$111,11,FALSE)*52</f>
        <v>156</v>
      </c>
      <c r="AA119" s="200">
        <f>ROUND(Z119*MasterData!$D$7,2)</f>
        <v>6605.04</v>
      </c>
      <c r="AB119" s="201">
        <f t="shared" si="14"/>
        <v>12882.48</v>
      </c>
      <c r="AC119" s="202">
        <f>MasterData!$M$29</f>
        <v>17820.45943877551</v>
      </c>
      <c r="AD119" s="200">
        <f>MasterData!$D$29</f>
        <v>2233.8000000000002</v>
      </c>
      <c r="AE119" s="200">
        <f>MasterData!$E$29</f>
        <v>6471.45</v>
      </c>
      <c r="AF119" s="200">
        <f>MasterData!$F$29</f>
        <v>0</v>
      </c>
      <c r="AG119" s="201">
        <f t="shared" si="9"/>
        <v>880677.53943877574</v>
      </c>
      <c r="AH119" s="200">
        <f>ROUND(AG119*MasterData!$G$29,2)</f>
        <v>105681.3</v>
      </c>
      <c r="AI119" s="200">
        <f>((AG119+AH119)*MasterData!$I$29)-'Model Calculator'!W119*MasterData!$I$29</f>
        <v>2582.5929120102064</v>
      </c>
      <c r="AJ119" s="201">
        <f t="shared" si="10"/>
        <v>991486.35235078598</v>
      </c>
      <c r="AK119" s="201">
        <f t="shared" si="15"/>
        <v>2857.31</v>
      </c>
    </row>
    <row r="120" spans="1:37">
      <c r="A120" s="197" t="s">
        <v>106</v>
      </c>
      <c r="B120" s="197" t="str">
        <f t="shared" si="16"/>
        <v>M412.53</v>
      </c>
      <c r="C120" s="197" t="s">
        <v>178</v>
      </c>
      <c r="D120" s="197" t="s">
        <v>282</v>
      </c>
      <c r="E120" s="197">
        <f>VLOOKUP($C45,MasterData!$B$62:$L$111,2,FALSE)</f>
        <v>0.41</v>
      </c>
      <c r="F120" s="198">
        <f>ROUND(E120*MasterData!$C$4,2)</f>
        <v>21177.18</v>
      </c>
      <c r="G120" s="199">
        <f>VLOOKUP($C45,MasterData!$B$62:$L$111,3,FALSE)</f>
        <v>1</v>
      </c>
      <c r="H120" s="198">
        <f>ROUND(G120*MasterData!$D$4,2)</f>
        <v>41516.800000000003</v>
      </c>
      <c r="I120" s="199">
        <f t="shared" si="11"/>
        <v>12.5</v>
      </c>
      <c r="J120" s="199">
        <f>VLOOKUP($C45,MasterData!$B$62:$L$111,4,FALSE)</f>
        <v>11.1</v>
      </c>
      <c r="K120" s="198">
        <f>ROUND(J120*MasterData!$F$26,2)</f>
        <v>520914.3</v>
      </c>
      <c r="L120" s="199">
        <f>VLOOKUP($C45,MasterData!$B$62:$L$111,5,FALSE)</f>
        <v>1.4</v>
      </c>
      <c r="M120" s="200">
        <f>ROUND(L120*MasterData!$F$4,2)</f>
        <v>41496</v>
      </c>
      <c r="N120" s="199">
        <f>VLOOKUP($A120,MasterData!$B$62:$L$111,6,FALSE)</f>
        <v>1.93</v>
      </c>
      <c r="O120" s="211">
        <f>ROUND(N120*MasterData!$G$26,2)</f>
        <v>79070.570000000007</v>
      </c>
      <c r="P120" s="199">
        <f>VLOOKUP($A120,MasterData!$B$62:$L$111,7,FALSE)</f>
        <v>0.22</v>
      </c>
      <c r="Q120" s="198">
        <f>ROUND(P120*MasterData!$H$4,2)</f>
        <v>6520.8</v>
      </c>
      <c r="R120" s="199">
        <f>VLOOKUP($A120,MasterData!$B$62:$L$111,8,FALSE)</f>
        <v>0.12</v>
      </c>
      <c r="S120" s="200">
        <f>ROUND(R120*MasterData!$I$4,2)</f>
        <v>3863.81</v>
      </c>
      <c r="T120" s="201">
        <f t="shared" si="12"/>
        <v>714559.4600000002</v>
      </c>
      <c r="U120" s="200">
        <f>ROUND(T120*MasterData!$C$29,2)</f>
        <v>159418.22</v>
      </c>
      <c r="V120" s="200">
        <f>ROUND(T120*MasterData!$J$29,2)</f>
        <v>2643.87</v>
      </c>
      <c r="W120" s="201">
        <f t="shared" si="13"/>
        <v>873977.68000000017</v>
      </c>
      <c r="X120" s="212">
        <f>VLOOKUP($A120,MasterData!$B$62:$L$111,10,FALSE)*52</f>
        <v>104</v>
      </c>
      <c r="Y120" s="200">
        <f>ROUND(X120*MasterData!$C$7,2)</f>
        <v>6277.44</v>
      </c>
      <c r="Z120" s="199">
        <f>VLOOKUP($A120,MasterData!$B$62:$L$111,11,FALSE)*52</f>
        <v>156</v>
      </c>
      <c r="AA120" s="200">
        <f>ROUND(Z120*MasterData!$D$7,2)</f>
        <v>6605.04</v>
      </c>
      <c r="AB120" s="201">
        <f t="shared" si="14"/>
        <v>12882.48</v>
      </c>
      <c r="AC120" s="202">
        <f>MasterData!$M$29</f>
        <v>17820.45943877551</v>
      </c>
      <c r="AD120" s="200">
        <f>MasterData!$D$29</f>
        <v>2233.8000000000002</v>
      </c>
      <c r="AE120" s="200">
        <f>MasterData!$E$29</f>
        <v>6471.45</v>
      </c>
      <c r="AF120" s="200">
        <f>MasterData!$F$29</f>
        <v>0</v>
      </c>
      <c r="AG120" s="201">
        <f t="shared" si="9"/>
        <v>913385.8694387757</v>
      </c>
      <c r="AH120" s="200">
        <f>ROUND(AG120*MasterData!$G$29,2)</f>
        <v>109606.3</v>
      </c>
      <c r="AI120" s="200">
        <f>((AG120+AH120)*MasterData!$I$29)-'Model Calculator'!W120*MasterData!$I$29</f>
        <v>2652.4579120102044</v>
      </c>
      <c r="AJ120" s="201">
        <f t="shared" si="10"/>
        <v>1028288.497350786</v>
      </c>
      <c r="AK120" s="201">
        <f t="shared" si="15"/>
        <v>2963.37</v>
      </c>
    </row>
    <row r="121" spans="1:37">
      <c r="A121" s="197" t="s">
        <v>107</v>
      </c>
      <c r="B121" s="197" t="str">
        <f t="shared" si="16"/>
        <v>M413.03</v>
      </c>
      <c r="C121" s="197" t="s">
        <v>179</v>
      </c>
      <c r="D121" s="197" t="s">
        <v>282</v>
      </c>
      <c r="E121" s="197">
        <f>VLOOKUP($C46,MasterData!$B$62:$L$111,2,FALSE)</f>
        <v>0.41</v>
      </c>
      <c r="F121" s="198">
        <f>ROUND(E121*MasterData!$C$4,2)</f>
        <v>21177.18</v>
      </c>
      <c r="G121" s="199">
        <f>VLOOKUP($C46,MasterData!$B$62:$L$111,3,FALSE)</f>
        <v>1</v>
      </c>
      <c r="H121" s="198">
        <f>ROUND(G121*MasterData!$D$4,2)</f>
        <v>41516.800000000003</v>
      </c>
      <c r="I121" s="199">
        <f t="shared" si="11"/>
        <v>13</v>
      </c>
      <c r="J121" s="199">
        <f>VLOOKUP($C46,MasterData!$B$62:$L$111,4,FALSE)</f>
        <v>11.6</v>
      </c>
      <c r="K121" s="198">
        <f>ROUND(J121*MasterData!$F$26,2)</f>
        <v>544378.91</v>
      </c>
      <c r="L121" s="199">
        <f>VLOOKUP($C46,MasterData!$B$62:$L$111,5,FALSE)</f>
        <v>1.4</v>
      </c>
      <c r="M121" s="200">
        <f>ROUND(L121*MasterData!$F$4,2)</f>
        <v>41496</v>
      </c>
      <c r="N121" s="199">
        <f>VLOOKUP($A121,MasterData!$B$62:$L$111,6,FALSE)</f>
        <v>2</v>
      </c>
      <c r="O121" s="211">
        <f>ROUND(N121*MasterData!$G$26,2)</f>
        <v>81938.41</v>
      </c>
      <c r="P121" s="199">
        <f>VLOOKUP($A121,MasterData!$B$62:$L$111,7,FALSE)</f>
        <v>0.22</v>
      </c>
      <c r="Q121" s="198">
        <f>ROUND(P121*MasterData!$H$4,2)</f>
        <v>6520.8</v>
      </c>
      <c r="R121" s="199">
        <f>VLOOKUP($A121,MasterData!$B$62:$L$111,8,FALSE)</f>
        <v>0.12</v>
      </c>
      <c r="S121" s="200">
        <f>ROUND(R121*MasterData!$I$4,2)</f>
        <v>3863.81</v>
      </c>
      <c r="T121" s="201">
        <f t="shared" si="12"/>
        <v>740891.91000000015</v>
      </c>
      <c r="U121" s="200">
        <f>ROUND(T121*MasterData!$C$29,2)</f>
        <v>165292.99</v>
      </c>
      <c r="V121" s="200">
        <f>ROUND(T121*MasterData!$J$29,2)</f>
        <v>2741.3</v>
      </c>
      <c r="W121" s="201">
        <f t="shared" si="13"/>
        <v>906184.90000000014</v>
      </c>
      <c r="X121" s="212">
        <f>VLOOKUP($A121,MasterData!$B$62:$L$111,10,FALSE)*52</f>
        <v>104</v>
      </c>
      <c r="Y121" s="200">
        <f>ROUND(X121*MasterData!$C$7,2)</f>
        <v>6277.44</v>
      </c>
      <c r="Z121" s="199">
        <f>VLOOKUP($A121,MasterData!$B$62:$L$111,11,FALSE)*52</f>
        <v>156</v>
      </c>
      <c r="AA121" s="200">
        <f>ROUND(Z121*MasterData!$D$7,2)</f>
        <v>6605.04</v>
      </c>
      <c r="AB121" s="201">
        <f t="shared" si="14"/>
        <v>12882.48</v>
      </c>
      <c r="AC121" s="202">
        <f>MasterData!$M$29</f>
        <v>17820.45943877551</v>
      </c>
      <c r="AD121" s="200">
        <f>MasterData!$D$29</f>
        <v>2233.8000000000002</v>
      </c>
      <c r="AE121" s="200">
        <f>MasterData!$E$29</f>
        <v>6471.45</v>
      </c>
      <c r="AF121" s="200">
        <f>MasterData!$F$29</f>
        <v>0</v>
      </c>
      <c r="AG121" s="201">
        <f t="shared" si="9"/>
        <v>945593.08943877567</v>
      </c>
      <c r="AH121" s="200">
        <f>ROUND(AG121*MasterData!$G$29,2)</f>
        <v>113471.17</v>
      </c>
      <c r="AI121" s="200">
        <f>((AG121+AH121)*MasterData!$I$29)-'Model Calculator'!W121*MasterData!$I$29</f>
        <v>2721.2525980102037</v>
      </c>
      <c r="AJ121" s="201">
        <f t="shared" si="10"/>
        <v>1064526.812036786</v>
      </c>
      <c r="AK121" s="201">
        <f t="shared" si="15"/>
        <v>3067.8</v>
      </c>
    </row>
    <row r="122" spans="1:37">
      <c r="A122" s="197" t="s">
        <v>108</v>
      </c>
      <c r="B122" s="197" t="str">
        <f t="shared" si="16"/>
        <v>M413.53</v>
      </c>
      <c r="C122" s="197" t="s">
        <v>180</v>
      </c>
      <c r="D122" s="197" t="s">
        <v>282</v>
      </c>
      <c r="E122" s="197">
        <f>VLOOKUP($C47,MasterData!$B$62:$L$111,2,FALSE)</f>
        <v>0.41</v>
      </c>
      <c r="F122" s="198">
        <f>ROUND(E122*MasterData!$C$4,2)</f>
        <v>21177.18</v>
      </c>
      <c r="G122" s="199">
        <f>VLOOKUP($C47,MasterData!$B$62:$L$111,3,FALSE)</f>
        <v>1</v>
      </c>
      <c r="H122" s="198">
        <f>ROUND(G122*MasterData!$D$4,2)</f>
        <v>41516.800000000003</v>
      </c>
      <c r="I122" s="199">
        <f t="shared" si="11"/>
        <v>13.5</v>
      </c>
      <c r="J122" s="199">
        <f>VLOOKUP($C47,MasterData!$B$62:$L$111,4,FALSE)</f>
        <v>12.1</v>
      </c>
      <c r="K122" s="198">
        <f>ROUND(J122*MasterData!$F$26,2)</f>
        <v>567843.51</v>
      </c>
      <c r="L122" s="199">
        <f>VLOOKUP($C47,MasterData!$B$62:$L$111,5,FALSE)</f>
        <v>1.4</v>
      </c>
      <c r="M122" s="200">
        <f>ROUND(L122*MasterData!$F$4,2)</f>
        <v>41496</v>
      </c>
      <c r="N122" s="199">
        <f>VLOOKUP($A122,MasterData!$B$62:$L$111,6,FALSE)</f>
        <v>2.08</v>
      </c>
      <c r="O122" s="211">
        <f>ROUND(N122*MasterData!$G$26,2)</f>
        <v>85215.95</v>
      </c>
      <c r="P122" s="199">
        <f>VLOOKUP($A122,MasterData!$B$62:$L$111,7,FALSE)</f>
        <v>0.22</v>
      </c>
      <c r="Q122" s="198">
        <f>ROUND(P122*MasterData!$H$4,2)</f>
        <v>6520.8</v>
      </c>
      <c r="R122" s="199">
        <f>VLOOKUP($A122,MasterData!$B$62:$L$111,8,FALSE)</f>
        <v>0.12</v>
      </c>
      <c r="S122" s="200">
        <f>ROUND(R122*MasterData!$I$4,2)</f>
        <v>3863.81</v>
      </c>
      <c r="T122" s="201">
        <f t="shared" si="12"/>
        <v>767634.05</v>
      </c>
      <c r="U122" s="200">
        <f>ROUND(T122*MasterData!$C$29,2)</f>
        <v>171259.16</v>
      </c>
      <c r="V122" s="200">
        <f>ROUND(T122*MasterData!$J$29,2)</f>
        <v>2840.25</v>
      </c>
      <c r="W122" s="201">
        <f t="shared" si="13"/>
        <v>938893.21000000008</v>
      </c>
      <c r="X122" s="212">
        <f>VLOOKUP($A122,MasterData!$B$62:$L$111,10,FALSE)*52</f>
        <v>104</v>
      </c>
      <c r="Y122" s="200">
        <f>ROUND(X122*MasterData!$C$7,2)</f>
        <v>6277.44</v>
      </c>
      <c r="Z122" s="199">
        <f>VLOOKUP($A122,MasterData!$B$62:$L$111,11,FALSE)*52</f>
        <v>156</v>
      </c>
      <c r="AA122" s="200">
        <f>ROUND(Z122*MasterData!$D$7,2)</f>
        <v>6605.04</v>
      </c>
      <c r="AB122" s="201">
        <f t="shared" si="14"/>
        <v>12882.48</v>
      </c>
      <c r="AC122" s="202">
        <f>MasterData!$M$29</f>
        <v>17820.45943877551</v>
      </c>
      <c r="AD122" s="200">
        <f>MasterData!$D$29</f>
        <v>2233.8000000000002</v>
      </c>
      <c r="AE122" s="200">
        <f>MasterData!$E$29</f>
        <v>6471.45</v>
      </c>
      <c r="AF122" s="200">
        <f>MasterData!$F$29</f>
        <v>0</v>
      </c>
      <c r="AG122" s="201">
        <f t="shared" si="9"/>
        <v>978301.39943877561</v>
      </c>
      <c r="AH122" s="200">
        <f>ROUND(AG122*MasterData!$G$29,2)</f>
        <v>117396.17</v>
      </c>
      <c r="AI122" s="200">
        <f>((AG122+AH122)*MasterData!$I$29)-'Model Calculator'!W122*MasterData!$I$29</f>
        <v>2791.1175980102016</v>
      </c>
      <c r="AJ122" s="201">
        <f t="shared" si="10"/>
        <v>1101328.9370367858</v>
      </c>
      <c r="AK122" s="201">
        <f t="shared" si="15"/>
        <v>3173.86</v>
      </c>
    </row>
    <row r="123" spans="1:37">
      <c r="A123" s="197" t="s">
        <v>109</v>
      </c>
      <c r="B123" s="197" t="str">
        <f t="shared" si="16"/>
        <v>M414.03</v>
      </c>
      <c r="C123" s="197" t="s">
        <v>181</v>
      </c>
      <c r="D123" s="197" t="s">
        <v>282</v>
      </c>
      <c r="E123" s="197">
        <f>VLOOKUP($C48,MasterData!$B$62:$L$111,2,FALSE)</f>
        <v>0.41</v>
      </c>
      <c r="F123" s="198">
        <f>ROUND(E123*MasterData!$C$4,2)</f>
        <v>21177.18</v>
      </c>
      <c r="G123" s="199">
        <f>VLOOKUP($C48,MasterData!$B$62:$L$111,3,FALSE)</f>
        <v>1</v>
      </c>
      <c r="H123" s="198">
        <f>ROUND(G123*MasterData!$D$4,2)</f>
        <v>41516.800000000003</v>
      </c>
      <c r="I123" s="199">
        <f t="shared" si="11"/>
        <v>14</v>
      </c>
      <c r="J123" s="199">
        <f>VLOOKUP($C48,MasterData!$B$62:$L$111,4,FALSE)</f>
        <v>12.6</v>
      </c>
      <c r="K123" s="198">
        <f>ROUND(J123*MasterData!$F$26,2)</f>
        <v>591308.12</v>
      </c>
      <c r="L123" s="199">
        <f>VLOOKUP($C48,MasterData!$B$62:$L$111,5,FALSE)</f>
        <v>1.4</v>
      </c>
      <c r="M123" s="200">
        <f>ROUND(L123*MasterData!$F$4,2)</f>
        <v>41496</v>
      </c>
      <c r="N123" s="199">
        <f>VLOOKUP($A123,MasterData!$B$62:$L$111,6,FALSE)</f>
        <v>2.16</v>
      </c>
      <c r="O123" s="211">
        <f>ROUND(N123*MasterData!$G$26,2)</f>
        <v>88493.48</v>
      </c>
      <c r="P123" s="199">
        <f>VLOOKUP($A123,MasterData!$B$62:$L$111,7,FALSE)</f>
        <v>0.22</v>
      </c>
      <c r="Q123" s="198">
        <f>ROUND(P123*MasterData!$H$4,2)</f>
        <v>6520.8</v>
      </c>
      <c r="R123" s="199">
        <f>VLOOKUP($A123,MasterData!$B$62:$L$111,8,FALSE)</f>
        <v>0.12</v>
      </c>
      <c r="S123" s="200">
        <f>ROUND(R123*MasterData!$I$4,2)</f>
        <v>3863.81</v>
      </c>
      <c r="T123" s="201">
        <f t="shared" si="12"/>
        <v>794376.19000000006</v>
      </c>
      <c r="U123" s="200">
        <f>ROUND(T123*MasterData!$C$29,2)</f>
        <v>177225.33</v>
      </c>
      <c r="V123" s="200">
        <f>ROUND(T123*MasterData!$J$29,2)</f>
        <v>2939.19</v>
      </c>
      <c r="W123" s="201">
        <f t="shared" si="13"/>
        <v>971601.52</v>
      </c>
      <c r="X123" s="212">
        <f>VLOOKUP($A123,MasterData!$B$62:$L$111,10,FALSE)*52</f>
        <v>104</v>
      </c>
      <c r="Y123" s="200">
        <f>ROUND(X123*MasterData!$C$7,2)</f>
        <v>6277.44</v>
      </c>
      <c r="Z123" s="199">
        <f>VLOOKUP($A123,MasterData!$B$62:$L$111,11,FALSE)*52</f>
        <v>156</v>
      </c>
      <c r="AA123" s="200">
        <f>ROUND(Z123*MasterData!$D$7,2)</f>
        <v>6605.04</v>
      </c>
      <c r="AB123" s="201">
        <f t="shared" si="14"/>
        <v>12882.48</v>
      </c>
      <c r="AC123" s="202">
        <f>MasterData!$M$29</f>
        <v>17820.45943877551</v>
      </c>
      <c r="AD123" s="200">
        <f>MasterData!$D$29</f>
        <v>2233.8000000000002</v>
      </c>
      <c r="AE123" s="200">
        <f>MasterData!$E$29</f>
        <v>6471.45</v>
      </c>
      <c r="AF123" s="200">
        <f>MasterData!$F$29</f>
        <v>0</v>
      </c>
      <c r="AG123" s="201">
        <f t="shared" si="9"/>
        <v>1011009.7094387755</v>
      </c>
      <c r="AH123" s="200">
        <f>ROUND(AG123*MasterData!$G$29,2)</f>
        <v>121321.17</v>
      </c>
      <c r="AI123" s="200">
        <f>((AG123+AH123)*MasterData!$I$29)-'Model Calculator'!W123*MasterData!$I$29</f>
        <v>2860.9825980102069</v>
      </c>
      <c r="AJ123" s="201">
        <f t="shared" si="10"/>
        <v>1138131.0520367858</v>
      </c>
      <c r="AK123" s="201">
        <f t="shared" si="15"/>
        <v>3279.92</v>
      </c>
    </row>
    <row r="124" spans="1:37">
      <c r="A124" s="197" t="s">
        <v>110</v>
      </c>
      <c r="B124" s="197" t="str">
        <f t="shared" si="16"/>
        <v>M414.53</v>
      </c>
      <c r="C124" s="197" t="s">
        <v>182</v>
      </c>
      <c r="D124" s="197" t="s">
        <v>282</v>
      </c>
      <c r="E124" s="197">
        <f>VLOOKUP($C49,MasterData!$B$62:$L$111,2,FALSE)</f>
        <v>0.41</v>
      </c>
      <c r="F124" s="198">
        <f>ROUND(E124*MasterData!$C$4,2)</f>
        <v>21177.18</v>
      </c>
      <c r="G124" s="199">
        <f>VLOOKUP($C49,MasterData!$B$62:$L$111,3,FALSE)</f>
        <v>1</v>
      </c>
      <c r="H124" s="198">
        <f>ROUND(G124*MasterData!$D$4,2)</f>
        <v>41516.800000000003</v>
      </c>
      <c r="I124" s="199">
        <f t="shared" si="11"/>
        <v>14.5</v>
      </c>
      <c r="J124" s="199">
        <f>VLOOKUP($C49,MasterData!$B$62:$L$111,4,FALSE)</f>
        <v>13.1</v>
      </c>
      <c r="K124" s="198">
        <f>ROUND(J124*MasterData!$F$26,2)</f>
        <v>614772.73</v>
      </c>
      <c r="L124" s="199">
        <f>VLOOKUP($C49,MasterData!$B$62:$L$111,5,FALSE)</f>
        <v>1.4</v>
      </c>
      <c r="M124" s="200">
        <f>ROUND(L124*MasterData!$F$4,2)</f>
        <v>41496</v>
      </c>
      <c r="N124" s="199">
        <f>VLOOKUP($A124,MasterData!$B$62:$L$111,6,FALSE)</f>
        <v>2.23</v>
      </c>
      <c r="O124" s="211">
        <f>ROUND(N124*MasterData!$G$26,2)</f>
        <v>91361.33</v>
      </c>
      <c r="P124" s="199">
        <f>VLOOKUP($A124,MasterData!$B$62:$L$111,7,FALSE)</f>
        <v>0.22</v>
      </c>
      <c r="Q124" s="198">
        <f>ROUND(P124*MasterData!$H$4,2)</f>
        <v>6520.8</v>
      </c>
      <c r="R124" s="199">
        <f>VLOOKUP($A124,MasterData!$B$62:$L$111,8,FALSE)</f>
        <v>0.12</v>
      </c>
      <c r="S124" s="200">
        <f>ROUND(R124*MasterData!$I$4,2)</f>
        <v>3863.81</v>
      </c>
      <c r="T124" s="201">
        <f t="shared" si="12"/>
        <v>820708.65</v>
      </c>
      <c r="U124" s="200">
        <f>ROUND(T124*MasterData!$C$29,2)</f>
        <v>183100.1</v>
      </c>
      <c r="V124" s="200">
        <f>ROUND(T124*MasterData!$J$29,2)</f>
        <v>3036.62</v>
      </c>
      <c r="W124" s="201">
        <f t="shared" si="13"/>
        <v>1003808.75</v>
      </c>
      <c r="X124" s="212">
        <f>VLOOKUP($A124,MasterData!$B$62:$L$111,10,FALSE)*52</f>
        <v>104</v>
      </c>
      <c r="Y124" s="200">
        <f>ROUND(X124*MasterData!$C$7,2)</f>
        <v>6277.44</v>
      </c>
      <c r="Z124" s="199">
        <f>VLOOKUP($A124,MasterData!$B$62:$L$111,11,FALSE)*52</f>
        <v>156</v>
      </c>
      <c r="AA124" s="200">
        <f>ROUND(Z124*MasterData!$D$7,2)</f>
        <v>6605.04</v>
      </c>
      <c r="AB124" s="201">
        <f t="shared" si="14"/>
        <v>12882.48</v>
      </c>
      <c r="AC124" s="202">
        <f>MasterData!$M$29</f>
        <v>17820.45943877551</v>
      </c>
      <c r="AD124" s="200">
        <f>MasterData!$D$29</f>
        <v>2233.8000000000002</v>
      </c>
      <c r="AE124" s="200">
        <f>MasterData!$E$29</f>
        <v>6471.45</v>
      </c>
      <c r="AF124" s="200">
        <f>MasterData!$F$29</f>
        <v>0</v>
      </c>
      <c r="AG124" s="201">
        <f t="shared" si="9"/>
        <v>1043216.9394387755</v>
      </c>
      <c r="AH124" s="200">
        <f>ROUND(AG124*MasterData!$G$29,2)</f>
        <v>125186.03</v>
      </c>
      <c r="AI124" s="200">
        <f>((AG124+AH124)*MasterData!$I$29)-'Model Calculator'!W124*MasterData!$I$29</f>
        <v>2929.7771060102023</v>
      </c>
      <c r="AJ124" s="201">
        <f t="shared" si="10"/>
        <v>1174369.3665447857</v>
      </c>
      <c r="AK124" s="201">
        <f t="shared" si="15"/>
        <v>3384.35</v>
      </c>
    </row>
    <row r="125" spans="1:37">
      <c r="A125" s="197" t="s">
        <v>111</v>
      </c>
      <c r="B125" s="197" t="str">
        <f t="shared" si="16"/>
        <v>M415.03</v>
      </c>
      <c r="C125" s="197" t="s">
        <v>183</v>
      </c>
      <c r="D125" s="197" t="s">
        <v>282</v>
      </c>
      <c r="E125" s="197">
        <f>VLOOKUP($C50,MasterData!$B$62:$L$111,2,FALSE)</f>
        <v>0.41</v>
      </c>
      <c r="F125" s="198">
        <f>ROUND(E125*MasterData!$C$4,2)</f>
        <v>21177.18</v>
      </c>
      <c r="G125" s="199">
        <f>VLOOKUP($C50,MasterData!$B$62:$L$111,3,FALSE)</f>
        <v>1</v>
      </c>
      <c r="H125" s="198">
        <f>ROUND(G125*MasterData!$D$4,2)</f>
        <v>41516.800000000003</v>
      </c>
      <c r="I125" s="199">
        <f t="shared" si="11"/>
        <v>15</v>
      </c>
      <c r="J125" s="199">
        <f>VLOOKUP($C50,MasterData!$B$62:$L$111,4,FALSE)</f>
        <v>13.6</v>
      </c>
      <c r="K125" s="198">
        <f>ROUND(J125*MasterData!$F$26,2)</f>
        <v>638237.34</v>
      </c>
      <c r="L125" s="199">
        <f>VLOOKUP($C50,MasterData!$B$62:$L$111,5,FALSE)</f>
        <v>1.4</v>
      </c>
      <c r="M125" s="200">
        <f>ROUND(L125*MasterData!$F$4,2)</f>
        <v>41496</v>
      </c>
      <c r="N125" s="199">
        <f>VLOOKUP($A125,MasterData!$B$62:$L$111,6,FALSE)</f>
        <v>2.31</v>
      </c>
      <c r="O125" s="211">
        <f>ROUND(N125*MasterData!$G$26,2)</f>
        <v>94638.86</v>
      </c>
      <c r="P125" s="199">
        <f>VLOOKUP($A125,MasterData!$B$62:$L$111,7,FALSE)</f>
        <v>0.22</v>
      </c>
      <c r="Q125" s="198">
        <f>ROUND(P125*MasterData!$H$4,2)</f>
        <v>6520.8</v>
      </c>
      <c r="R125" s="199">
        <f>VLOOKUP($A125,MasterData!$B$62:$L$111,8,FALSE)</f>
        <v>0.12</v>
      </c>
      <c r="S125" s="200">
        <f>ROUND(R125*MasterData!$I$4,2)</f>
        <v>3863.81</v>
      </c>
      <c r="T125" s="201">
        <f t="shared" si="12"/>
        <v>847450.79</v>
      </c>
      <c r="U125" s="200">
        <f>ROUND(T125*MasterData!$C$29,2)</f>
        <v>189066.27</v>
      </c>
      <c r="V125" s="200">
        <f>ROUND(T125*MasterData!$J$29,2)</f>
        <v>3135.57</v>
      </c>
      <c r="W125" s="201">
        <f t="shared" si="13"/>
        <v>1036517.06</v>
      </c>
      <c r="X125" s="212">
        <f>VLOOKUP($A125,MasterData!$B$62:$L$111,10,FALSE)*52</f>
        <v>104</v>
      </c>
      <c r="Y125" s="200">
        <f>ROUND(X125*MasterData!$C$7,2)</f>
        <v>6277.44</v>
      </c>
      <c r="Z125" s="199">
        <f>VLOOKUP($A125,MasterData!$B$62:$L$111,11,FALSE)*52</f>
        <v>156</v>
      </c>
      <c r="AA125" s="200">
        <f>ROUND(Z125*MasterData!$D$7,2)</f>
        <v>6605.04</v>
      </c>
      <c r="AB125" s="201">
        <f t="shared" si="14"/>
        <v>12882.48</v>
      </c>
      <c r="AC125" s="202">
        <f>MasterData!$M$29</f>
        <v>17820.45943877551</v>
      </c>
      <c r="AD125" s="200">
        <f>MasterData!$D$29</f>
        <v>2233.8000000000002</v>
      </c>
      <c r="AE125" s="200">
        <f>MasterData!$E$29</f>
        <v>6471.45</v>
      </c>
      <c r="AF125" s="200">
        <f>MasterData!$F$29</f>
        <v>0</v>
      </c>
      <c r="AG125" s="201">
        <f t="shared" si="9"/>
        <v>1075925.2494387755</v>
      </c>
      <c r="AH125" s="200">
        <f>ROUND(AG125*MasterData!$G$29,2)</f>
        <v>129111.03</v>
      </c>
      <c r="AI125" s="200">
        <f>((AG125+AH125)*MasterData!$I$29)-'Model Calculator'!W125*MasterData!$I$29</f>
        <v>2999.6421060102039</v>
      </c>
      <c r="AJ125" s="201">
        <f t="shared" si="10"/>
        <v>1211171.4915447857</v>
      </c>
      <c r="AK125" s="201">
        <f t="shared" si="15"/>
        <v>3490.41</v>
      </c>
    </row>
    <row r="126" spans="1:37">
      <c r="A126" s="197" t="s">
        <v>112</v>
      </c>
      <c r="B126" s="197" t="str">
        <f t="shared" si="16"/>
        <v>M415.53</v>
      </c>
      <c r="C126" s="197" t="s">
        <v>184</v>
      </c>
      <c r="D126" s="197" t="s">
        <v>282</v>
      </c>
      <c r="E126" s="197">
        <f>VLOOKUP($C51,MasterData!$B$62:$L$111,2,FALSE)</f>
        <v>0.41</v>
      </c>
      <c r="F126" s="198">
        <f>ROUND(E126*MasterData!$C$4,2)</f>
        <v>21177.18</v>
      </c>
      <c r="G126" s="199">
        <f>VLOOKUP($C51,MasterData!$B$62:$L$111,3,FALSE)</f>
        <v>1</v>
      </c>
      <c r="H126" s="198">
        <f>ROUND(G126*MasterData!$D$4,2)</f>
        <v>41516.800000000003</v>
      </c>
      <c r="I126" s="199">
        <f t="shared" si="11"/>
        <v>15.5</v>
      </c>
      <c r="J126" s="199">
        <f>VLOOKUP($C51,MasterData!$B$62:$L$111,4,FALSE)</f>
        <v>14.1</v>
      </c>
      <c r="K126" s="198">
        <f>ROUND(J126*MasterData!$F$26,2)</f>
        <v>661701.94999999995</v>
      </c>
      <c r="L126" s="199">
        <f>VLOOKUP($C51,MasterData!$B$62:$L$111,5,FALSE)</f>
        <v>1.4</v>
      </c>
      <c r="M126" s="200">
        <f>ROUND(L126*MasterData!$F$4,2)</f>
        <v>41496</v>
      </c>
      <c r="N126" s="199">
        <f>VLOOKUP($A126,MasterData!$B$62:$L$111,6,FALSE)</f>
        <v>2.39</v>
      </c>
      <c r="O126" s="211">
        <f>ROUND(N126*MasterData!$G$26,2)</f>
        <v>97916.4</v>
      </c>
      <c r="P126" s="199">
        <f>VLOOKUP($A126,MasterData!$B$62:$L$111,7,FALSE)</f>
        <v>0.22</v>
      </c>
      <c r="Q126" s="198">
        <f>ROUND(P126*MasterData!$H$4,2)</f>
        <v>6520.8</v>
      </c>
      <c r="R126" s="199">
        <f>VLOOKUP($A126,MasterData!$B$62:$L$111,8,FALSE)</f>
        <v>0.12</v>
      </c>
      <c r="S126" s="200">
        <f>ROUND(R126*MasterData!$I$4,2)</f>
        <v>3863.81</v>
      </c>
      <c r="T126" s="201">
        <f t="shared" si="12"/>
        <v>874192.94000000006</v>
      </c>
      <c r="U126" s="200">
        <f>ROUND(T126*MasterData!$C$29,2)</f>
        <v>195032.44</v>
      </c>
      <c r="V126" s="200">
        <f>ROUND(T126*MasterData!$J$29,2)</f>
        <v>3234.51</v>
      </c>
      <c r="W126" s="201">
        <f t="shared" si="13"/>
        <v>1069225.3800000001</v>
      </c>
      <c r="X126" s="212">
        <f>VLOOKUP($A126,MasterData!$B$62:$L$111,10,FALSE)*52</f>
        <v>104</v>
      </c>
      <c r="Y126" s="200">
        <f>ROUND(X126*MasterData!$C$7,2)</f>
        <v>6277.44</v>
      </c>
      <c r="Z126" s="199">
        <f>VLOOKUP($A126,MasterData!$B$62:$L$111,11,FALSE)*52</f>
        <v>156</v>
      </c>
      <c r="AA126" s="200">
        <f>ROUND(Z126*MasterData!$D$7,2)</f>
        <v>6605.04</v>
      </c>
      <c r="AB126" s="201">
        <f t="shared" si="14"/>
        <v>12882.48</v>
      </c>
      <c r="AC126" s="202">
        <f>MasterData!$M$29</f>
        <v>17820.45943877551</v>
      </c>
      <c r="AD126" s="200">
        <f>MasterData!$D$29</f>
        <v>2233.8000000000002</v>
      </c>
      <c r="AE126" s="200">
        <f>MasterData!$E$29</f>
        <v>6471.45</v>
      </c>
      <c r="AF126" s="200">
        <f>MasterData!$F$29</f>
        <v>0</v>
      </c>
      <c r="AG126" s="201">
        <f t="shared" si="9"/>
        <v>1108633.5694387755</v>
      </c>
      <c r="AH126" s="200">
        <f>ROUND(AG126*MasterData!$G$29,2)</f>
        <v>133036.03</v>
      </c>
      <c r="AI126" s="200">
        <f>((AG126+AH126)*MasterData!$I$29)-'Model Calculator'!W126*MasterData!$I$29</f>
        <v>3069.5071060102018</v>
      </c>
      <c r="AJ126" s="201">
        <f t="shared" si="10"/>
        <v>1247973.6165447857</v>
      </c>
      <c r="AK126" s="201">
        <f t="shared" si="15"/>
        <v>3596.47</v>
      </c>
    </row>
    <row r="127" spans="1:37" hidden="1">
      <c r="A127" s="197" t="s">
        <v>89</v>
      </c>
      <c r="B127" s="197" t="str">
        <f t="shared" si="16"/>
        <v>M403.54</v>
      </c>
      <c r="C127" s="197" t="s">
        <v>185</v>
      </c>
      <c r="D127" s="197" t="s">
        <v>282</v>
      </c>
      <c r="E127" s="197">
        <f>VLOOKUP($C27,MasterData!$B$62:$L$111,2,FALSE)</f>
        <v>0.41</v>
      </c>
      <c r="F127" s="198">
        <f>ROUND(E127*MasterData!$C$4,2)</f>
        <v>21177.18</v>
      </c>
      <c r="G127" s="199">
        <f>VLOOKUP($C27,MasterData!$B$62:$L$111,3,FALSE)</f>
        <v>1</v>
      </c>
      <c r="H127" s="198">
        <f>ROUND(G127*MasterData!$D$4,2)</f>
        <v>41516.800000000003</v>
      </c>
      <c r="I127" s="199">
        <f t="shared" si="11"/>
        <v>3.5</v>
      </c>
      <c r="J127" s="199">
        <f>VLOOKUP($C27,MasterData!$B$62:$L$111,4,FALSE)</f>
        <v>2.1</v>
      </c>
      <c r="K127" s="198">
        <f>ROUND(J127*MasterData!$H$26,2)</f>
        <v>0</v>
      </c>
      <c r="L127" s="199">
        <f>VLOOKUP($C27,MasterData!$B$62:$L$111,5,FALSE)</f>
        <v>1.4</v>
      </c>
      <c r="M127" s="200">
        <f>ROUND(L127*MasterData!$F$4,2)</f>
        <v>41496</v>
      </c>
      <c r="N127" s="199">
        <f>VLOOKUP($A127,MasterData!$B$62:$L$111,6,FALSE)</f>
        <v>0.54</v>
      </c>
      <c r="O127" s="211">
        <f>ROUND(N127*MasterData!$I$26,2)</f>
        <v>0</v>
      </c>
      <c r="P127" s="199">
        <f>VLOOKUP($A127,MasterData!$B$62:$L$111,7,FALSE)</f>
        <v>0.22</v>
      </c>
      <c r="Q127" s="198">
        <f>ROUND(P127*MasterData!$H$4,2)</f>
        <v>6520.8</v>
      </c>
      <c r="R127" s="199">
        <f>VLOOKUP($A127,MasterData!$B$62:$L$111,8,FALSE)</f>
        <v>0.12</v>
      </c>
      <c r="S127" s="200">
        <f>ROUND(R127*MasterData!$I$4,2)</f>
        <v>3863.81</v>
      </c>
      <c r="T127" s="201">
        <f t="shared" si="12"/>
        <v>114574.59000000001</v>
      </c>
      <c r="U127" s="200">
        <f>ROUND(T127*MasterData!$C$29,2)</f>
        <v>25561.59</v>
      </c>
      <c r="V127" s="200">
        <f>ROUND(T127*MasterData!$J$29,2)</f>
        <v>423.93</v>
      </c>
      <c r="W127" s="201">
        <f t="shared" si="13"/>
        <v>140136.18000000002</v>
      </c>
      <c r="X127" s="212">
        <f>VLOOKUP($A127,MasterData!$B$62:$L$111,10,FALSE)*52</f>
        <v>104</v>
      </c>
      <c r="Y127" s="200">
        <f>ROUND(X127*MasterData!$C$7,2)</f>
        <v>6277.44</v>
      </c>
      <c r="Z127" s="199">
        <f>VLOOKUP($A127,MasterData!$B$62:$L$111,11,FALSE)*52</f>
        <v>156</v>
      </c>
      <c r="AA127" s="200">
        <f>ROUND(Z127*MasterData!$D$7,2)</f>
        <v>6605.04</v>
      </c>
      <c r="AB127" s="201">
        <f t="shared" si="14"/>
        <v>12882.48</v>
      </c>
      <c r="AC127" s="202">
        <f>MasterData!$M$29</f>
        <v>17820.45943877551</v>
      </c>
      <c r="AD127" s="200">
        <f>MasterData!$D$29</f>
        <v>2233.8000000000002</v>
      </c>
      <c r="AE127" s="200">
        <f>MasterData!$E$29</f>
        <v>6471.45</v>
      </c>
      <c r="AF127" s="200">
        <f>MasterData!$F$29</f>
        <v>0</v>
      </c>
      <c r="AG127" s="201">
        <f t="shared" si="9"/>
        <v>179544.36943877555</v>
      </c>
      <c r="AH127" s="200">
        <f>ROUND(AG127*MasterData!$G$29,2)</f>
        <v>21545.32</v>
      </c>
      <c r="AI127" s="200">
        <f>((AG127+AH127)*MasterData!$I$29)-'Model Calculator'!W127*MasterData!$I$29</f>
        <v>1084.9724680102045</v>
      </c>
      <c r="AJ127" s="201">
        <f t="shared" si="10"/>
        <v>202598.59190678576</v>
      </c>
      <c r="AK127" s="201">
        <f t="shared" si="15"/>
        <v>583.86</v>
      </c>
    </row>
    <row r="128" spans="1:37" hidden="1">
      <c r="A128" s="197" t="s">
        <v>90</v>
      </c>
      <c r="B128" s="197" t="str">
        <f t="shared" si="16"/>
        <v>M404.04</v>
      </c>
      <c r="C128" s="197" t="s">
        <v>186</v>
      </c>
      <c r="D128" s="197" t="s">
        <v>282</v>
      </c>
      <c r="E128" s="197">
        <f>VLOOKUP($C28,MasterData!$B$62:$L$111,2,FALSE)</f>
        <v>0.41</v>
      </c>
      <c r="F128" s="198">
        <f>ROUND(E128*MasterData!$C$4,2)</f>
        <v>21177.18</v>
      </c>
      <c r="G128" s="199">
        <f>VLOOKUP($C28,MasterData!$B$62:$L$111,3,FALSE)</f>
        <v>1</v>
      </c>
      <c r="H128" s="198">
        <f>ROUND(G128*MasterData!$D$4,2)</f>
        <v>41516.800000000003</v>
      </c>
      <c r="I128" s="199">
        <f t="shared" si="11"/>
        <v>4</v>
      </c>
      <c r="J128" s="199">
        <f>VLOOKUP($C28,MasterData!$B$62:$L$111,4,FALSE)</f>
        <v>2.6</v>
      </c>
      <c r="K128" s="198">
        <f>ROUND(J128*MasterData!$H$26,2)</f>
        <v>0</v>
      </c>
      <c r="L128" s="199">
        <f>VLOOKUP($C28,MasterData!$B$62:$L$111,5,FALSE)</f>
        <v>1.4</v>
      </c>
      <c r="M128" s="200">
        <f>ROUND(L128*MasterData!$F$4,2)</f>
        <v>41496</v>
      </c>
      <c r="N128" s="199">
        <f>VLOOKUP($A128,MasterData!$B$62:$L$111,6,FALSE)</f>
        <v>0.62</v>
      </c>
      <c r="O128" s="211">
        <f>ROUND(N128*MasterData!$I$26,2)</f>
        <v>0</v>
      </c>
      <c r="P128" s="199">
        <f>VLOOKUP($A128,MasterData!$B$62:$L$111,7,FALSE)</f>
        <v>0.22</v>
      </c>
      <c r="Q128" s="198">
        <f>ROUND(P128*MasterData!$H$4,2)</f>
        <v>6520.8</v>
      </c>
      <c r="R128" s="199">
        <f>VLOOKUP($A128,MasterData!$B$62:$L$111,8,FALSE)</f>
        <v>0.12</v>
      </c>
      <c r="S128" s="200">
        <f>ROUND(R128*MasterData!$I$4,2)</f>
        <v>3863.81</v>
      </c>
      <c r="T128" s="201">
        <f t="shared" si="12"/>
        <v>114574.59000000001</v>
      </c>
      <c r="U128" s="200">
        <f>ROUND(T128*MasterData!$C$29,2)</f>
        <v>25561.59</v>
      </c>
      <c r="V128" s="200">
        <f>ROUND(T128*MasterData!$J$29,2)</f>
        <v>423.93</v>
      </c>
      <c r="W128" s="201">
        <f t="shared" si="13"/>
        <v>140136.18000000002</v>
      </c>
      <c r="X128" s="212">
        <f>VLOOKUP($A128,MasterData!$B$62:$L$111,10,FALSE)*52</f>
        <v>104</v>
      </c>
      <c r="Y128" s="200">
        <f>ROUND(X128*MasterData!$C$7,2)</f>
        <v>6277.44</v>
      </c>
      <c r="Z128" s="199">
        <f>VLOOKUP($A128,MasterData!$B$62:$L$111,11,FALSE)*52</f>
        <v>156</v>
      </c>
      <c r="AA128" s="200">
        <f>ROUND(Z128*MasterData!$D$7,2)</f>
        <v>6605.04</v>
      </c>
      <c r="AB128" s="201">
        <f t="shared" si="14"/>
        <v>12882.48</v>
      </c>
      <c r="AC128" s="202">
        <f>MasterData!$M$29</f>
        <v>17820.45943877551</v>
      </c>
      <c r="AD128" s="200">
        <f>MasterData!$D$29</f>
        <v>2233.8000000000002</v>
      </c>
      <c r="AE128" s="200">
        <f>MasterData!$E$29</f>
        <v>6471.45</v>
      </c>
      <c r="AF128" s="200">
        <f>MasterData!$F$29</f>
        <v>0</v>
      </c>
      <c r="AG128" s="201">
        <f t="shared" si="9"/>
        <v>179544.36943877555</v>
      </c>
      <c r="AH128" s="200">
        <f>ROUND(AG128*MasterData!$G$29,2)</f>
        <v>21545.32</v>
      </c>
      <c r="AI128" s="200">
        <f>((AG128+AH128)*MasterData!$I$29)-'Model Calculator'!W128*MasterData!$I$29</f>
        <v>1084.9724680102045</v>
      </c>
      <c r="AJ128" s="201">
        <f t="shared" si="10"/>
        <v>202598.59190678576</v>
      </c>
      <c r="AK128" s="201">
        <f t="shared" si="15"/>
        <v>583.86</v>
      </c>
    </row>
    <row r="129" spans="1:37" hidden="1">
      <c r="A129" s="197" t="s">
        <v>91</v>
      </c>
      <c r="B129" s="197" t="str">
        <f t="shared" si="16"/>
        <v>M404.54</v>
      </c>
      <c r="C129" s="197" t="s">
        <v>187</v>
      </c>
      <c r="D129" s="197" t="s">
        <v>282</v>
      </c>
      <c r="E129" s="197">
        <f>VLOOKUP($C29,MasterData!$B$62:$L$111,2,FALSE)</f>
        <v>0.41</v>
      </c>
      <c r="F129" s="198">
        <f>ROUND(E129*MasterData!$C$4,2)</f>
        <v>21177.18</v>
      </c>
      <c r="G129" s="199">
        <f>VLOOKUP($C29,MasterData!$B$62:$L$111,3,FALSE)</f>
        <v>1</v>
      </c>
      <c r="H129" s="198">
        <f>ROUND(G129*MasterData!$D$4,2)</f>
        <v>41516.800000000003</v>
      </c>
      <c r="I129" s="199">
        <f t="shared" si="11"/>
        <v>4.5</v>
      </c>
      <c r="J129" s="199">
        <f>VLOOKUP($C29,MasterData!$B$62:$L$111,4,FALSE)</f>
        <v>3.1</v>
      </c>
      <c r="K129" s="198">
        <f>ROUND(J129*MasterData!$H$26,2)</f>
        <v>0</v>
      </c>
      <c r="L129" s="199">
        <f>VLOOKUP($C29,MasterData!$B$62:$L$111,5,FALSE)</f>
        <v>1.4</v>
      </c>
      <c r="M129" s="200">
        <f>ROUND(L129*MasterData!$F$4,2)</f>
        <v>41496</v>
      </c>
      <c r="N129" s="199">
        <f>VLOOKUP($A129,MasterData!$B$62:$L$111,6,FALSE)</f>
        <v>0.69</v>
      </c>
      <c r="O129" s="211">
        <f>ROUND(N129*MasterData!$I$26,2)</f>
        <v>0</v>
      </c>
      <c r="P129" s="199">
        <f>VLOOKUP($A129,MasterData!$B$62:$L$111,7,FALSE)</f>
        <v>0.22</v>
      </c>
      <c r="Q129" s="198">
        <f>ROUND(P129*MasterData!$H$4,2)</f>
        <v>6520.8</v>
      </c>
      <c r="R129" s="199">
        <f>VLOOKUP($A129,MasterData!$B$62:$L$111,8,FALSE)</f>
        <v>0.12</v>
      </c>
      <c r="S129" s="200">
        <f>ROUND(R129*MasterData!$I$4,2)</f>
        <v>3863.81</v>
      </c>
      <c r="T129" s="201">
        <f t="shared" si="12"/>
        <v>114574.59000000001</v>
      </c>
      <c r="U129" s="200">
        <f>ROUND(T129*MasterData!$C$29,2)</f>
        <v>25561.59</v>
      </c>
      <c r="V129" s="200">
        <f>ROUND(T129*MasterData!$J$29,2)</f>
        <v>423.93</v>
      </c>
      <c r="W129" s="201">
        <f t="shared" si="13"/>
        <v>140136.18000000002</v>
      </c>
      <c r="X129" s="212">
        <f>VLOOKUP($A129,MasterData!$B$62:$L$111,10,FALSE)*52</f>
        <v>104</v>
      </c>
      <c r="Y129" s="200">
        <f>ROUND(X129*MasterData!$C$7,2)</f>
        <v>6277.44</v>
      </c>
      <c r="Z129" s="199">
        <f>VLOOKUP($A129,MasterData!$B$62:$L$111,11,FALSE)*52</f>
        <v>156</v>
      </c>
      <c r="AA129" s="200">
        <f>ROUND(Z129*MasterData!$D$7,2)</f>
        <v>6605.04</v>
      </c>
      <c r="AB129" s="201">
        <f t="shared" si="14"/>
        <v>12882.48</v>
      </c>
      <c r="AC129" s="202">
        <f>MasterData!$M$29</f>
        <v>17820.45943877551</v>
      </c>
      <c r="AD129" s="200">
        <f>MasterData!$D$29</f>
        <v>2233.8000000000002</v>
      </c>
      <c r="AE129" s="200">
        <f>MasterData!$E$29</f>
        <v>6471.45</v>
      </c>
      <c r="AF129" s="200">
        <f>MasterData!$F$29</f>
        <v>0</v>
      </c>
      <c r="AG129" s="201">
        <f t="shared" si="9"/>
        <v>179544.36943877555</v>
      </c>
      <c r="AH129" s="200">
        <f>ROUND(AG129*MasterData!$G$29,2)</f>
        <v>21545.32</v>
      </c>
      <c r="AI129" s="200">
        <f>((AG129+AH129)*MasterData!$I$29)-'Model Calculator'!W129*MasterData!$I$29</f>
        <v>1084.9724680102045</v>
      </c>
      <c r="AJ129" s="201">
        <f t="shared" si="10"/>
        <v>202598.59190678576</v>
      </c>
      <c r="AK129" s="201">
        <f t="shared" si="15"/>
        <v>583.86</v>
      </c>
    </row>
    <row r="130" spans="1:37" hidden="1">
      <c r="A130" s="197" t="s">
        <v>92</v>
      </c>
      <c r="B130" s="197" t="str">
        <f t="shared" si="16"/>
        <v>M405.04</v>
      </c>
      <c r="C130" s="197" t="s">
        <v>188</v>
      </c>
      <c r="D130" s="197" t="s">
        <v>282</v>
      </c>
      <c r="E130" s="197">
        <f>VLOOKUP($C30,MasterData!$B$62:$L$111,2,FALSE)</f>
        <v>0.41</v>
      </c>
      <c r="F130" s="198">
        <f>ROUND(E130*MasterData!$C$4,2)</f>
        <v>21177.18</v>
      </c>
      <c r="G130" s="199">
        <f>VLOOKUP($C30,MasterData!$B$62:$L$111,3,FALSE)</f>
        <v>1</v>
      </c>
      <c r="H130" s="198">
        <f>ROUND(G130*MasterData!$D$4,2)</f>
        <v>41516.800000000003</v>
      </c>
      <c r="I130" s="199">
        <f t="shared" si="11"/>
        <v>5</v>
      </c>
      <c r="J130" s="199">
        <f>VLOOKUP($C30,MasterData!$B$62:$L$111,4,FALSE)</f>
        <v>3.6</v>
      </c>
      <c r="K130" s="198">
        <f>ROUND(J130*MasterData!$H$26,2)</f>
        <v>0</v>
      </c>
      <c r="L130" s="199">
        <f>VLOOKUP($C30,MasterData!$B$62:$L$111,5,FALSE)</f>
        <v>1.4</v>
      </c>
      <c r="M130" s="200">
        <f>ROUND(L130*MasterData!$F$4,2)</f>
        <v>41496</v>
      </c>
      <c r="N130" s="199">
        <f>VLOOKUP($A130,MasterData!$B$62:$L$111,6,FALSE)</f>
        <v>0.77</v>
      </c>
      <c r="O130" s="211">
        <f>ROUND(N130*MasterData!$I$26,2)</f>
        <v>0</v>
      </c>
      <c r="P130" s="199">
        <f>VLOOKUP($A130,MasterData!$B$62:$L$111,7,FALSE)</f>
        <v>0.22</v>
      </c>
      <c r="Q130" s="198">
        <f>ROUND(P130*MasterData!$H$4,2)</f>
        <v>6520.8</v>
      </c>
      <c r="R130" s="199">
        <f>VLOOKUP($A130,MasterData!$B$62:$L$111,8,FALSE)</f>
        <v>0.12</v>
      </c>
      <c r="S130" s="200">
        <f>ROUND(R130*MasterData!$I$4,2)</f>
        <v>3863.81</v>
      </c>
      <c r="T130" s="201">
        <f t="shared" si="12"/>
        <v>114574.59000000001</v>
      </c>
      <c r="U130" s="200">
        <f>ROUND(T130*MasterData!$C$29,2)</f>
        <v>25561.59</v>
      </c>
      <c r="V130" s="200">
        <f>ROUND(T130*MasterData!$J$29,2)</f>
        <v>423.93</v>
      </c>
      <c r="W130" s="201">
        <f t="shared" si="13"/>
        <v>140136.18000000002</v>
      </c>
      <c r="X130" s="212">
        <f>VLOOKUP($A130,MasterData!$B$62:$L$111,10,FALSE)*52</f>
        <v>104</v>
      </c>
      <c r="Y130" s="200">
        <f>ROUND(X130*MasterData!$C$7,2)</f>
        <v>6277.44</v>
      </c>
      <c r="Z130" s="199">
        <f>VLOOKUP($A130,MasterData!$B$62:$L$111,11,FALSE)*52</f>
        <v>156</v>
      </c>
      <c r="AA130" s="200">
        <f>ROUND(Z130*MasterData!$D$7,2)</f>
        <v>6605.04</v>
      </c>
      <c r="AB130" s="201">
        <f t="shared" si="14"/>
        <v>12882.48</v>
      </c>
      <c r="AC130" s="202">
        <f>MasterData!$M$29</f>
        <v>17820.45943877551</v>
      </c>
      <c r="AD130" s="200">
        <f>MasterData!$D$29</f>
        <v>2233.8000000000002</v>
      </c>
      <c r="AE130" s="200">
        <f>MasterData!$E$29</f>
        <v>6471.45</v>
      </c>
      <c r="AF130" s="200">
        <f>MasterData!$F$29</f>
        <v>0</v>
      </c>
      <c r="AG130" s="201">
        <f t="shared" ref="AG130:AG193" si="17">W130+AB130+AC130+AD130+AE130+AF130</f>
        <v>179544.36943877555</v>
      </c>
      <c r="AH130" s="200">
        <f>ROUND(AG130*MasterData!$G$29,2)</f>
        <v>21545.32</v>
      </c>
      <c r="AI130" s="200">
        <f>((AG130+AH130)*MasterData!$I$29)-'Model Calculator'!W130*MasterData!$I$29</f>
        <v>1084.9724680102045</v>
      </c>
      <c r="AJ130" s="201">
        <f t="shared" ref="AJ130:AJ193" si="18">AH130+AG130+AI130+V130</f>
        <v>202598.59190678576</v>
      </c>
      <c r="AK130" s="201">
        <f t="shared" si="15"/>
        <v>583.86</v>
      </c>
    </row>
    <row r="131" spans="1:37" hidden="1">
      <c r="A131" s="197" t="s">
        <v>93</v>
      </c>
      <c r="B131" s="197" t="str">
        <f t="shared" si="16"/>
        <v>M405.54</v>
      </c>
      <c r="C131" s="197" t="s">
        <v>189</v>
      </c>
      <c r="D131" s="197" t="s">
        <v>282</v>
      </c>
      <c r="E131" s="197">
        <f>VLOOKUP($C31,MasterData!$B$62:$L$111,2,FALSE)</f>
        <v>0.41</v>
      </c>
      <c r="F131" s="198">
        <f>ROUND(E131*MasterData!$C$4,2)</f>
        <v>21177.18</v>
      </c>
      <c r="G131" s="199">
        <f>VLOOKUP($C31,MasterData!$B$62:$L$111,3,FALSE)</f>
        <v>1</v>
      </c>
      <c r="H131" s="198">
        <f>ROUND(G131*MasterData!$D$4,2)</f>
        <v>41516.800000000003</v>
      </c>
      <c r="I131" s="199">
        <f t="shared" ref="I131:I152" si="19">J131+L131</f>
        <v>5.5</v>
      </c>
      <c r="J131" s="199">
        <f>VLOOKUP($C31,MasterData!$B$62:$L$111,4,FALSE)</f>
        <v>4.0999999999999996</v>
      </c>
      <c r="K131" s="198">
        <f>ROUND(J131*MasterData!$H$26,2)</f>
        <v>0</v>
      </c>
      <c r="L131" s="199">
        <f>VLOOKUP($C31,MasterData!$B$62:$L$111,5,FALSE)</f>
        <v>1.4</v>
      </c>
      <c r="M131" s="200">
        <f>ROUND(L131*MasterData!$F$4,2)</f>
        <v>41496</v>
      </c>
      <c r="N131" s="199">
        <f>VLOOKUP($A131,MasterData!$B$62:$L$111,6,FALSE)</f>
        <v>0.85</v>
      </c>
      <c r="O131" s="211">
        <f>ROUND(N131*MasterData!$I$26,2)</f>
        <v>0</v>
      </c>
      <c r="P131" s="199">
        <f>VLOOKUP($A131,MasterData!$B$62:$L$111,7,FALSE)</f>
        <v>0.22</v>
      </c>
      <c r="Q131" s="198">
        <f>ROUND(P131*MasterData!$H$4,2)</f>
        <v>6520.8</v>
      </c>
      <c r="R131" s="199">
        <f>VLOOKUP($A131,MasterData!$B$62:$L$111,8,FALSE)</f>
        <v>0.12</v>
      </c>
      <c r="S131" s="200">
        <f>ROUND(R131*MasterData!$I$4,2)</f>
        <v>3863.81</v>
      </c>
      <c r="T131" s="201">
        <f t="shared" ref="T131:T152" si="20">F131+H131+K131+M131+O131+Q131+S131</f>
        <v>114574.59000000001</v>
      </c>
      <c r="U131" s="200">
        <f>ROUND(T131*MasterData!$C$29,2)</f>
        <v>25561.59</v>
      </c>
      <c r="V131" s="200">
        <f>ROUND(T131*MasterData!$J$29,2)</f>
        <v>423.93</v>
      </c>
      <c r="W131" s="201">
        <f t="shared" ref="W131:W194" si="21">T131+U131</f>
        <v>140136.18000000002</v>
      </c>
      <c r="X131" s="212">
        <f>VLOOKUP($A131,MasterData!$B$62:$L$111,10,FALSE)*52</f>
        <v>104</v>
      </c>
      <c r="Y131" s="200">
        <f>ROUND(X131*MasterData!$C$7,2)</f>
        <v>6277.44</v>
      </c>
      <c r="Z131" s="199">
        <f>VLOOKUP($A131,MasterData!$B$62:$L$111,11,FALSE)*52</f>
        <v>156</v>
      </c>
      <c r="AA131" s="200">
        <f>ROUND(Z131*MasterData!$D$7,2)</f>
        <v>6605.04</v>
      </c>
      <c r="AB131" s="201">
        <f t="shared" ref="AB131:AB152" si="22">AA131+Y131</f>
        <v>12882.48</v>
      </c>
      <c r="AC131" s="202">
        <f>MasterData!$M$29</f>
        <v>17820.45943877551</v>
      </c>
      <c r="AD131" s="200">
        <f>MasterData!$D$29</f>
        <v>2233.8000000000002</v>
      </c>
      <c r="AE131" s="200">
        <f>MasterData!$E$29</f>
        <v>6471.45</v>
      </c>
      <c r="AF131" s="200">
        <f>MasterData!$F$29</f>
        <v>0</v>
      </c>
      <c r="AG131" s="201">
        <f t="shared" si="17"/>
        <v>179544.36943877555</v>
      </c>
      <c r="AH131" s="200">
        <f>ROUND(AG131*MasterData!$G$29,2)</f>
        <v>21545.32</v>
      </c>
      <c r="AI131" s="200">
        <f>((AG131+AH131)*MasterData!$I$29)-'Model Calculator'!W131*MasterData!$I$29</f>
        <v>1084.9724680102045</v>
      </c>
      <c r="AJ131" s="201">
        <f t="shared" si="18"/>
        <v>202598.59190678576</v>
      </c>
      <c r="AK131" s="201">
        <f t="shared" ref="AK131:AK194" si="23">ROUND(AJ131/347,2)</f>
        <v>583.86</v>
      </c>
    </row>
    <row r="132" spans="1:37" hidden="1">
      <c r="A132" s="197" t="s">
        <v>213</v>
      </c>
      <c r="B132" s="197" t="str">
        <f t="shared" si="16"/>
        <v>M406.64</v>
      </c>
      <c r="C132" s="197" t="s">
        <v>190</v>
      </c>
      <c r="D132" s="197" t="s">
        <v>282</v>
      </c>
      <c r="E132" s="197">
        <f>VLOOKUP($C32,MasterData!$B$62:$L$111,2,FALSE)</f>
        <v>0.41</v>
      </c>
      <c r="F132" s="198">
        <f>ROUND(E132*MasterData!$C$4,2)</f>
        <v>21177.18</v>
      </c>
      <c r="G132" s="199">
        <f>VLOOKUP($C32,MasterData!$B$62:$L$111,3,FALSE)</f>
        <v>1</v>
      </c>
      <c r="H132" s="198">
        <f>ROUND(G132*MasterData!$D$4,2)</f>
        <v>41516.800000000003</v>
      </c>
      <c r="I132" s="199">
        <f t="shared" si="19"/>
        <v>6</v>
      </c>
      <c r="J132" s="199">
        <f>VLOOKUP($C32,MasterData!$B$62:$L$111,4,FALSE)</f>
        <v>4.5999999999999996</v>
      </c>
      <c r="K132" s="198">
        <f>ROUND(J132*MasterData!$H$26,2)</f>
        <v>0</v>
      </c>
      <c r="L132" s="199">
        <f>VLOOKUP($C32,MasterData!$B$62:$L$111,5,FALSE)</f>
        <v>1.4</v>
      </c>
      <c r="M132" s="200">
        <f>ROUND(L132*MasterData!$F$4,2)</f>
        <v>41496</v>
      </c>
      <c r="N132" s="199">
        <f>VLOOKUP($A132,MasterData!$B$62:$L$111,6,FALSE)</f>
        <v>0.92</v>
      </c>
      <c r="O132" s="211">
        <f>ROUND(N132*MasterData!$I$26,2)</f>
        <v>0</v>
      </c>
      <c r="P132" s="199">
        <f>VLOOKUP($A132,MasterData!$B$62:$L$111,7,FALSE)</f>
        <v>0.22</v>
      </c>
      <c r="Q132" s="198">
        <f>ROUND(P132*MasterData!$H$4,2)</f>
        <v>6520.8</v>
      </c>
      <c r="R132" s="199">
        <f>VLOOKUP($A132,MasterData!$B$62:$L$111,8,FALSE)</f>
        <v>0.12</v>
      </c>
      <c r="S132" s="200">
        <f>ROUND(R132*MasterData!$I$4,2)</f>
        <v>3863.81</v>
      </c>
      <c r="T132" s="201">
        <f t="shared" si="20"/>
        <v>114574.59000000001</v>
      </c>
      <c r="U132" s="200">
        <f>ROUND(T132*MasterData!$C$29,2)</f>
        <v>25561.59</v>
      </c>
      <c r="V132" s="200">
        <f>ROUND(T132*MasterData!$J$29,2)</f>
        <v>423.93</v>
      </c>
      <c r="W132" s="201">
        <f t="shared" si="21"/>
        <v>140136.18000000002</v>
      </c>
      <c r="X132" s="212">
        <f>VLOOKUP($A132,MasterData!$B$62:$L$111,10,FALSE)*52</f>
        <v>104</v>
      </c>
      <c r="Y132" s="200">
        <f>ROUND(X132*MasterData!$C$7,2)</f>
        <v>6277.44</v>
      </c>
      <c r="Z132" s="199">
        <f>VLOOKUP($A132,MasterData!$B$62:$L$111,11,FALSE)*52</f>
        <v>156</v>
      </c>
      <c r="AA132" s="200">
        <f>ROUND(Z132*MasterData!$D$7,2)</f>
        <v>6605.04</v>
      </c>
      <c r="AB132" s="201">
        <f t="shared" si="22"/>
        <v>12882.48</v>
      </c>
      <c r="AC132" s="202">
        <f>MasterData!$M$29</f>
        <v>17820.45943877551</v>
      </c>
      <c r="AD132" s="200">
        <f>MasterData!$D$29</f>
        <v>2233.8000000000002</v>
      </c>
      <c r="AE132" s="200">
        <f>MasterData!$E$29</f>
        <v>6471.45</v>
      </c>
      <c r="AF132" s="200">
        <f>MasterData!$F$29</f>
        <v>0</v>
      </c>
      <c r="AG132" s="201">
        <f t="shared" si="17"/>
        <v>179544.36943877555</v>
      </c>
      <c r="AH132" s="200">
        <f>ROUND(AG132*MasterData!$G$29,2)</f>
        <v>21545.32</v>
      </c>
      <c r="AI132" s="200">
        <f>((AG132+AH132)*MasterData!$I$29)-'Model Calculator'!W132*MasterData!$I$29</f>
        <v>1084.9724680102045</v>
      </c>
      <c r="AJ132" s="201">
        <f t="shared" si="18"/>
        <v>202598.59190678576</v>
      </c>
      <c r="AK132" s="201">
        <f t="shared" si="23"/>
        <v>583.86</v>
      </c>
    </row>
    <row r="133" spans="1:37" hidden="1">
      <c r="A133" s="197" t="s">
        <v>94</v>
      </c>
      <c r="B133" s="197" t="str">
        <f t="shared" si="16"/>
        <v>M406.54</v>
      </c>
      <c r="C133" s="197" t="s">
        <v>191</v>
      </c>
      <c r="D133" s="197" t="s">
        <v>282</v>
      </c>
      <c r="E133" s="197">
        <f>VLOOKUP($C33,MasterData!$B$62:$L$111,2,FALSE)</f>
        <v>0.41</v>
      </c>
      <c r="F133" s="198">
        <f>ROUND(E133*MasterData!$C$4,2)</f>
        <v>21177.18</v>
      </c>
      <c r="G133" s="199">
        <f>VLOOKUP($C33,MasterData!$B$62:$L$111,3,FALSE)</f>
        <v>1</v>
      </c>
      <c r="H133" s="198">
        <f>ROUND(G133*MasterData!$D$4,2)</f>
        <v>41516.800000000003</v>
      </c>
      <c r="I133" s="199">
        <f t="shared" si="19"/>
        <v>6.5</v>
      </c>
      <c r="J133" s="199">
        <f>VLOOKUP($C33,MasterData!$B$62:$L$111,4,FALSE)</f>
        <v>5.0999999999999996</v>
      </c>
      <c r="K133" s="198">
        <f>ROUND(J133*MasterData!$H$26,2)</f>
        <v>0</v>
      </c>
      <c r="L133" s="199">
        <f>VLOOKUP($C33,MasterData!$B$62:$L$111,5,FALSE)</f>
        <v>1.4</v>
      </c>
      <c r="M133" s="200">
        <f>ROUND(L133*MasterData!$F$4,2)</f>
        <v>41496</v>
      </c>
      <c r="N133" s="199">
        <f>VLOOKUP($A133,MasterData!$B$62:$L$111,6,FALSE)</f>
        <v>1</v>
      </c>
      <c r="O133" s="211">
        <f>ROUND(N133*MasterData!$I$26,2)</f>
        <v>0</v>
      </c>
      <c r="P133" s="199">
        <f>VLOOKUP($A133,MasterData!$B$62:$L$111,7,FALSE)</f>
        <v>0.22</v>
      </c>
      <c r="Q133" s="198">
        <f>ROUND(P133*MasterData!$H$4,2)</f>
        <v>6520.8</v>
      </c>
      <c r="R133" s="199">
        <f>VLOOKUP($A133,MasterData!$B$62:$L$111,8,FALSE)</f>
        <v>0.12</v>
      </c>
      <c r="S133" s="200">
        <f>ROUND(R133*MasterData!$I$4,2)</f>
        <v>3863.81</v>
      </c>
      <c r="T133" s="201">
        <f t="shared" si="20"/>
        <v>114574.59000000001</v>
      </c>
      <c r="U133" s="200">
        <f>ROUND(T133*MasterData!$C$29,2)</f>
        <v>25561.59</v>
      </c>
      <c r="V133" s="200">
        <f>ROUND(T133*MasterData!$J$29,2)</f>
        <v>423.93</v>
      </c>
      <c r="W133" s="201">
        <f t="shared" si="21"/>
        <v>140136.18000000002</v>
      </c>
      <c r="X133" s="212">
        <f>VLOOKUP($A133,MasterData!$B$62:$L$111,10,FALSE)*52</f>
        <v>104</v>
      </c>
      <c r="Y133" s="200">
        <f>ROUND(X133*MasterData!$C$7,2)</f>
        <v>6277.44</v>
      </c>
      <c r="Z133" s="199">
        <f>VLOOKUP($A133,MasterData!$B$62:$L$111,11,FALSE)*52</f>
        <v>156</v>
      </c>
      <c r="AA133" s="200">
        <f>ROUND(Z133*MasterData!$D$7,2)</f>
        <v>6605.04</v>
      </c>
      <c r="AB133" s="201">
        <f t="shared" si="22"/>
        <v>12882.48</v>
      </c>
      <c r="AC133" s="202">
        <f>MasterData!$M$29</f>
        <v>17820.45943877551</v>
      </c>
      <c r="AD133" s="200">
        <f>MasterData!$D$29</f>
        <v>2233.8000000000002</v>
      </c>
      <c r="AE133" s="200">
        <f>MasterData!$E$29</f>
        <v>6471.45</v>
      </c>
      <c r="AF133" s="200">
        <f>MasterData!$F$29</f>
        <v>0</v>
      </c>
      <c r="AG133" s="201">
        <f t="shared" si="17"/>
        <v>179544.36943877555</v>
      </c>
      <c r="AH133" s="200">
        <f>ROUND(AG133*MasterData!$G$29,2)</f>
        <v>21545.32</v>
      </c>
      <c r="AI133" s="200">
        <f>((AG133+AH133)*MasterData!$I$29)-'Model Calculator'!W133*MasterData!$I$29</f>
        <v>1084.9724680102045</v>
      </c>
      <c r="AJ133" s="201">
        <f t="shared" si="18"/>
        <v>202598.59190678576</v>
      </c>
      <c r="AK133" s="201">
        <f t="shared" si="23"/>
        <v>583.86</v>
      </c>
    </row>
    <row r="134" spans="1:37" hidden="1">
      <c r="A134" s="197" t="s">
        <v>95</v>
      </c>
      <c r="B134" s="197" t="str">
        <f t="shared" si="16"/>
        <v>M407.04</v>
      </c>
      <c r="C134" s="197" t="s">
        <v>192</v>
      </c>
      <c r="D134" s="197" t="s">
        <v>282</v>
      </c>
      <c r="E134" s="197">
        <f>VLOOKUP($C34,MasterData!$B$62:$L$111,2,FALSE)</f>
        <v>0.41</v>
      </c>
      <c r="F134" s="198">
        <f>ROUND(E134*MasterData!$C$4,2)</f>
        <v>21177.18</v>
      </c>
      <c r="G134" s="199">
        <f>VLOOKUP($C34,MasterData!$B$62:$L$111,3,FALSE)</f>
        <v>1</v>
      </c>
      <c r="H134" s="198">
        <f>ROUND(G134*MasterData!$D$4,2)</f>
        <v>41516.800000000003</v>
      </c>
      <c r="I134" s="199">
        <f t="shared" si="19"/>
        <v>7</v>
      </c>
      <c r="J134" s="199">
        <f>VLOOKUP($C34,MasterData!$B$62:$L$111,4,FALSE)</f>
        <v>5.6</v>
      </c>
      <c r="K134" s="198">
        <f>ROUND(J134*MasterData!$H$26,2)</f>
        <v>0</v>
      </c>
      <c r="L134" s="199">
        <f>VLOOKUP($C34,MasterData!$B$62:$L$111,5,FALSE)</f>
        <v>1.4</v>
      </c>
      <c r="M134" s="200">
        <f>ROUND(L134*MasterData!$F$4,2)</f>
        <v>41496</v>
      </c>
      <c r="N134" s="199">
        <f>VLOOKUP($A134,MasterData!$B$62:$L$111,6,FALSE)</f>
        <v>1.08</v>
      </c>
      <c r="O134" s="211">
        <f>ROUND(N134*MasterData!$I$26,2)</f>
        <v>0</v>
      </c>
      <c r="P134" s="199">
        <f>VLOOKUP($A134,MasterData!$B$62:$L$111,7,FALSE)</f>
        <v>0.22</v>
      </c>
      <c r="Q134" s="198">
        <f>ROUND(P134*MasterData!$H$4,2)</f>
        <v>6520.8</v>
      </c>
      <c r="R134" s="199">
        <f>VLOOKUP($A134,MasterData!$B$62:$L$111,8,FALSE)</f>
        <v>0.12</v>
      </c>
      <c r="S134" s="200">
        <f>ROUND(R134*MasterData!$I$4,2)</f>
        <v>3863.81</v>
      </c>
      <c r="T134" s="201">
        <f t="shared" si="20"/>
        <v>114574.59000000001</v>
      </c>
      <c r="U134" s="200">
        <f>ROUND(T134*MasterData!$C$29,2)</f>
        <v>25561.59</v>
      </c>
      <c r="V134" s="200">
        <f>ROUND(T134*MasterData!$J$29,2)</f>
        <v>423.93</v>
      </c>
      <c r="W134" s="201">
        <f t="shared" si="21"/>
        <v>140136.18000000002</v>
      </c>
      <c r="X134" s="212">
        <f>VLOOKUP($A134,MasterData!$B$62:$L$111,10,FALSE)*52</f>
        <v>104</v>
      </c>
      <c r="Y134" s="200">
        <f>ROUND(X134*MasterData!$C$7,2)</f>
        <v>6277.44</v>
      </c>
      <c r="Z134" s="199">
        <f>VLOOKUP($A134,MasterData!$B$62:$L$111,11,FALSE)*52</f>
        <v>156</v>
      </c>
      <c r="AA134" s="200">
        <f>ROUND(Z134*MasterData!$D$7,2)</f>
        <v>6605.04</v>
      </c>
      <c r="AB134" s="201">
        <f t="shared" si="22"/>
        <v>12882.48</v>
      </c>
      <c r="AC134" s="202">
        <f>MasterData!$M$29</f>
        <v>17820.45943877551</v>
      </c>
      <c r="AD134" s="200">
        <f>MasterData!$D$29</f>
        <v>2233.8000000000002</v>
      </c>
      <c r="AE134" s="200">
        <f>MasterData!$E$29</f>
        <v>6471.45</v>
      </c>
      <c r="AF134" s="200">
        <f>MasterData!$F$29</f>
        <v>0</v>
      </c>
      <c r="AG134" s="201">
        <f t="shared" si="17"/>
        <v>179544.36943877555</v>
      </c>
      <c r="AH134" s="200">
        <f>ROUND(AG134*MasterData!$G$29,2)</f>
        <v>21545.32</v>
      </c>
      <c r="AI134" s="200">
        <f>((AG134+AH134)*MasterData!$I$29)-'Model Calculator'!W134*MasterData!$I$29</f>
        <v>1084.9724680102045</v>
      </c>
      <c r="AJ134" s="201">
        <f t="shared" si="18"/>
        <v>202598.59190678576</v>
      </c>
      <c r="AK134" s="201">
        <f t="shared" si="23"/>
        <v>583.86</v>
      </c>
    </row>
    <row r="135" spans="1:37" hidden="1">
      <c r="A135" s="197" t="s">
        <v>96</v>
      </c>
      <c r="B135" s="197" t="str">
        <f t="shared" si="16"/>
        <v>M407.54</v>
      </c>
      <c r="C135" s="197" t="s">
        <v>193</v>
      </c>
      <c r="D135" s="197" t="s">
        <v>282</v>
      </c>
      <c r="E135" s="197">
        <f>VLOOKUP($C35,MasterData!$B$62:$L$111,2,FALSE)</f>
        <v>0.41</v>
      </c>
      <c r="F135" s="198">
        <f>ROUND(E135*MasterData!$C$4,2)</f>
        <v>21177.18</v>
      </c>
      <c r="G135" s="199">
        <f>VLOOKUP($C35,MasterData!$B$62:$L$111,3,FALSE)</f>
        <v>1</v>
      </c>
      <c r="H135" s="198">
        <f>ROUND(G135*MasterData!$D$4,2)</f>
        <v>41516.800000000003</v>
      </c>
      <c r="I135" s="199">
        <f t="shared" si="19"/>
        <v>7.5</v>
      </c>
      <c r="J135" s="199">
        <f>VLOOKUP($C35,MasterData!$B$62:$L$111,4,FALSE)</f>
        <v>6.1</v>
      </c>
      <c r="K135" s="198">
        <f>ROUND(J135*MasterData!$H$26,2)</f>
        <v>0</v>
      </c>
      <c r="L135" s="199">
        <f>VLOOKUP($C35,MasterData!$B$62:$L$111,5,FALSE)</f>
        <v>1.4</v>
      </c>
      <c r="M135" s="200">
        <f>ROUND(L135*MasterData!$F$4,2)</f>
        <v>41496</v>
      </c>
      <c r="N135" s="199">
        <f>VLOOKUP($A135,MasterData!$B$62:$L$111,6,FALSE)</f>
        <v>1.1599999999999999</v>
      </c>
      <c r="O135" s="211">
        <f>ROUND(N135*MasterData!$I$26,2)</f>
        <v>0</v>
      </c>
      <c r="P135" s="199">
        <f>VLOOKUP($A135,MasterData!$B$62:$L$111,7,FALSE)</f>
        <v>0.22</v>
      </c>
      <c r="Q135" s="198">
        <f>ROUND(P135*MasterData!$H$4,2)</f>
        <v>6520.8</v>
      </c>
      <c r="R135" s="199">
        <f>VLOOKUP($A135,MasterData!$B$62:$L$111,8,FALSE)</f>
        <v>0.12</v>
      </c>
      <c r="S135" s="200">
        <f>ROUND(R135*MasterData!$I$4,2)</f>
        <v>3863.81</v>
      </c>
      <c r="T135" s="201">
        <f t="shared" si="20"/>
        <v>114574.59000000001</v>
      </c>
      <c r="U135" s="200">
        <f>ROUND(T135*MasterData!$C$29,2)</f>
        <v>25561.59</v>
      </c>
      <c r="V135" s="200">
        <f>ROUND(T135*MasterData!$J$29,2)</f>
        <v>423.93</v>
      </c>
      <c r="W135" s="201">
        <f t="shared" si="21"/>
        <v>140136.18000000002</v>
      </c>
      <c r="X135" s="212">
        <f>VLOOKUP($A135,MasterData!$B$62:$L$111,10,FALSE)*52</f>
        <v>104</v>
      </c>
      <c r="Y135" s="200">
        <f>ROUND(X135*MasterData!$C$7,2)</f>
        <v>6277.44</v>
      </c>
      <c r="Z135" s="199">
        <f>VLOOKUP($A135,MasterData!$B$62:$L$111,11,FALSE)*52</f>
        <v>156</v>
      </c>
      <c r="AA135" s="200">
        <f>ROUND(Z135*MasterData!$D$7,2)</f>
        <v>6605.04</v>
      </c>
      <c r="AB135" s="201">
        <f t="shared" si="22"/>
        <v>12882.48</v>
      </c>
      <c r="AC135" s="202">
        <f>MasterData!$M$29</f>
        <v>17820.45943877551</v>
      </c>
      <c r="AD135" s="200">
        <f>MasterData!$D$29</f>
        <v>2233.8000000000002</v>
      </c>
      <c r="AE135" s="200">
        <f>MasterData!$E$29</f>
        <v>6471.45</v>
      </c>
      <c r="AF135" s="200">
        <f>MasterData!$F$29</f>
        <v>0</v>
      </c>
      <c r="AG135" s="201">
        <f t="shared" si="17"/>
        <v>179544.36943877555</v>
      </c>
      <c r="AH135" s="200">
        <f>ROUND(AG135*MasterData!$G$29,2)</f>
        <v>21545.32</v>
      </c>
      <c r="AI135" s="200">
        <f>((AG135+AH135)*MasterData!$I$29)-'Model Calculator'!W135*MasterData!$I$29</f>
        <v>1084.9724680102045</v>
      </c>
      <c r="AJ135" s="201">
        <f t="shared" si="18"/>
        <v>202598.59190678576</v>
      </c>
      <c r="AK135" s="201">
        <f t="shared" si="23"/>
        <v>583.86</v>
      </c>
    </row>
    <row r="136" spans="1:37" hidden="1">
      <c r="A136" s="197" t="s">
        <v>97</v>
      </c>
      <c r="B136" s="197" t="str">
        <f t="shared" si="16"/>
        <v>M408.04</v>
      </c>
      <c r="C136" s="197" t="s">
        <v>194</v>
      </c>
      <c r="D136" s="197" t="s">
        <v>282</v>
      </c>
      <c r="E136" s="197">
        <f>VLOOKUP($C36,MasterData!$B$62:$L$111,2,FALSE)</f>
        <v>0.41</v>
      </c>
      <c r="F136" s="198">
        <f>ROUND(E136*MasterData!$C$4,2)</f>
        <v>21177.18</v>
      </c>
      <c r="G136" s="199">
        <f>VLOOKUP($C36,MasterData!$B$62:$L$111,3,FALSE)</f>
        <v>1</v>
      </c>
      <c r="H136" s="198">
        <f>ROUND(G136*MasterData!$D$4,2)</f>
        <v>41516.800000000003</v>
      </c>
      <c r="I136" s="199">
        <f t="shared" si="19"/>
        <v>8</v>
      </c>
      <c r="J136" s="199">
        <f>VLOOKUP($C36,MasterData!$B$62:$L$111,4,FALSE)</f>
        <v>6.6</v>
      </c>
      <c r="K136" s="198">
        <f>ROUND(J136*MasterData!$H$26,2)</f>
        <v>0</v>
      </c>
      <c r="L136" s="199">
        <f>VLOOKUP($C36,MasterData!$B$62:$L$111,5,FALSE)</f>
        <v>1.4</v>
      </c>
      <c r="M136" s="200">
        <f>ROUND(L136*MasterData!$F$4,2)</f>
        <v>41496</v>
      </c>
      <c r="N136" s="199">
        <f>VLOOKUP($A136,MasterData!$B$62:$L$111,6,FALSE)</f>
        <v>1.23</v>
      </c>
      <c r="O136" s="211">
        <f>ROUND(N136*MasterData!$I$26,2)</f>
        <v>0</v>
      </c>
      <c r="P136" s="199">
        <f>VLOOKUP($A136,MasterData!$B$62:$L$111,7,FALSE)</f>
        <v>0.22</v>
      </c>
      <c r="Q136" s="198">
        <f>ROUND(P136*MasterData!$H$4,2)</f>
        <v>6520.8</v>
      </c>
      <c r="R136" s="199">
        <f>VLOOKUP($A136,MasterData!$B$62:$L$111,8,FALSE)</f>
        <v>0.12</v>
      </c>
      <c r="S136" s="200">
        <f>ROUND(R136*MasterData!$I$4,2)</f>
        <v>3863.81</v>
      </c>
      <c r="T136" s="201">
        <f t="shared" si="20"/>
        <v>114574.59000000001</v>
      </c>
      <c r="U136" s="200">
        <f>ROUND(T136*MasterData!$C$29,2)</f>
        <v>25561.59</v>
      </c>
      <c r="V136" s="200">
        <f>ROUND(T136*MasterData!$J$29,2)</f>
        <v>423.93</v>
      </c>
      <c r="W136" s="201">
        <f t="shared" si="21"/>
        <v>140136.18000000002</v>
      </c>
      <c r="X136" s="212">
        <f>VLOOKUP($A136,MasterData!$B$62:$L$111,10,FALSE)*52</f>
        <v>104</v>
      </c>
      <c r="Y136" s="200">
        <f>ROUND(X136*MasterData!$C$7,2)</f>
        <v>6277.44</v>
      </c>
      <c r="Z136" s="199">
        <f>VLOOKUP($A136,MasterData!$B$62:$L$111,11,FALSE)*52</f>
        <v>156</v>
      </c>
      <c r="AA136" s="200">
        <f>ROUND(Z136*MasterData!$D$7,2)</f>
        <v>6605.04</v>
      </c>
      <c r="AB136" s="201">
        <f t="shared" si="22"/>
        <v>12882.48</v>
      </c>
      <c r="AC136" s="202">
        <f>MasterData!$M$29</f>
        <v>17820.45943877551</v>
      </c>
      <c r="AD136" s="200">
        <f>MasterData!$D$29</f>
        <v>2233.8000000000002</v>
      </c>
      <c r="AE136" s="200">
        <f>MasterData!$E$29</f>
        <v>6471.45</v>
      </c>
      <c r="AF136" s="200">
        <f>MasterData!$F$29</f>
        <v>0</v>
      </c>
      <c r="AG136" s="201">
        <f t="shared" si="17"/>
        <v>179544.36943877555</v>
      </c>
      <c r="AH136" s="200">
        <f>ROUND(AG136*MasterData!$G$29,2)</f>
        <v>21545.32</v>
      </c>
      <c r="AI136" s="200">
        <f>((AG136+AH136)*MasterData!$I$29)-'Model Calculator'!W136*MasterData!$I$29</f>
        <v>1084.9724680102045</v>
      </c>
      <c r="AJ136" s="201">
        <f t="shared" si="18"/>
        <v>202598.59190678576</v>
      </c>
      <c r="AK136" s="201">
        <f t="shared" si="23"/>
        <v>583.86</v>
      </c>
    </row>
    <row r="137" spans="1:37" hidden="1">
      <c r="A137" s="197" t="s">
        <v>98</v>
      </c>
      <c r="B137" s="197" t="str">
        <f t="shared" si="16"/>
        <v>M408.54</v>
      </c>
      <c r="C137" s="197" t="s">
        <v>195</v>
      </c>
      <c r="D137" s="197" t="s">
        <v>282</v>
      </c>
      <c r="E137" s="197">
        <f>VLOOKUP($C37,MasterData!$B$62:$L$111,2,FALSE)</f>
        <v>0.41</v>
      </c>
      <c r="F137" s="198">
        <f>ROUND(E137*MasterData!$C$4,2)</f>
        <v>21177.18</v>
      </c>
      <c r="G137" s="199">
        <f>VLOOKUP($C37,MasterData!$B$62:$L$111,3,FALSE)</f>
        <v>1</v>
      </c>
      <c r="H137" s="198">
        <f>ROUND(G137*MasterData!$D$4,2)</f>
        <v>41516.800000000003</v>
      </c>
      <c r="I137" s="199">
        <f t="shared" si="19"/>
        <v>8.5</v>
      </c>
      <c r="J137" s="199">
        <f>VLOOKUP($C37,MasterData!$B$62:$L$111,4,FALSE)</f>
        <v>7.1</v>
      </c>
      <c r="K137" s="198">
        <f>ROUND(J137*MasterData!$H$26,2)</f>
        <v>0</v>
      </c>
      <c r="L137" s="199">
        <f>VLOOKUP($C37,MasterData!$B$62:$L$111,5,FALSE)</f>
        <v>1.4</v>
      </c>
      <c r="M137" s="200">
        <f>ROUND(L137*MasterData!$F$4,2)</f>
        <v>41496</v>
      </c>
      <c r="N137" s="199">
        <f>VLOOKUP($A137,MasterData!$B$62:$L$111,6,FALSE)</f>
        <v>1.31</v>
      </c>
      <c r="O137" s="211">
        <f>ROUND(N137*MasterData!$I$26,2)</f>
        <v>0</v>
      </c>
      <c r="P137" s="199">
        <f>VLOOKUP($A137,MasterData!$B$62:$L$111,7,FALSE)</f>
        <v>0.22</v>
      </c>
      <c r="Q137" s="198">
        <f>ROUND(P137*MasterData!$H$4,2)</f>
        <v>6520.8</v>
      </c>
      <c r="R137" s="199">
        <f>VLOOKUP($A137,MasterData!$B$62:$L$111,8,FALSE)</f>
        <v>0.12</v>
      </c>
      <c r="S137" s="200">
        <f>ROUND(R137*MasterData!$I$4,2)</f>
        <v>3863.81</v>
      </c>
      <c r="T137" s="201">
        <f t="shared" si="20"/>
        <v>114574.59000000001</v>
      </c>
      <c r="U137" s="200">
        <f>ROUND(T137*MasterData!$C$29,2)</f>
        <v>25561.59</v>
      </c>
      <c r="V137" s="200">
        <f>ROUND(T137*MasterData!$J$29,2)</f>
        <v>423.93</v>
      </c>
      <c r="W137" s="201">
        <f t="shared" si="21"/>
        <v>140136.18000000002</v>
      </c>
      <c r="X137" s="212">
        <f>VLOOKUP($A137,MasterData!$B$62:$L$111,10,FALSE)*52</f>
        <v>104</v>
      </c>
      <c r="Y137" s="200">
        <f>ROUND(X137*MasterData!$C$7,2)</f>
        <v>6277.44</v>
      </c>
      <c r="Z137" s="199">
        <f>VLOOKUP($A137,MasterData!$B$62:$L$111,11,FALSE)*52</f>
        <v>156</v>
      </c>
      <c r="AA137" s="200">
        <f>ROUND(Z137*MasterData!$D$7,2)</f>
        <v>6605.04</v>
      </c>
      <c r="AB137" s="201">
        <f t="shared" si="22"/>
        <v>12882.48</v>
      </c>
      <c r="AC137" s="202">
        <f>MasterData!$M$29</f>
        <v>17820.45943877551</v>
      </c>
      <c r="AD137" s="200">
        <f>MasterData!$D$29</f>
        <v>2233.8000000000002</v>
      </c>
      <c r="AE137" s="200">
        <f>MasterData!$E$29</f>
        <v>6471.45</v>
      </c>
      <c r="AF137" s="200">
        <f>MasterData!$F$29</f>
        <v>0</v>
      </c>
      <c r="AG137" s="201">
        <f t="shared" si="17"/>
        <v>179544.36943877555</v>
      </c>
      <c r="AH137" s="200">
        <f>ROUND(AG137*MasterData!$G$29,2)</f>
        <v>21545.32</v>
      </c>
      <c r="AI137" s="200">
        <f>((AG137+AH137)*MasterData!$I$29)-'Model Calculator'!W137*MasterData!$I$29</f>
        <v>1084.9724680102045</v>
      </c>
      <c r="AJ137" s="201">
        <f t="shared" si="18"/>
        <v>202598.59190678576</v>
      </c>
      <c r="AK137" s="201">
        <f t="shared" si="23"/>
        <v>583.86</v>
      </c>
    </row>
    <row r="138" spans="1:37" hidden="1">
      <c r="A138" s="197" t="s">
        <v>99</v>
      </c>
      <c r="B138" s="197" t="str">
        <f t="shared" si="16"/>
        <v>M409.04</v>
      </c>
      <c r="C138" s="197" t="s">
        <v>196</v>
      </c>
      <c r="D138" s="197" t="s">
        <v>282</v>
      </c>
      <c r="E138" s="197">
        <f>VLOOKUP($C38,MasterData!$B$62:$L$111,2,FALSE)</f>
        <v>0.41</v>
      </c>
      <c r="F138" s="198">
        <f>ROUND(E138*MasterData!$C$4,2)</f>
        <v>21177.18</v>
      </c>
      <c r="G138" s="199">
        <f>VLOOKUP($C38,MasterData!$B$62:$L$111,3,FALSE)</f>
        <v>1</v>
      </c>
      <c r="H138" s="198">
        <f>ROUND(G138*MasterData!$D$4,2)</f>
        <v>41516.800000000003</v>
      </c>
      <c r="I138" s="199">
        <f t="shared" si="19"/>
        <v>9</v>
      </c>
      <c r="J138" s="199">
        <f>VLOOKUP($C38,MasterData!$B$62:$L$111,4,FALSE)</f>
        <v>7.6</v>
      </c>
      <c r="K138" s="198">
        <f>ROUND(J138*MasterData!$H$26,2)</f>
        <v>0</v>
      </c>
      <c r="L138" s="199">
        <f>VLOOKUP($C38,MasterData!$B$62:$L$111,5,FALSE)</f>
        <v>1.4</v>
      </c>
      <c r="M138" s="200">
        <f>ROUND(L138*MasterData!$F$4,2)</f>
        <v>41496</v>
      </c>
      <c r="N138" s="199">
        <f>VLOOKUP($A138,MasterData!$B$62:$L$111,6,FALSE)</f>
        <v>1.39</v>
      </c>
      <c r="O138" s="211">
        <f>ROUND(N138*MasterData!$I$26,2)</f>
        <v>0</v>
      </c>
      <c r="P138" s="199">
        <f>VLOOKUP($A138,MasterData!$B$62:$L$111,7,FALSE)</f>
        <v>0.22</v>
      </c>
      <c r="Q138" s="198">
        <f>ROUND(P138*MasterData!$H$4,2)</f>
        <v>6520.8</v>
      </c>
      <c r="R138" s="199">
        <f>VLOOKUP($A138,MasterData!$B$62:$L$111,8,FALSE)</f>
        <v>0.12</v>
      </c>
      <c r="S138" s="200">
        <f>ROUND(R138*MasterData!$I$4,2)</f>
        <v>3863.81</v>
      </c>
      <c r="T138" s="201">
        <f t="shared" si="20"/>
        <v>114574.59000000001</v>
      </c>
      <c r="U138" s="200">
        <f>ROUND(T138*MasterData!$C$29,2)</f>
        <v>25561.59</v>
      </c>
      <c r="V138" s="200">
        <f>ROUND(T138*MasterData!$J$29,2)</f>
        <v>423.93</v>
      </c>
      <c r="W138" s="201">
        <f t="shared" si="21"/>
        <v>140136.18000000002</v>
      </c>
      <c r="X138" s="212">
        <f>VLOOKUP($A138,MasterData!$B$62:$L$111,10,FALSE)*52</f>
        <v>104</v>
      </c>
      <c r="Y138" s="200">
        <f>ROUND(X138*MasterData!$C$7,2)</f>
        <v>6277.44</v>
      </c>
      <c r="Z138" s="199">
        <f>VLOOKUP($A138,MasterData!$B$62:$L$111,11,FALSE)*52</f>
        <v>156</v>
      </c>
      <c r="AA138" s="200">
        <f>ROUND(Z138*MasterData!$D$7,2)</f>
        <v>6605.04</v>
      </c>
      <c r="AB138" s="201">
        <f t="shared" si="22"/>
        <v>12882.48</v>
      </c>
      <c r="AC138" s="202">
        <f>MasterData!$M$29</f>
        <v>17820.45943877551</v>
      </c>
      <c r="AD138" s="200">
        <f>MasterData!$D$29</f>
        <v>2233.8000000000002</v>
      </c>
      <c r="AE138" s="200">
        <f>MasterData!$E$29</f>
        <v>6471.45</v>
      </c>
      <c r="AF138" s="200">
        <f>MasterData!$F$29</f>
        <v>0</v>
      </c>
      <c r="AG138" s="201">
        <f t="shared" si="17"/>
        <v>179544.36943877555</v>
      </c>
      <c r="AH138" s="200">
        <f>ROUND(AG138*MasterData!$G$29,2)</f>
        <v>21545.32</v>
      </c>
      <c r="AI138" s="200">
        <f>((AG138+AH138)*MasterData!$I$29)-'Model Calculator'!W138*MasterData!$I$29</f>
        <v>1084.9724680102045</v>
      </c>
      <c r="AJ138" s="201">
        <f t="shared" si="18"/>
        <v>202598.59190678576</v>
      </c>
      <c r="AK138" s="201">
        <f t="shared" si="23"/>
        <v>583.86</v>
      </c>
    </row>
    <row r="139" spans="1:37" hidden="1">
      <c r="A139" s="197" t="s">
        <v>100</v>
      </c>
      <c r="B139" s="197" t="str">
        <f t="shared" si="16"/>
        <v>M409.54</v>
      </c>
      <c r="C139" s="197" t="s">
        <v>197</v>
      </c>
      <c r="D139" s="197" t="s">
        <v>282</v>
      </c>
      <c r="E139" s="197">
        <f>VLOOKUP($C39,MasterData!$B$62:$L$111,2,FALSE)</f>
        <v>0.41</v>
      </c>
      <c r="F139" s="198">
        <f>ROUND(E139*MasterData!$C$4,2)</f>
        <v>21177.18</v>
      </c>
      <c r="G139" s="199">
        <f>VLOOKUP($C39,MasterData!$B$62:$L$111,3,FALSE)</f>
        <v>1</v>
      </c>
      <c r="H139" s="198">
        <f>ROUND(G139*MasterData!$D$4,2)</f>
        <v>41516.800000000003</v>
      </c>
      <c r="I139" s="199">
        <f t="shared" si="19"/>
        <v>9.5</v>
      </c>
      <c r="J139" s="199">
        <f>VLOOKUP($C39,MasterData!$B$62:$L$111,4,FALSE)</f>
        <v>8.1</v>
      </c>
      <c r="K139" s="198">
        <f>ROUND(J139*MasterData!$H$26,2)</f>
        <v>0</v>
      </c>
      <c r="L139" s="199">
        <f>VLOOKUP($C39,MasterData!$B$62:$L$111,5,FALSE)</f>
        <v>1.4</v>
      </c>
      <c r="M139" s="200">
        <f>ROUND(L139*MasterData!$F$4,2)</f>
        <v>41496</v>
      </c>
      <c r="N139" s="199">
        <f>VLOOKUP($A139,MasterData!$B$62:$L$111,6,FALSE)</f>
        <v>1.46</v>
      </c>
      <c r="O139" s="211">
        <f>ROUND(N139*MasterData!$I$26,2)</f>
        <v>0</v>
      </c>
      <c r="P139" s="199">
        <f>VLOOKUP($A139,MasterData!$B$62:$L$111,7,FALSE)</f>
        <v>0.22</v>
      </c>
      <c r="Q139" s="198">
        <f>ROUND(P139*MasterData!$H$4,2)</f>
        <v>6520.8</v>
      </c>
      <c r="R139" s="199">
        <f>VLOOKUP($A139,MasterData!$B$62:$L$111,8,FALSE)</f>
        <v>0.12</v>
      </c>
      <c r="S139" s="200">
        <f>ROUND(R139*MasterData!$I$4,2)</f>
        <v>3863.81</v>
      </c>
      <c r="T139" s="201">
        <f t="shared" si="20"/>
        <v>114574.59000000001</v>
      </c>
      <c r="U139" s="200">
        <f>ROUND(T139*MasterData!$C$29,2)</f>
        <v>25561.59</v>
      </c>
      <c r="V139" s="200">
        <f>ROUND(T139*MasterData!$J$29,2)</f>
        <v>423.93</v>
      </c>
      <c r="W139" s="201">
        <f t="shared" si="21"/>
        <v>140136.18000000002</v>
      </c>
      <c r="X139" s="212">
        <f>VLOOKUP($A139,MasterData!$B$62:$L$111,10,FALSE)*52</f>
        <v>104</v>
      </c>
      <c r="Y139" s="200">
        <f>ROUND(X139*MasterData!$C$7,2)</f>
        <v>6277.44</v>
      </c>
      <c r="Z139" s="199">
        <f>VLOOKUP($A139,MasterData!$B$62:$L$111,11,FALSE)*52</f>
        <v>156</v>
      </c>
      <c r="AA139" s="200">
        <f>ROUND(Z139*MasterData!$D$7,2)</f>
        <v>6605.04</v>
      </c>
      <c r="AB139" s="201">
        <f t="shared" si="22"/>
        <v>12882.48</v>
      </c>
      <c r="AC139" s="202">
        <f>MasterData!$M$29</f>
        <v>17820.45943877551</v>
      </c>
      <c r="AD139" s="200">
        <f>MasterData!$D$29</f>
        <v>2233.8000000000002</v>
      </c>
      <c r="AE139" s="200">
        <f>MasterData!$E$29</f>
        <v>6471.45</v>
      </c>
      <c r="AF139" s="200">
        <f>MasterData!$F$29</f>
        <v>0</v>
      </c>
      <c r="AG139" s="201">
        <f t="shared" si="17"/>
        <v>179544.36943877555</v>
      </c>
      <c r="AH139" s="200">
        <f>ROUND(AG139*MasterData!$G$29,2)</f>
        <v>21545.32</v>
      </c>
      <c r="AI139" s="200">
        <f>((AG139+AH139)*MasterData!$I$29)-'Model Calculator'!W139*MasterData!$I$29</f>
        <v>1084.9724680102045</v>
      </c>
      <c r="AJ139" s="201">
        <f t="shared" si="18"/>
        <v>202598.59190678576</v>
      </c>
      <c r="AK139" s="201">
        <f t="shared" si="23"/>
        <v>583.86</v>
      </c>
    </row>
    <row r="140" spans="1:37" hidden="1">
      <c r="A140" s="197" t="s">
        <v>101</v>
      </c>
      <c r="B140" s="197" t="str">
        <f t="shared" si="16"/>
        <v>M410.04</v>
      </c>
      <c r="C140" s="197" t="s">
        <v>198</v>
      </c>
      <c r="D140" s="197" t="s">
        <v>282</v>
      </c>
      <c r="E140" s="197">
        <f>VLOOKUP($C40,MasterData!$B$62:$L$111,2,FALSE)</f>
        <v>0.41</v>
      </c>
      <c r="F140" s="198">
        <f>ROUND(E140*MasterData!$C$4,2)</f>
        <v>21177.18</v>
      </c>
      <c r="G140" s="199">
        <f>VLOOKUP($C40,MasterData!$B$62:$L$111,3,FALSE)</f>
        <v>1</v>
      </c>
      <c r="H140" s="198">
        <f>ROUND(G140*MasterData!$D$4,2)</f>
        <v>41516.800000000003</v>
      </c>
      <c r="I140" s="199">
        <f t="shared" si="19"/>
        <v>10</v>
      </c>
      <c r="J140" s="199">
        <f>VLOOKUP($C40,MasterData!$B$62:$L$111,4,FALSE)</f>
        <v>8.6</v>
      </c>
      <c r="K140" s="198">
        <f>ROUND(J140*MasterData!$H$26,2)</f>
        <v>0</v>
      </c>
      <c r="L140" s="199">
        <f>VLOOKUP($C40,MasterData!$B$62:$L$111,5,FALSE)</f>
        <v>1.4</v>
      </c>
      <c r="M140" s="200">
        <f>ROUND(L140*MasterData!$F$4,2)</f>
        <v>41496</v>
      </c>
      <c r="N140" s="199">
        <f>VLOOKUP($A140,MasterData!$B$62:$L$111,6,FALSE)</f>
        <v>1.54</v>
      </c>
      <c r="O140" s="211">
        <f>ROUND(N140*MasterData!$I$26,2)</f>
        <v>0</v>
      </c>
      <c r="P140" s="199">
        <f>VLOOKUP($A140,MasterData!$B$62:$L$111,7,FALSE)</f>
        <v>0.22</v>
      </c>
      <c r="Q140" s="198">
        <f>ROUND(P140*MasterData!$H$4,2)</f>
        <v>6520.8</v>
      </c>
      <c r="R140" s="199">
        <f>VLOOKUP($A140,MasterData!$B$62:$L$111,8,FALSE)</f>
        <v>0.12</v>
      </c>
      <c r="S140" s="200">
        <f>ROUND(R140*MasterData!$I$4,2)</f>
        <v>3863.81</v>
      </c>
      <c r="T140" s="201">
        <f t="shared" si="20"/>
        <v>114574.59000000001</v>
      </c>
      <c r="U140" s="200">
        <f>ROUND(T140*MasterData!$C$29,2)</f>
        <v>25561.59</v>
      </c>
      <c r="V140" s="200">
        <f>ROUND(T140*MasterData!$J$29,2)</f>
        <v>423.93</v>
      </c>
      <c r="W140" s="201">
        <f t="shared" si="21"/>
        <v>140136.18000000002</v>
      </c>
      <c r="X140" s="212">
        <f>VLOOKUP($A140,MasterData!$B$62:$L$111,10,FALSE)*52</f>
        <v>104</v>
      </c>
      <c r="Y140" s="200">
        <f>ROUND(X140*MasterData!$C$7,2)</f>
        <v>6277.44</v>
      </c>
      <c r="Z140" s="199">
        <f>VLOOKUP($A140,MasterData!$B$62:$L$111,11,FALSE)*52</f>
        <v>156</v>
      </c>
      <c r="AA140" s="200">
        <f>ROUND(Z140*MasterData!$D$7,2)</f>
        <v>6605.04</v>
      </c>
      <c r="AB140" s="201">
        <f t="shared" si="22"/>
        <v>12882.48</v>
      </c>
      <c r="AC140" s="202">
        <f>MasterData!$M$29</f>
        <v>17820.45943877551</v>
      </c>
      <c r="AD140" s="200">
        <f>MasterData!$D$29</f>
        <v>2233.8000000000002</v>
      </c>
      <c r="AE140" s="200">
        <f>MasterData!$E$29</f>
        <v>6471.45</v>
      </c>
      <c r="AF140" s="200">
        <f>MasterData!$F$29</f>
        <v>0</v>
      </c>
      <c r="AG140" s="201">
        <f t="shared" si="17"/>
        <v>179544.36943877555</v>
      </c>
      <c r="AH140" s="200">
        <f>ROUND(AG140*MasterData!$G$29,2)</f>
        <v>21545.32</v>
      </c>
      <c r="AI140" s="200">
        <f>((AG140+AH140)*MasterData!$I$29)-'Model Calculator'!W140*MasterData!$I$29</f>
        <v>1084.9724680102045</v>
      </c>
      <c r="AJ140" s="201">
        <f t="shared" si="18"/>
        <v>202598.59190678576</v>
      </c>
      <c r="AK140" s="201">
        <f t="shared" si="23"/>
        <v>583.86</v>
      </c>
    </row>
    <row r="141" spans="1:37" hidden="1">
      <c r="A141" s="197" t="s">
        <v>102</v>
      </c>
      <c r="B141" s="197" t="str">
        <f t="shared" si="16"/>
        <v>M410.54</v>
      </c>
      <c r="C141" s="197" t="s">
        <v>199</v>
      </c>
      <c r="D141" s="197" t="s">
        <v>282</v>
      </c>
      <c r="E141" s="197">
        <f>VLOOKUP($C41,MasterData!$B$62:$L$111,2,FALSE)</f>
        <v>0.41</v>
      </c>
      <c r="F141" s="198">
        <f>ROUND(E141*MasterData!$C$4,2)</f>
        <v>21177.18</v>
      </c>
      <c r="G141" s="199">
        <f>VLOOKUP($C41,MasterData!$B$62:$L$111,3,FALSE)</f>
        <v>1</v>
      </c>
      <c r="H141" s="198">
        <f>ROUND(G141*MasterData!$D$4,2)</f>
        <v>41516.800000000003</v>
      </c>
      <c r="I141" s="199">
        <f t="shared" si="19"/>
        <v>10.5</v>
      </c>
      <c r="J141" s="199">
        <f>VLOOKUP($C41,MasterData!$B$62:$L$111,4,FALSE)</f>
        <v>9.1</v>
      </c>
      <c r="K141" s="198">
        <f>ROUND(J141*MasterData!$H$26,2)</f>
        <v>0</v>
      </c>
      <c r="L141" s="199">
        <f>VLOOKUP($C41,MasterData!$B$62:$L$111,5,FALSE)</f>
        <v>1.4</v>
      </c>
      <c r="M141" s="200">
        <f>ROUND(L141*MasterData!$F$4,2)</f>
        <v>41496</v>
      </c>
      <c r="N141" s="199">
        <f>VLOOKUP($A141,MasterData!$B$62:$L$111,6,FALSE)</f>
        <v>1.62</v>
      </c>
      <c r="O141" s="211">
        <f>ROUND(N141*MasterData!$I$26,2)</f>
        <v>0</v>
      </c>
      <c r="P141" s="199">
        <f>VLOOKUP($A141,MasterData!$B$62:$L$111,7,FALSE)</f>
        <v>0.22</v>
      </c>
      <c r="Q141" s="198">
        <f>ROUND(P141*MasterData!$H$4,2)</f>
        <v>6520.8</v>
      </c>
      <c r="R141" s="199">
        <f>VLOOKUP($A141,MasterData!$B$62:$L$111,8,FALSE)</f>
        <v>0.12</v>
      </c>
      <c r="S141" s="200">
        <f>ROUND(R141*MasterData!$I$4,2)</f>
        <v>3863.81</v>
      </c>
      <c r="T141" s="201">
        <f t="shared" si="20"/>
        <v>114574.59000000001</v>
      </c>
      <c r="U141" s="200">
        <f>ROUND(T141*MasterData!$C$29,2)</f>
        <v>25561.59</v>
      </c>
      <c r="V141" s="200">
        <f>ROUND(T141*MasterData!$J$29,2)</f>
        <v>423.93</v>
      </c>
      <c r="W141" s="201">
        <f t="shared" si="21"/>
        <v>140136.18000000002</v>
      </c>
      <c r="X141" s="212">
        <f>VLOOKUP($A141,MasterData!$B$62:$L$111,10,FALSE)*52</f>
        <v>104</v>
      </c>
      <c r="Y141" s="200">
        <f>ROUND(X141*MasterData!$C$7,2)</f>
        <v>6277.44</v>
      </c>
      <c r="Z141" s="199">
        <f>VLOOKUP($A141,MasterData!$B$62:$L$111,11,FALSE)*52</f>
        <v>156</v>
      </c>
      <c r="AA141" s="200">
        <f>ROUND(Z141*MasterData!$D$7,2)</f>
        <v>6605.04</v>
      </c>
      <c r="AB141" s="201">
        <f t="shared" si="22"/>
        <v>12882.48</v>
      </c>
      <c r="AC141" s="202">
        <f>MasterData!$M$29</f>
        <v>17820.45943877551</v>
      </c>
      <c r="AD141" s="200">
        <f>MasterData!$D$29</f>
        <v>2233.8000000000002</v>
      </c>
      <c r="AE141" s="200">
        <f>MasterData!$E$29</f>
        <v>6471.45</v>
      </c>
      <c r="AF141" s="200">
        <f>MasterData!$F$29</f>
        <v>0</v>
      </c>
      <c r="AG141" s="201">
        <f t="shared" si="17"/>
        <v>179544.36943877555</v>
      </c>
      <c r="AH141" s="200">
        <f>ROUND(AG141*MasterData!$G$29,2)</f>
        <v>21545.32</v>
      </c>
      <c r="AI141" s="200">
        <f>((AG141+AH141)*MasterData!$I$29)-'Model Calculator'!W141*MasterData!$I$29</f>
        <v>1084.9724680102045</v>
      </c>
      <c r="AJ141" s="201">
        <f t="shared" si="18"/>
        <v>202598.59190678576</v>
      </c>
      <c r="AK141" s="201">
        <f t="shared" si="23"/>
        <v>583.86</v>
      </c>
    </row>
    <row r="142" spans="1:37" hidden="1">
      <c r="A142" s="197" t="s">
        <v>103</v>
      </c>
      <c r="B142" s="197" t="str">
        <f t="shared" si="16"/>
        <v>M411.04</v>
      </c>
      <c r="C142" s="197" t="s">
        <v>200</v>
      </c>
      <c r="D142" s="197" t="s">
        <v>282</v>
      </c>
      <c r="E142" s="197">
        <f>VLOOKUP($C42,MasterData!$B$62:$L$111,2,FALSE)</f>
        <v>0.41</v>
      </c>
      <c r="F142" s="198">
        <f>ROUND(E142*MasterData!$C$4,2)</f>
        <v>21177.18</v>
      </c>
      <c r="G142" s="199">
        <f>VLOOKUP($C42,MasterData!$B$62:$L$111,3,FALSE)</f>
        <v>1</v>
      </c>
      <c r="H142" s="198">
        <f>ROUND(G142*MasterData!$D$4,2)</f>
        <v>41516.800000000003</v>
      </c>
      <c r="I142" s="199">
        <f t="shared" si="19"/>
        <v>11</v>
      </c>
      <c r="J142" s="199">
        <f>VLOOKUP($C42,MasterData!$B$62:$L$111,4,FALSE)</f>
        <v>9.6</v>
      </c>
      <c r="K142" s="198">
        <f>ROUND(J142*MasterData!$H$26,2)</f>
        <v>0</v>
      </c>
      <c r="L142" s="199">
        <f>VLOOKUP($C42,MasterData!$B$62:$L$111,5,FALSE)</f>
        <v>1.4</v>
      </c>
      <c r="M142" s="200">
        <f>ROUND(L142*MasterData!$F$4,2)</f>
        <v>41496</v>
      </c>
      <c r="N142" s="199">
        <f>VLOOKUP($A142,MasterData!$B$62:$L$111,6,FALSE)</f>
        <v>1.69</v>
      </c>
      <c r="O142" s="211">
        <f>ROUND(N142*MasterData!$I$26,2)</f>
        <v>0</v>
      </c>
      <c r="P142" s="199">
        <f>VLOOKUP($A142,MasterData!$B$62:$L$111,7,FALSE)</f>
        <v>0.22</v>
      </c>
      <c r="Q142" s="198">
        <f>ROUND(P142*MasterData!$H$4,2)</f>
        <v>6520.8</v>
      </c>
      <c r="R142" s="199">
        <f>VLOOKUP($A142,MasterData!$B$62:$L$111,8,FALSE)</f>
        <v>0.12</v>
      </c>
      <c r="S142" s="200">
        <f>ROUND(R142*MasterData!$I$4,2)</f>
        <v>3863.81</v>
      </c>
      <c r="T142" s="201">
        <f t="shared" si="20"/>
        <v>114574.59000000001</v>
      </c>
      <c r="U142" s="200">
        <f>ROUND(T142*MasterData!$C$29,2)</f>
        <v>25561.59</v>
      </c>
      <c r="V142" s="200">
        <f>ROUND(T142*MasterData!$J$29,2)</f>
        <v>423.93</v>
      </c>
      <c r="W142" s="201">
        <f t="shared" si="21"/>
        <v>140136.18000000002</v>
      </c>
      <c r="X142" s="212">
        <f>VLOOKUP($A142,MasterData!$B$62:$L$111,10,FALSE)*52</f>
        <v>104</v>
      </c>
      <c r="Y142" s="200">
        <f>ROUND(X142*MasterData!$C$7,2)</f>
        <v>6277.44</v>
      </c>
      <c r="Z142" s="199">
        <f>VLOOKUP($A142,MasterData!$B$62:$L$111,11,FALSE)*52</f>
        <v>156</v>
      </c>
      <c r="AA142" s="200">
        <f>ROUND(Z142*MasterData!$D$7,2)</f>
        <v>6605.04</v>
      </c>
      <c r="AB142" s="201">
        <f t="shared" si="22"/>
        <v>12882.48</v>
      </c>
      <c r="AC142" s="202">
        <f>MasterData!$M$29</f>
        <v>17820.45943877551</v>
      </c>
      <c r="AD142" s="200">
        <f>MasterData!$D$29</f>
        <v>2233.8000000000002</v>
      </c>
      <c r="AE142" s="200">
        <f>MasterData!$E$29</f>
        <v>6471.45</v>
      </c>
      <c r="AF142" s="200">
        <f>MasterData!$F$29</f>
        <v>0</v>
      </c>
      <c r="AG142" s="201">
        <f t="shared" si="17"/>
        <v>179544.36943877555</v>
      </c>
      <c r="AH142" s="200">
        <f>ROUND(AG142*MasterData!$G$29,2)</f>
        <v>21545.32</v>
      </c>
      <c r="AI142" s="200">
        <f>((AG142+AH142)*MasterData!$I$29)-'Model Calculator'!W142*MasterData!$I$29</f>
        <v>1084.9724680102045</v>
      </c>
      <c r="AJ142" s="201">
        <f t="shared" si="18"/>
        <v>202598.59190678576</v>
      </c>
      <c r="AK142" s="201">
        <f t="shared" si="23"/>
        <v>583.86</v>
      </c>
    </row>
    <row r="143" spans="1:37" hidden="1">
      <c r="A143" s="197" t="s">
        <v>104</v>
      </c>
      <c r="B143" s="197" t="str">
        <f t="shared" si="16"/>
        <v>M411.54</v>
      </c>
      <c r="C143" s="197" t="s">
        <v>201</v>
      </c>
      <c r="D143" s="197" t="s">
        <v>282</v>
      </c>
      <c r="E143" s="197">
        <f>VLOOKUP($C43,MasterData!$B$62:$L$111,2,FALSE)</f>
        <v>0.41</v>
      </c>
      <c r="F143" s="198">
        <f>ROUND(E143*MasterData!$C$4,2)</f>
        <v>21177.18</v>
      </c>
      <c r="G143" s="199">
        <f>VLOOKUP($C43,MasterData!$B$62:$L$111,3,FALSE)</f>
        <v>1</v>
      </c>
      <c r="H143" s="198">
        <f>ROUND(G143*MasterData!$D$4,2)</f>
        <v>41516.800000000003</v>
      </c>
      <c r="I143" s="199">
        <f t="shared" si="19"/>
        <v>11.5</v>
      </c>
      <c r="J143" s="199">
        <f>VLOOKUP($C43,MasterData!$B$62:$L$111,4,FALSE)</f>
        <v>10.1</v>
      </c>
      <c r="K143" s="198">
        <f>ROUND(J143*MasterData!$H$26,2)</f>
        <v>0</v>
      </c>
      <c r="L143" s="199">
        <f>VLOOKUP($C43,MasterData!$B$62:$L$111,5,FALSE)</f>
        <v>1.4</v>
      </c>
      <c r="M143" s="200">
        <f>ROUND(L143*MasterData!$F$4,2)</f>
        <v>41496</v>
      </c>
      <c r="N143" s="199">
        <f>VLOOKUP($A143,MasterData!$B$62:$L$111,6,FALSE)</f>
        <v>1.77</v>
      </c>
      <c r="O143" s="211">
        <f>ROUND(N143*MasterData!$I$26,2)</f>
        <v>0</v>
      </c>
      <c r="P143" s="199">
        <f>VLOOKUP($A143,MasterData!$B$62:$L$111,7,FALSE)</f>
        <v>0.22</v>
      </c>
      <c r="Q143" s="198">
        <f>ROUND(P143*MasterData!$H$4,2)</f>
        <v>6520.8</v>
      </c>
      <c r="R143" s="199">
        <f>VLOOKUP($A143,MasterData!$B$62:$L$111,8,FALSE)</f>
        <v>0.12</v>
      </c>
      <c r="S143" s="200">
        <f>ROUND(R143*MasterData!$I$4,2)</f>
        <v>3863.81</v>
      </c>
      <c r="T143" s="201">
        <f t="shared" si="20"/>
        <v>114574.59000000001</v>
      </c>
      <c r="U143" s="200">
        <f>ROUND(T143*MasterData!$C$29,2)</f>
        <v>25561.59</v>
      </c>
      <c r="V143" s="200">
        <f>ROUND(T143*MasterData!$J$29,2)</f>
        <v>423.93</v>
      </c>
      <c r="W143" s="201">
        <f t="shared" si="21"/>
        <v>140136.18000000002</v>
      </c>
      <c r="X143" s="212">
        <f>VLOOKUP($A143,MasterData!$B$62:$L$111,10,FALSE)*52</f>
        <v>104</v>
      </c>
      <c r="Y143" s="200">
        <f>ROUND(X143*MasterData!$C$7,2)</f>
        <v>6277.44</v>
      </c>
      <c r="Z143" s="199">
        <f>VLOOKUP($A143,MasterData!$B$62:$L$111,11,FALSE)*52</f>
        <v>156</v>
      </c>
      <c r="AA143" s="200">
        <f>ROUND(Z143*MasterData!$D$7,2)</f>
        <v>6605.04</v>
      </c>
      <c r="AB143" s="201">
        <f t="shared" si="22"/>
        <v>12882.48</v>
      </c>
      <c r="AC143" s="202">
        <f>MasterData!$M$29</f>
        <v>17820.45943877551</v>
      </c>
      <c r="AD143" s="200">
        <f>MasterData!$D$29</f>
        <v>2233.8000000000002</v>
      </c>
      <c r="AE143" s="200">
        <f>MasterData!$E$29</f>
        <v>6471.45</v>
      </c>
      <c r="AF143" s="200">
        <f>MasterData!$F$29</f>
        <v>0</v>
      </c>
      <c r="AG143" s="201">
        <f t="shared" si="17"/>
        <v>179544.36943877555</v>
      </c>
      <c r="AH143" s="200">
        <f>ROUND(AG143*MasterData!$G$29,2)</f>
        <v>21545.32</v>
      </c>
      <c r="AI143" s="200">
        <f>((AG143+AH143)*MasterData!$I$29)-'Model Calculator'!W143*MasterData!$I$29</f>
        <v>1084.9724680102045</v>
      </c>
      <c r="AJ143" s="201">
        <f t="shared" si="18"/>
        <v>202598.59190678576</v>
      </c>
      <c r="AK143" s="201">
        <f t="shared" si="23"/>
        <v>583.86</v>
      </c>
    </row>
    <row r="144" spans="1:37" hidden="1">
      <c r="A144" s="197" t="s">
        <v>105</v>
      </c>
      <c r="B144" s="197" t="str">
        <f t="shared" si="16"/>
        <v>M412.04</v>
      </c>
      <c r="C144" s="197" t="s">
        <v>202</v>
      </c>
      <c r="D144" s="197" t="s">
        <v>282</v>
      </c>
      <c r="E144" s="197">
        <f>VLOOKUP($C44,MasterData!$B$62:$L$111,2,FALSE)</f>
        <v>0.41</v>
      </c>
      <c r="F144" s="198">
        <f>ROUND(E144*MasterData!$C$4,2)</f>
        <v>21177.18</v>
      </c>
      <c r="G144" s="199">
        <f>VLOOKUP($C44,MasterData!$B$62:$L$111,3,FALSE)</f>
        <v>1</v>
      </c>
      <c r="H144" s="198">
        <f>ROUND(G144*MasterData!$D$4,2)</f>
        <v>41516.800000000003</v>
      </c>
      <c r="I144" s="199">
        <f t="shared" si="19"/>
        <v>12</v>
      </c>
      <c r="J144" s="199">
        <f>VLOOKUP($C44,MasterData!$B$62:$L$111,4,FALSE)</f>
        <v>10.6</v>
      </c>
      <c r="K144" s="198">
        <f>ROUND(J144*MasterData!$H$26,2)</f>
        <v>0</v>
      </c>
      <c r="L144" s="199">
        <f>VLOOKUP($C44,MasterData!$B$62:$L$111,5,FALSE)</f>
        <v>1.4</v>
      </c>
      <c r="M144" s="200">
        <f>ROUND(L144*MasterData!$F$4,2)</f>
        <v>41496</v>
      </c>
      <c r="N144" s="199">
        <f>VLOOKUP($A144,MasterData!$B$62:$L$111,6,FALSE)</f>
        <v>1.85</v>
      </c>
      <c r="O144" s="211">
        <f>ROUND(N144*MasterData!$I$26,2)</f>
        <v>0</v>
      </c>
      <c r="P144" s="199">
        <f>VLOOKUP($A144,MasterData!$B$62:$L$111,7,FALSE)</f>
        <v>0.22</v>
      </c>
      <c r="Q144" s="198">
        <f>ROUND(P144*MasterData!$H$4,2)</f>
        <v>6520.8</v>
      </c>
      <c r="R144" s="199">
        <f>VLOOKUP($A144,MasterData!$B$62:$L$111,8,FALSE)</f>
        <v>0.12</v>
      </c>
      <c r="S144" s="200">
        <f>ROUND(R144*MasterData!$I$4,2)</f>
        <v>3863.81</v>
      </c>
      <c r="T144" s="201">
        <f t="shared" si="20"/>
        <v>114574.59000000001</v>
      </c>
      <c r="U144" s="200">
        <f>ROUND(T144*MasterData!$C$29,2)</f>
        <v>25561.59</v>
      </c>
      <c r="V144" s="200">
        <f>ROUND(T144*MasterData!$J$29,2)</f>
        <v>423.93</v>
      </c>
      <c r="W144" s="201">
        <f t="shared" si="21"/>
        <v>140136.18000000002</v>
      </c>
      <c r="X144" s="212">
        <f>VLOOKUP($A144,MasterData!$B$62:$L$111,10,FALSE)*52</f>
        <v>104</v>
      </c>
      <c r="Y144" s="200">
        <f>ROUND(X144*MasterData!$C$7,2)</f>
        <v>6277.44</v>
      </c>
      <c r="Z144" s="199">
        <f>VLOOKUP($A144,MasterData!$B$62:$L$111,11,FALSE)*52</f>
        <v>156</v>
      </c>
      <c r="AA144" s="200">
        <f>ROUND(Z144*MasterData!$D$7,2)</f>
        <v>6605.04</v>
      </c>
      <c r="AB144" s="201">
        <f t="shared" si="22"/>
        <v>12882.48</v>
      </c>
      <c r="AC144" s="202">
        <f>MasterData!$M$29</f>
        <v>17820.45943877551</v>
      </c>
      <c r="AD144" s="200">
        <f>MasterData!$D$29</f>
        <v>2233.8000000000002</v>
      </c>
      <c r="AE144" s="200">
        <f>MasterData!$E$29</f>
        <v>6471.45</v>
      </c>
      <c r="AF144" s="200">
        <f>MasterData!$F$29</f>
        <v>0</v>
      </c>
      <c r="AG144" s="201">
        <f t="shared" si="17"/>
        <v>179544.36943877555</v>
      </c>
      <c r="AH144" s="200">
        <f>ROUND(AG144*MasterData!$G$29,2)</f>
        <v>21545.32</v>
      </c>
      <c r="AI144" s="200">
        <f>((AG144+AH144)*MasterData!$I$29)-'Model Calculator'!W144*MasterData!$I$29</f>
        <v>1084.9724680102045</v>
      </c>
      <c r="AJ144" s="201">
        <f t="shared" si="18"/>
        <v>202598.59190678576</v>
      </c>
      <c r="AK144" s="201">
        <f t="shared" si="23"/>
        <v>583.86</v>
      </c>
    </row>
    <row r="145" spans="1:37" hidden="1">
      <c r="A145" s="197" t="s">
        <v>106</v>
      </c>
      <c r="B145" s="197" t="str">
        <f t="shared" si="16"/>
        <v>M412.54</v>
      </c>
      <c r="C145" s="197" t="s">
        <v>203</v>
      </c>
      <c r="D145" s="197" t="s">
        <v>282</v>
      </c>
      <c r="E145" s="197">
        <f>VLOOKUP($C45,MasterData!$B$62:$L$111,2,FALSE)</f>
        <v>0.41</v>
      </c>
      <c r="F145" s="198">
        <f>ROUND(E145*MasterData!$C$4,2)</f>
        <v>21177.18</v>
      </c>
      <c r="G145" s="199">
        <f>VLOOKUP($C45,MasterData!$B$62:$L$111,3,FALSE)</f>
        <v>1</v>
      </c>
      <c r="H145" s="198">
        <f>ROUND(G145*MasterData!$D$4,2)</f>
        <v>41516.800000000003</v>
      </c>
      <c r="I145" s="199">
        <f t="shared" si="19"/>
        <v>12.5</v>
      </c>
      <c r="J145" s="199">
        <f>VLOOKUP($C45,MasterData!$B$62:$L$111,4,FALSE)</f>
        <v>11.1</v>
      </c>
      <c r="K145" s="198">
        <f>ROUND(J145*MasterData!$H$26,2)</f>
        <v>0</v>
      </c>
      <c r="L145" s="199">
        <f>VLOOKUP($C45,MasterData!$B$62:$L$111,5,FALSE)</f>
        <v>1.4</v>
      </c>
      <c r="M145" s="200">
        <f>ROUND(L145*MasterData!$F$4,2)</f>
        <v>41496</v>
      </c>
      <c r="N145" s="199">
        <f>VLOOKUP($A145,MasterData!$B$62:$L$111,6,FALSE)</f>
        <v>1.93</v>
      </c>
      <c r="O145" s="211">
        <f>ROUND(N145*MasterData!$I$26,2)</f>
        <v>0</v>
      </c>
      <c r="P145" s="199">
        <f>VLOOKUP($A145,MasterData!$B$62:$L$111,7,FALSE)</f>
        <v>0.22</v>
      </c>
      <c r="Q145" s="198">
        <f>ROUND(P145*MasterData!$H$4,2)</f>
        <v>6520.8</v>
      </c>
      <c r="R145" s="199">
        <f>VLOOKUP($A145,MasterData!$B$62:$L$111,8,FALSE)</f>
        <v>0.12</v>
      </c>
      <c r="S145" s="200">
        <f>ROUND(R145*MasterData!$I$4,2)</f>
        <v>3863.81</v>
      </c>
      <c r="T145" s="201">
        <f t="shared" si="20"/>
        <v>114574.59000000001</v>
      </c>
      <c r="U145" s="200">
        <f>ROUND(T145*MasterData!$C$29,2)</f>
        <v>25561.59</v>
      </c>
      <c r="V145" s="200">
        <f>ROUND(T145*MasterData!$J$29,2)</f>
        <v>423.93</v>
      </c>
      <c r="W145" s="201">
        <f t="shared" si="21"/>
        <v>140136.18000000002</v>
      </c>
      <c r="X145" s="212">
        <f>VLOOKUP($A145,MasterData!$B$62:$L$111,10,FALSE)*52</f>
        <v>104</v>
      </c>
      <c r="Y145" s="200">
        <f>ROUND(X145*MasterData!$C$7,2)</f>
        <v>6277.44</v>
      </c>
      <c r="Z145" s="199">
        <f>VLOOKUP($A145,MasterData!$B$62:$L$111,11,FALSE)*52</f>
        <v>156</v>
      </c>
      <c r="AA145" s="200">
        <f>ROUND(Z145*MasterData!$D$7,2)</f>
        <v>6605.04</v>
      </c>
      <c r="AB145" s="201">
        <f t="shared" si="22"/>
        <v>12882.48</v>
      </c>
      <c r="AC145" s="202">
        <f>MasterData!$M$29</f>
        <v>17820.45943877551</v>
      </c>
      <c r="AD145" s="200">
        <f>MasterData!$D$29</f>
        <v>2233.8000000000002</v>
      </c>
      <c r="AE145" s="200">
        <f>MasterData!$E$29</f>
        <v>6471.45</v>
      </c>
      <c r="AF145" s="200">
        <f>MasterData!$F$29</f>
        <v>0</v>
      </c>
      <c r="AG145" s="201">
        <f t="shared" si="17"/>
        <v>179544.36943877555</v>
      </c>
      <c r="AH145" s="200">
        <f>ROUND(AG145*MasterData!$G$29,2)</f>
        <v>21545.32</v>
      </c>
      <c r="AI145" s="200">
        <f>((AG145+AH145)*MasterData!$I$29)-'Model Calculator'!W145*MasterData!$I$29</f>
        <v>1084.9724680102045</v>
      </c>
      <c r="AJ145" s="201">
        <f t="shared" si="18"/>
        <v>202598.59190678576</v>
      </c>
      <c r="AK145" s="201">
        <f t="shared" si="23"/>
        <v>583.86</v>
      </c>
    </row>
    <row r="146" spans="1:37" hidden="1">
      <c r="A146" s="197" t="s">
        <v>107</v>
      </c>
      <c r="B146" s="197" t="str">
        <f t="shared" si="16"/>
        <v>M413.04</v>
      </c>
      <c r="C146" s="197" t="s">
        <v>204</v>
      </c>
      <c r="D146" s="197" t="s">
        <v>282</v>
      </c>
      <c r="E146" s="197">
        <f>VLOOKUP($C46,MasterData!$B$62:$L$111,2,FALSE)</f>
        <v>0.41</v>
      </c>
      <c r="F146" s="198">
        <f>ROUND(E146*MasterData!$C$4,2)</f>
        <v>21177.18</v>
      </c>
      <c r="G146" s="199">
        <f>VLOOKUP($C46,MasterData!$B$62:$L$111,3,FALSE)</f>
        <v>1</v>
      </c>
      <c r="H146" s="198">
        <f>ROUND(G146*MasterData!$D$4,2)</f>
        <v>41516.800000000003</v>
      </c>
      <c r="I146" s="199">
        <f t="shared" si="19"/>
        <v>13</v>
      </c>
      <c r="J146" s="199">
        <f>VLOOKUP($C46,MasterData!$B$62:$L$111,4,FALSE)</f>
        <v>11.6</v>
      </c>
      <c r="K146" s="198">
        <f>ROUND(J146*MasterData!$H$26,2)</f>
        <v>0</v>
      </c>
      <c r="L146" s="199">
        <f>VLOOKUP($C46,MasterData!$B$62:$L$111,5,FALSE)</f>
        <v>1.4</v>
      </c>
      <c r="M146" s="200">
        <f>ROUND(L146*MasterData!$F$4,2)</f>
        <v>41496</v>
      </c>
      <c r="N146" s="199">
        <f>VLOOKUP($A146,MasterData!$B$62:$L$111,6,FALSE)</f>
        <v>2</v>
      </c>
      <c r="O146" s="211">
        <f>ROUND(N146*MasterData!$I$26,2)</f>
        <v>0</v>
      </c>
      <c r="P146" s="199">
        <f>VLOOKUP($A146,MasterData!$B$62:$L$111,7,FALSE)</f>
        <v>0.22</v>
      </c>
      <c r="Q146" s="198">
        <f>ROUND(P146*MasterData!$H$4,2)</f>
        <v>6520.8</v>
      </c>
      <c r="R146" s="199">
        <f>VLOOKUP($A146,MasterData!$B$62:$L$111,8,FALSE)</f>
        <v>0.12</v>
      </c>
      <c r="S146" s="200">
        <f>ROUND(R146*MasterData!$I$4,2)</f>
        <v>3863.81</v>
      </c>
      <c r="T146" s="201">
        <f t="shared" si="20"/>
        <v>114574.59000000001</v>
      </c>
      <c r="U146" s="200">
        <f>ROUND(T146*MasterData!$C$29,2)</f>
        <v>25561.59</v>
      </c>
      <c r="V146" s="200">
        <f>ROUND(T146*MasterData!$J$29,2)</f>
        <v>423.93</v>
      </c>
      <c r="W146" s="201">
        <f t="shared" si="21"/>
        <v>140136.18000000002</v>
      </c>
      <c r="X146" s="212">
        <f>VLOOKUP($A146,MasterData!$B$62:$L$111,10,FALSE)*52</f>
        <v>104</v>
      </c>
      <c r="Y146" s="200">
        <f>ROUND(X146*MasterData!$C$7,2)</f>
        <v>6277.44</v>
      </c>
      <c r="Z146" s="199">
        <f>VLOOKUP($A146,MasterData!$B$62:$L$111,11,FALSE)*52</f>
        <v>156</v>
      </c>
      <c r="AA146" s="200">
        <f>ROUND(Z146*MasterData!$D$7,2)</f>
        <v>6605.04</v>
      </c>
      <c r="AB146" s="201">
        <f t="shared" si="22"/>
        <v>12882.48</v>
      </c>
      <c r="AC146" s="202">
        <f>MasterData!$M$29</f>
        <v>17820.45943877551</v>
      </c>
      <c r="AD146" s="200">
        <f>MasterData!$D$29</f>
        <v>2233.8000000000002</v>
      </c>
      <c r="AE146" s="200">
        <f>MasterData!$E$29</f>
        <v>6471.45</v>
      </c>
      <c r="AF146" s="200">
        <f>MasterData!$F$29</f>
        <v>0</v>
      </c>
      <c r="AG146" s="201">
        <f t="shared" si="17"/>
        <v>179544.36943877555</v>
      </c>
      <c r="AH146" s="200">
        <f>ROUND(AG146*MasterData!$G$29,2)</f>
        <v>21545.32</v>
      </c>
      <c r="AI146" s="200">
        <f>((AG146+AH146)*MasterData!$I$29)-'Model Calculator'!W146*MasterData!$I$29</f>
        <v>1084.9724680102045</v>
      </c>
      <c r="AJ146" s="201">
        <f t="shared" si="18"/>
        <v>202598.59190678576</v>
      </c>
      <c r="AK146" s="201">
        <f t="shared" si="23"/>
        <v>583.86</v>
      </c>
    </row>
    <row r="147" spans="1:37" hidden="1">
      <c r="A147" s="197" t="s">
        <v>108</v>
      </c>
      <c r="B147" s="197" t="str">
        <f t="shared" si="16"/>
        <v>M413.54</v>
      </c>
      <c r="C147" s="197" t="s">
        <v>205</v>
      </c>
      <c r="D147" s="197" t="s">
        <v>282</v>
      </c>
      <c r="E147" s="197">
        <f>VLOOKUP($C47,MasterData!$B$62:$L$111,2,FALSE)</f>
        <v>0.41</v>
      </c>
      <c r="F147" s="198">
        <f>ROUND(E147*MasterData!$C$4,2)</f>
        <v>21177.18</v>
      </c>
      <c r="G147" s="199">
        <f>VLOOKUP($C47,MasterData!$B$62:$L$111,3,FALSE)</f>
        <v>1</v>
      </c>
      <c r="H147" s="198">
        <f>ROUND(G147*MasterData!$D$4,2)</f>
        <v>41516.800000000003</v>
      </c>
      <c r="I147" s="199">
        <f t="shared" si="19"/>
        <v>13.5</v>
      </c>
      <c r="J147" s="199">
        <f>VLOOKUP($C47,MasterData!$B$62:$L$111,4,FALSE)</f>
        <v>12.1</v>
      </c>
      <c r="K147" s="198">
        <f>ROUND(J147*MasterData!$H$26,2)</f>
        <v>0</v>
      </c>
      <c r="L147" s="199">
        <f>VLOOKUP($C47,MasterData!$B$62:$L$111,5,FALSE)</f>
        <v>1.4</v>
      </c>
      <c r="M147" s="200">
        <f>ROUND(L147*MasterData!$F$4,2)</f>
        <v>41496</v>
      </c>
      <c r="N147" s="199">
        <f>VLOOKUP($A147,MasterData!$B$62:$L$111,6,FALSE)</f>
        <v>2.08</v>
      </c>
      <c r="O147" s="211">
        <f>ROUND(N147*MasterData!$I$26,2)</f>
        <v>0</v>
      </c>
      <c r="P147" s="199">
        <f>VLOOKUP($A147,MasterData!$B$62:$L$111,7,FALSE)</f>
        <v>0.22</v>
      </c>
      <c r="Q147" s="198">
        <f>ROUND(P147*MasterData!$H$4,2)</f>
        <v>6520.8</v>
      </c>
      <c r="R147" s="199">
        <f>VLOOKUP($A147,MasterData!$B$62:$L$111,8,FALSE)</f>
        <v>0.12</v>
      </c>
      <c r="S147" s="200">
        <f>ROUND(R147*MasterData!$I$4,2)</f>
        <v>3863.81</v>
      </c>
      <c r="T147" s="201">
        <f t="shared" si="20"/>
        <v>114574.59000000001</v>
      </c>
      <c r="U147" s="200">
        <f>ROUND(T147*MasterData!$C$29,2)</f>
        <v>25561.59</v>
      </c>
      <c r="V147" s="200">
        <f>ROUND(T147*MasterData!$J$29,2)</f>
        <v>423.93</v>
      </c>
      <c r="W147" s="201">
        <f t="shared" si="21"/>
        <v>140136.18000000002</v>
      </c>
      <c r="X147" s="212">
        <f>VLOOKUP($A147,MasterData!$B$62:$L$111,10,FALSE)*52</f>
        <v>104</v>
      </c>
      <c r="Y147" s="200">
        <f>ROUND(X147*MasterData!$C$7,2)</f>
        <v>6277.44</v>
      </c>
      <c r="Z147" s="199">
        <f>VLOOKUP($A147,MasterData!$B$62:$L$111,11,FALSE)*52</f>
        <v>156</v>
      </c>
      <c r="AA147" s="200">
        <f>ROUND(Z147*MasterData!$D$7,2)</f>
        <v>6605.04</v>
      </c>
      <c r="AB147" s="201">
        <f t="shared" si="22"/>
        <v>12882.48</v>
      </c>
      <c r="AC147" s="202">
        <f>MasterData!$M$29</f>
        <v>17820.45943877551</v>
      </c>
      <c r="AD147" s="200">
        <f>MasterData!$D$29</f>
        <v>2233.8000000000002</v>
      </c>
      <c r="AE147" s="200">
        <f>MasterData!$E$29</f>
        <v>6471.45</v>
      </c>
      <c r="AF147" s="200">
        <f>MasterData!$F$29</f>
        <v>0</v>
      </c>
      <c r="AG147" s="201">
        <f t="shared" si="17"/>
        <v>179544.36943877555</v>
      </c>
      <c r="AH147" s="200">
        <f>ROUND(AG147*MasterData!$G$29,2)</f>
        <v>21545.32</v>
      </c>
      <c r="AI147" s="200">
        <f>((AG147+AH147)*MasterData!$I$29)-'Model Calculator'!W147*MasterData!$I$29</f>
        <v>1084.9724680102045</v>
      </c>
      <c r="AJ147" s="201">
        <f t="shared" si="18"/>
        <v>202598.59190678576</v>
      </c>
      <c r="AK147" s="201">
        <f t="shared" si="23"/>
        <v>583.86</v>
      </c>
    </row>
    <row r="148" spans="1:37" hidden="1">
      <c r="A148" s="197" t="s">
        <v>109</v>
      </c>
      <c r="B148" s="197" t="str">
        <f t="shared" si="16"/>
        <v>M414.04</v>
      </c>
      <c r="C148" s="197" t="s">
        <v>206</v>
      </c>
      <c r="D148" s="197" t="s">
        <v>282</v>
      </c>
      <c r="E148" s="197">
        <f>VLOOKUP($C48,MasterData!$B$62:$L$111,2,FALSE)</f>
        <v>0.41</v>
      </c>
      <c r="F148" s="198">
        <f>ROUND(E148*MasterData!$C$4,2)</f>
        <v>21177.18</v>
      </c>
      <c r="G148" s="199">
        <f>VLOOKUP($C48,MasterData!$B$62:$L$111,3,FALSE)</f>
        <v>1</v>
      </c>
      <c r="H148" s="198">
        <f>ROUND(G148*MasterData!$D$4,2)</f>
        <v>41516.800000000003</v>
      </c>
      <c r="I148" s="199">
        <f t="shared" si="19"/>
        <v>14</v>
      </c>
      <c r="J148" s="199">
        <f>VLOOKUP($C48,MasterData!$B$62:$L$111,4,FALSE)</f>
        <v>12.6</v>
      </c>
      <c r="K148" s="198">
        <f>ROUND(J148*MasterData!$H$26,2)</f>
        <v>0</v>
      </c>
      <c r="L148" s="199">
        <f>VLOOKUP($C48,MasterData!$B$62:$L$111,5,FALSE)</f>
        <v>1.4</v>
      </c>
      <c r="M148" s="200">
        <f>ROUND(L148*MasterData!$F$4,2)</f>
        <v>41496</v>
      </c>
      <c r="N148" s="199">
        <f>VLOOKUP($A148,MasterData!$B$62:$L$111,6,FALSE)</f>
        <v>2.16</v>
      </c>
      <c r="O148" s="211">
        <f>ROUND(N148*MasterData!$I$26,2)</f>
        <v>0</v>
      </c>
      <c r="P148" s="199">
        <f>VLOOKUP($A148,MasterData!$B$62:$L$111,7,FALSE)</f>
        <v>0.22</v>
      </c>
      <c r="Q148" s="198">
        <f>ROUND(P148*MasterData!$H$4,2)</f>
        <v>6520.8</v>
      </c>
      <c r="R148" s="199">
        <f>VLOOKUP($A148,MasterData!$B$62:$L$111,8,FALSE)</f>
        <v>0.12</v>
      </c>
      <c r="S148" s="200">
        <f>ROUND(R148*MasterData!$I$4,2)</f>
        <v>3863.81</v>
      </c>
      <c r="T148" s="201">
        <f t="shared" si="20"/>
        <v>114574.59000000001</v>
      </c>
      <c r="U148" s="200">
        <f>ROUND(T148*MasterData!$C$29,2)</f>
        <v>25561.59</v>
      </c>
      <c r="V148" s="200">
        <f>ROUND(T148*MasterData!$J$29,2)</f>
        <v>423.93</v>
      </c>
      <c r="W148" s="201">
        <f t="shared" si="21"/>
        <v>140136.18000000002</v>
      </c>
      <c r="X148" s="212">
        <f>VLOOKUP($A148,MasterData!$B$62:$L$111,10,FALSE)*52</f>
        <v>104</v>
      </c>
      <c r="Y148" s="200">
        <f>ROUND(X148*MasterData!$C$7,2)</f>
        <v>6277.44</v>
      </c>
      <c r="Z148" s="199">
        <f>VLOOKUP($A148,MasterData!$B$62:$L$111,11,FALSE)*52</f>
        <v>156</v>
      </c>
      <c r="AA148" s="200">
        <f>ROUND(Z148*MasterData!$D$7,2)</f>
        <v>6605.04</v>
      </c>
      <c r="AB148" s="201">
        <f t="shared" si="22"/>
        <v>12882.48</v>
      </c>
      <c r="AC148" s="202">
        <f>MasterData!$M$29</f>
        <v>17820.45943877551</v>
      </c>
      <c r="AD148" s="200">
        <f>MasterData!$D$29</f>
        <v>2233.8000000000002</v>
      </c>
      <c r="AE148" s="200">
        <f>MasterData!$E$29</f>
        <v>6471.45</v>
      </c>
      <c r="AF148" s="200">
        <f>MasterData!$F$29</f>
        <v>0</v>
      </c>
      <c r="AG148" s="201">
        <f t="shared" si="17"/>
        <v>179544.36943877555</v>
      </c>
      <c r="AH148" s="200">
        <f>ROUND(AG148*MasterData!$G$29,2)</f>
        <v>21545.32</v>
      </c>
      <c r="AI148" s="200">
        <f>((AG148+AH148)*MasterData!$I$29)-'Model Calculator'!W148*MasterData!$I$29</f>
        <v>1084.9724680102045</v>
      </c>
      <c r="AJ148" s="201">
        <f t="shared" si="18"/>
        <v>202598.59190678576</v>
      </c>
      <c r="AK148" s="201">
        <f t="shared" si="23"/>
        <v>583.86</v>
      </c>
    </row>
    <row r="149" spans="1:37" hidden="1">
      <c r="A149" s="197" t="s">
        <v>110</v>
      </c>
      <c r="B149" s="197" t="str">
        <f t="shared" si="16"/>
        <v>M414.54</v>
      </c>
      <c r="C149" s="197" t="s">
        <v>207</v>
      </c>
      <c r="D149" s="197" t="s">
        <v>282</v>
      </c>
      <c r="E149" s="197">
        <f>VLOOKUP($C49,MasterData!$B$62:$L$111,2,FALSE)</f>
        <v>0.41</v>
      </c>
      <c r="F149" s="198">
        <f>ROUND(E149*MasterData!$C$4,2)</f>
        <v>21177.18</v>
      </c>
      <c r="G149" s="199">
        <f>VLOOKUP($C49,MasterData!$B$62:$L$111,3,FALSE)</f>
        <v>1</v>
      </c>
      <c r="H149" s="198">
        <f>ROUND(G149*MasterData!$D$4,2)</f>
        <v>41516.800000000003</v>
      </c>
      <c r="I149" s="199">
        <f t="shared" si="19"/>
        <v>14.5</v>
      </c>
      <c r="J149" s="199">
        <f>VLOOKUP($C49,MasterData!$B$62:$L$111,4,FALSE)</f>
        <v>13.1</v>
      </c>
      <c r="K149" s="198">
        <f>ROUND(J149*MasterData!$H$26,2)</f>
        <v>0</v>
      </c>
      <c r="L149" s="199">
        <f>VLOOKUP($C49,MasterData!$B$62:$L$111,5,FALSE)</f>
        <v>1.4</v>
      </c>
      <c r="M149" s="200">
        <f>ROUND(L149*MasterData!$F$4,2)</f>
        <v>41496</v>
      </c>
      <c r="N149" s="199">
        <f>VLOOKUP($A149,MasterData!$B$62:$L$111,6,FALSE)</f>
        <v>2.23</v>
      </c>
      <c r="O149" s="211">
        <f>ROUND(N149*MasterData!$I$26,2)</f>
        <v>0</v>
      </c>
      <c r="P149" s="199">
        <f>VLOOKUP($A149,MasterData!$B$62:$L$111,7,FALSE)</f>
        <v>0.22</v>
      </c>
      <c r="Q149" s="198">
        <f>ROUND(P149*MasterData!$H$4,2)</f>
        <v>6520.8</v>
      </c>
      <c r="R149" s="199">
        <f>VLOOKUP($A149,MasterData!$B$62:$L$111,8,FALSE)</f>
        <v>0.12</v>
      </c>
      <c r="S149" s="200">
        <f>ROUND(R149*MasterData!$I$4,2)</f>
        <v>3863.81</v>
      </c>
      <c r="T149" s="201">
        <f t="shared" si="20"/>
        <v>114574.59000000001</v>
      </c>
      <c r="U149" s="200">
        <f>ROUND(T149*MasterData!$C$29,2)</f>
        <v>25561.59</v>
      </c>
      <c r="V149" s="200">
        <f>ROUND(T149*MasterData!$J$29,2)</f>
        <v>423.93</v>
      </c>
      <c r="W149" s="201">
        <f t="shared" si="21"/>
        <v>140136.18000000002</v>
      </c>
      <c r="X149" s="212">
        <f>VLOOKUP($A149,MasterData!$B$62:$L$111,10,FALSE)*52</f>
        <v>104</v>
      </c>
      <c r="Y149" s="200">
        <f>ROUND(X149*MasterData!$C$7,2)</f>
        <v>6277.44</v>
      </c>
      <c r="Z149" s="199">
        <f>VLOOKUP($A149,MasterData!$B$62:$L$111,11,FALSE)*52</f>
        <v>156</v>
      </c>
      <c r="AA149" s="200">
        <f>ROUND(Z149*MasterData!$D$7,2)</f>
        <v>6605.04</v>
      </c>
      <c r="AB149" s="201">
        <f t="shared" si="22"/>
        <v>12882.48</v>
      </c>
      <c r="AC149" s="202">
        <f>MasterData!$M$29</f>
        <v>17820.45943877551</v>
      </c>
      <c r="AD149" s="200">
        <f>MasterData!$D$29</f>
        <v>2233.8000000000002</v>
      </c>
      <c r="AE149" s="200">
        <f>MasterData!$E$29</f>
        <v>6471.45</v>
      </c>
      <c r="AF149" s="200">
        <f>MasterData!$F$29</f>
        <v>0</v>
      </c>
      <c r="AG149" s="201">
        <f t="shared" si="17"/>
        <v>179544.36943877555</v>
      </c>
      <c r="AH149" s="200">
        <f>ROUND(AG149*MasterData!$G$29,2)</f>
        <v>21545.32</v>
      </c>
      <c r="AI149" s="200">
        <f>((AG149+AH149)*MasterData!$I$29)-'Model Calculator'!W149*MasterData!$I$29</f>
        <v>1084.9724680102045</v>
      </c>
      <c r="AJ149" s="201">
        <f t="shared" si="18"/>
        <v>202598.59190678576</v>
      </c>
      <c r="AK149" s="201">
        <f t="shared" si="23"/>
        <v>583.86</v>
      </c>
    </row>
    <row r="150" spans="1:37" s="217" customFormat="1" hidden="1">
      <c r="A150" s="213" t="s">
        <v>111</v>
      </c>
      <c r="B150" s="197" t="str">
        <f t="shared" si="16"/>
        <v>M415.04</v>
      </c>
      <c r="C150" s="213" t="s">
        <v>208</v>
      </c>
      <c r="D150" s="213" t="s">
        <v>282</v>
      </c>
      <c r="E150" s="213">
        <f>VLOOKUP($C50,MasterData!$B$62:$L$111,2,FALSE)</f>
        <v>0.41</v>
      </c>
      <c r="F150" s="214">
        <f>ROUND(E150*MasterData!$C$4,2)</f>
        <v>21177.18</v>
      </c>
      <c r="G150" s="212">
        <f>VLOOKUP($C50,MasterData!$B$62:$L$111,3,FALSE)</f>
        <v>1</v>
      </c>
      <c r="H150" s="214">
        <f>ROUND(G150*MasterData!$D$4,2)</f>
        <v>41516.800000000003</v>
      </c>
      <c r="I150" s="212">
        <f t="shared" si="19"/>
        <v>15</v>
      </c>
      <c r="J150" s="212">
        <f>VLOOKUP($C50,MasterData!$B$62:$L$111,4,FALSE)</f>
        <v>13.6</v>
      </c>
      <c r="K150" s="214">
        <f>ROUND(J150*MasterData!$H$26,2)</f>
        <v>0</v>
      </c>
      <c r="L150" s="212">
        <f>VLOOKUP($C50,MasterData!$B$62:$L$111,5,FALSE)</f>
        <v>1.4</v>
      </c>
      <c r="M150" s="211">
        <f>ROUND(L150*MasterData!$F$4,2)</f>
        <v>41496</v>
      </c>
      <c r="N150" s="212">
        <f>VLOOKUP($A150,MasterData!$B$62:$L$111,6,FALSE)</f>
        <v>2.31</v>
      </c>
      <c r="O150" s="211">
        <f>ROUND(N150*MasterData!$I$26,2)</f>
        <v>0</v>
      </c>
      <c r="P150" s="212">
        <f>VLOOKUP($A150,MasterData!$B$62:$L$111,7,FALSE)</f>
        <v>0.22</v>
      </c>
      <c r="Q150" s="214">
        <f>ROUND(P150*MasterData!$H$4,2)</f>
        <v>6520.8</v>
      </c>
      <c r="R150" s="212">
        <f>VLOOKUP($A150,MasterData!$B$62:$L$111,8,FALSE)</f>
        <v>0.12</v>
      </c>
      <c r="S150" s="211">
        <f>ROUND(R150*MasterData!$I$4,2)</f>
        <v>3863.81</v>
      </c>
      <c r="T150" s="215">
        <f t="shared" si="20"/>
        <v>114574.59000000001</v>
      </c>
      <c r="U150" s="211">
        <f>ROUND(T150*MasterData!$C$29,2)</f>
        <v>25561.59</v>
      </c>
      <c r="V150" s="211">
        <f>ROUND(T150*MasterData!$J$29,2)</f>
        <v>423.93</v>
      </c>
      <c r="W150" s="201">
        <f t="shared" si="21"/>
        <v>140136.18000000002</v>
      </c>
      <c r="X150" s="212">
        <f>VLOOKUP($A150,MasterData!$B$62:$L$111,10,FALSE)*52</f>
        <v>104</v>
      </c>
      <c r="Y150" s="211">
        <f>ROUND(X150*MasterData!$C$7,2)</f>
        <v>6277.44</v>
      </c>
      <c r="Z150" s="212">
        <f>VLOOKUP($A150,MasterData!$B$62:$L$111,11,FALSE)*52</f>
        <v>156</v>
      </c>
      <c r="AA150" s="211">
        <f>ROUND(Z150*MasterData!$D$7,2)</f>
        <v>6605.04</v>
      </c>
      <c r="AB150" s="215">
        <f t="shared" si="22"/>
        <v>12882.48</v>
      </c>
      <c r="AC150" s="216">
        <f>MasterData!$M$29</f>
        <v>17820.45943877551</v>
      </c>
      <c r="AD150" s="211">
        <f>MasterData!$D$29</f>
        <v>2233.8000000000002</v>
      </c>
      <c r="AE150" s="211">
        <f>MasterData!$E$29</f>
        <v>6471.45</v>
      </c>
      <c r="AF150" s="211">
        <f>MasterData!$F$29</f>
        <v>0</v>
      </c>
      <c r="AG150" s="215">
        <f t="shared" si="17"/>
        <v>179544.36943877555</v>
      </c>
      <c r="AH150" s="211">
        <f>ROUND(AG150*MasterData!$G$29,2)</f>
        <v>21545.32</v>
      </c>
      <c r="AI150" s="200">
        <f>((AG150+AH150)*MasterData!$I$29)-'Model Calculator'!W150*MasterData!$I$29</f>
        <v>1084.9724680102045</v>
      </c>
      <c r="AJ150" s="201">
        <f t="shared" si="18"/>
        <v>202598.59190678576</v>
      </c>
      <c r="AK150" s="201">
        <f t="shared" si="23"/>
        <v>583.86</v>
      </c>
    </row>
    <row r="151" spans="1:37" s="224" customFormat="1" ht="13.5" hidden="1" thickBot="1">
      <c r="A151" s="218" t="s">
        <v>112</v>
      </c>
      <c r="B151" s="197" t="str">
        <f t="shared" si="16"/>
        <v>M415.54</v>
      </c>
      <c r="C151" s="218" t="s">
        <v>209</v>
      </c>
      <c r="D151" s="218" t="s">
        <v>282</v>
      </c>
      <c r="E151" s="218">
        <f>VLOOKUP($C51,MasterData!$B$62:$L$111,2,FALSE)</f>
        <v>0.41</v>
      </c>
      <c r="F151" s="219">
        <f>ROUND(E151*MasterData!$C$4,2)</f>
        <v>21177.18</v>
      </c>
      <c r="G151" s="220">
        <f>VLOOKUP($C51,MasterData!$B$62:$L$111,3,FALSE)</f>
        <v>1</v>
      </c>
      <c r="H151" s="219">
        <f>ROUND(G151*MasterData!$D$4,2)</f>
        <v>41516.800000000003</v>
      </c>
      <c r="I151" s="220">
        <f t="shared" si="19"/>
        <v>15.5</v>
      </c>
      <c r="J151" s="220">
        <f>VLOOKUP($C51,MasterData!$B$62:$L$111,4,FALSE)</f>
        <v>14.1</v>
      </c>
      <c r="K151" s="219">
        <f>ROUND(J151*MasterData!$H$26,2)</f>
        <v>0</v>
      </c>
      <c r="L151" s="220">
        <f>VLOOKUP($C51,MasterData!$B$62:$L$111,5,FALSE)</f>
        <v>1.4</v>
      </c>
      <c r="M151" s="221">
        <f>ROUND(L151*MasterData!$F$4,2)</f>
        <v>41496</v>
      </c>
      <c r="N151" s="220">
        <f>VLOOKUP($A151,MasterData!$B$62:$L$111,6,FALSE)</f>
        <v>2.39</v>
      </c>
      <c r="O151" s="221">
        <f>ROUND(N151*MasterData!$I$26,2)</f>
        <v>0</v>
      </c>
      <c r="P151" s="220">
        <f>VLOOKUP($A151,MasterData!$B$62:$L$111,7,FALSE)</f>
        <v>0.22</v>
      </c>
      <c r="Q151" s="219">
        <f>ROUND(P151*MasterData!$H$4,2)</f>
        <v>6520.8</v>
      </c>
      <c r="R151" s="220">
        <f>VLOOKUP($A151,MasterData!$B$62:$L$111,8,FALSE)</f>
        <v>0.12</v>
      </c>
      <c r="S151" s="221">
        <f>ROUND(R151*MasterData!$I$4,2)</f>
        <v>3863.81</v>
      </c>
      <c r="T151" s="222">
        <f t="shared" si="20"/>
        <v>114574.59000000001</v>
      </c>
      <c r="U151" s="221">
        <f>ROUND(T151*MasterData!$C$29,2)</f>
        <v>25561.59</v>
      </c>
      <c r="V151" s="221">
        <f>ROUND(T151*MasterData!$J$29,2)</f>
        <v>423.93</v>
      </c>
      <c r="W151" s="201">
        <f t="shared" si="21"/>
        <v>140136.18000000002</v>
      </c>
      <c r="X151" s="220">
        <f>VLOOKUP($A151,MasterData!$B$62:$L$111,10,FALSE)*52</f>
        <v>104</v>
      </c>
      <c r="Y151" s="221">
        <f>ROUND(X151*MasterData!$C$7,2)</f>
        <v>6277.44</v>
      </c>
      <c r="Z151" s="220">
        <f>VLOOKUP($A151,MasterData!$B$62:$L$111,11,FALSE)*52</f>
        <v>156</v>
      </c>
      <c r="AA151" s="221">
        <f>ROUND(Z151*MasterData!$D$7,2)</f>
        <v>6605.04</v>
      </c>
      <c r="AB151" s="222">
        <f t="shared" si="22"/>
        <v>12882.48</v>
      </c>
      <c r="AC151" s="223">
        <f>MasterData!$M$29</f>
        <v>17820.45943877551</v>
      </c>
      <c r="AD151" s="221">
        <f>MasterData!$D$29</f>
        <v>2233.8000000000002</v>
      </c>
      <c r="AE151" s="221">
        <f>MasterData!$E$29</f>
        <v>6471.45</v>
      </c>
      <c r="AF151" s="221">
        <f>MasterData!$F$29</f>
        <v>0</v>
      </c>
      <c r="AG151" s="222">
        <f t="shared" si="17"/>
        <v>179544.36943877555</v>
      </c>
      <c r="AH151" s="221">
        <f>ROUND(AG151*MasterData!$G$29,2)</f>
        <v>21545.32</v>
      </c>
      <c r="AI151" s="200">
        <f>((AG151+AH151)*MasterData!$I$29)-'Model Calculator'!W151*MasterData!$I$29</f>
        <v>1084.9724680102045</v>
      </c>
      <c r="AJ151" s="201">
        <f t="shared" si="18"/>
        <v>202598.59190678576</v>
      </c>
      <c r="AK151" s="201">
        <f t="shared" si="23"/>
        <v>583.86</v>
      </c>
    </row>
    <row r="152" spans="1:37">
      <c r="A152" s="197" t="s">
        <v>65</v>
      </c>
      <c r="B152" s="197" t="str">
        <f t="shared" ref="B152:B201" si="24">CONCATENATE(LEFT(C152,1),LEFT(D152,1),MID(C152,2,4))</f>
        <v>B203.5</v>
      </c>
      <c r="C152" s="197" t="s">
        <v>65</v>
      </c>
      <c r="D152" s="225" t="s">
        <v>301</v>
      </c>
      <c r="E152" s="213">
        <f>VLOOKUP($A152,MasterData!$N$62:$X$111,2,FALSE)</f>
        <v>0.18</v>
      </c>
      <c r="F152" s="214">
        <f>ROUND(E152*MasterData!$C$4,2)</f>
        <v>9297.2999999999993</v>
      </c>
      <c r="G152" s="212">
        <f>VLOOKUP($A152,MasterData!$N$62:$X$111,3,FALSE)</f>
        <v>0.66</v>
      </c>
      <c r="H152" s="214">
        <f>ROUND(G152*MasterData!$D$4,2)</f>
        <v>27401.09</v>
      </c>
      <c r="I152" s="212">
        <f t="shared" si="19"/>
        <v>3.5</v>
      </c>
      <c r="J152" s="212">
        <f>VLOOKUP($A152,MasterData!$N$62:$X$111,4,FALSE)</f>
        <v>2.1</v>
      </c>
      <c r="K152" s="214">
        <f>ROUND(J152*MasterData!$E$3,2)</f>
        <v>67616.639999999999</v>
      </c>
      <c r="L152" s="212">
        <f>VLOOKUP($A152,MasterData!$N$62:$X$111,5,FALSE)</f>
        <v>1.4</v>
      </c>
      <c r="M152" s="211">
        <f>ROUND(L152*MasterData!$F$3,2)</f>
        <v>41496</v>
      </c>
      <c r="N152" s="212">
        <f>VLOOKUP($A152,MasterData!$N$62:$X$111,6,FALSE)</f>
        <v>0.54</v>
      </c>
      <c r="O152" s="211">
        <f>ROUND(N152*MasterData!$G$3,2)</f>
        <v>17387.14</v>
      </c>
      <c r="P152" s="212">
        <f>VLOOKUP($A152,MasterData!$N$62:$X$111,7,FALSE)</f>
        <v>0.22</v>
      </c>
      <c r="Q152" s="214">
        <f>ROUND(P152*MasterData!$H$3,2)</f>
        <v>6520.8</v>
      </c>
      <c r="R152" s="212">
        <f>VLOOKUP($A152,MasterData!$N$62:$X$111,8,FALSE)</f>
        <v>0.12</v>
      </c>
      <c r="S152" s="211">
        <f>ROUND(R152*MasterData!$I$3,2)</f>
        <v>3863.81</v>
      </c>
      <c r="T152" s="215">
        <f t="shared" si="20"/>
        <v>173582.77999999997</v>
      </c>
      <c r="U152" s="211">
        <f>ROUND(T152*MasterData!$C$29,2)</f>
        <v>38726.32</v>
      </c>
      <c r="V152" s="211">
        <f>ROUND(T152*MasterData!$J$29,2)</f>
        <v>642.26</v>
      </c>
      <c r="W152" s="201">
        <f t="shared" si="21"/>
        <v>212309.09999999998</v>
      </c>
      <c r="X152" s="212">
        <f>VLOOKUP($A152,MasterData!$N$62:$X$111,10,FALSE)*52</f>
        <v>52</v>
      </c>
      <c r="Y152" s="211">
        <f>ROUND(X152*MasterData!$C$7,2)</f>
        <v>3138.72</v>
      </c>
      <c r="Z152" s="212">
        <f>VLOOKUP($A152,MasterData!$N$62:$X$111,11,FALSE)*52</f>
        <v>52</v>
      </c>
      <c r="AA152" s="211">
        <f>ROUND(Z152*MasterData!$D$7,2)</f>
        <v>2201.6799999999998</v>
      </c>
      <c r="AB152" s="215">
        <f t="shared" si="22"/>
        <v>5340.4</v>
      </c>
      <c r="AC152" s="216">
        <f>MasterData!$M$28</f>
        <v>15472.178595890411</v>
      </c>
      <c r="AD152" s="211">
        <f>MasterData!$D$30</f>
        <v>992.8</v>
      </c>
      <c r="AE152" s="211">
        <f>MasterData!$E$30</f>
        <v>2876.2</v>
      </c>
      <c r="AF152" s="211">
        <f>MasterData!$F$30</f>
        <v>0</v>
      </c>
      <c r="AG152" s="215">
        <f t="shared" si="17"/>
        <v>236990.67859589038</v>
      </c>
      <c r="AH152" s="211">
        <f>ROUND(AG152*MasterData!$G$29,2)</f>
        <v>28438.880000000001</v>
      </c>
      <c r="AI152" s="200">
        <f>((AG152+AH152)*MasterData!$I$29)-'Model Calculator'!W152*MasterData!$I$29</f>
        <v>945.54416300684898</v>
      </c>
      <c r="AJ152" s="201">
        <f t="shared" si="18"/>
        <v>267017.36275889719</v>
      </c>
      <c r="AK152" s="201">
        <f t="shared" si="23"/>
        <v>769.5</v>
      </c>
    </row>
    <row r="153" spans="1:37">
      <c r="A153" s="197" t="s">
        <v>66</v>
      </c>
      <c r="B153" s="197" t="str">
        <f t="shared" si="24"/>
        <v>B204.0</v>
      </c>
      <c r="C153" s="197" t="s">
        <v>66</v>
      </c>
      <c r="D153" s="226" t="s">
        <v>301</v>
      </c>
      <c r="E153" s="213">
        <f>VLOOKUP($A153,MasterData!$N$62:$X$111,2,FALSE)</f>
        <v>0.18</v>
      </c>
      <c r="F153" s="214">
        <f>ROUND(E153*MasterData!$C$4,2)</f>
        <v>9297.2999999999993</v>
      </c>
      <c r="G153" s="212">
        <f>VLOOKUP($A153,MasterData!$N$62:$X$111,3,FALSE)</f>
        <v>0.66</v>
      </c>
      <c r="H153" s="214">
        <f>ROUND(G153*MasterData!$D$4,2)</f>
        <v>27401.09</v>
      </c>
      <c r="I153" s="212">
        <f t="shared" ref="I153:I216" si="25">J153+L153</f>
        <v>4</v>
      </c>
      <c r="J153" s="212">
        <f>VLOOKUP($A153,MasterData!$N$62:$X$111,4,FALSE)</f>
        <v>2.6</v>
      </c>
      <c r="K153" s="214">
        <f>ROUND(J153*MasterData!$E$3,2)</f>
        <v>83715.839999999997</v>
      </c>
      <c r="L153" s="212">
        <f>VLOOKUP($A153,MasterData!$N$62:$X$111,5,FALSE)</f>
        <v>1.4</v>
      </c>
      <c r="M153" s="211">
        <f>ROUND(L153*MasterData!$F$3,2)</f>
        <v>41496</v>
      </c>
      <c r="N153" s="212">
        <f>VLOOKUP($A153,MasterData!$N$62:$X$111,6,FALSE)</f>
        <v>0.62</v>
      </c>
      <c r="O153" s="211">
        <f>ROUND(N153*MasterData!$G$3,2)</f>
        <v>19963.009999999998</v>
      </c>
      <c r="P153" s="212">
        <f>VLOOKUP($A153,MasterData!$N$62:$X$111,7,FALSE)</f>
        <v>0.22</v>
      </c>
      <c r="Q153" s="214">
        <f>ROUND(P153*MasterData!$H$3,2)</f>
        <v>6520.8</v>
      </c>
      <c r="R153" s="212">
        <f>VLOOKUP($A153,MasterData!$N$62:$X$111,8,FALSE)</f>
        <v>0.12</v>
      </c>
      <c r="S153" s="211">
        <f>ROUND(R153*MasterData!$I$3,2)</f>
        <v>3863.81</v>
      </c>
      <c r="T153" s="215">
        <f t="shared" ref="T153:T216" si="26">F153+H153+K153+M153+O153+Q153+S153</f>
        <v>192257.84999999998</v>
      </c>
      <c r="U153" s="211">
        <f>ROUND(T153*MasterData!$C$29,2)</f>
        <v>42892.73</v>
      </c>
      <c r="V153" s="211">
        <f>ROUND(T153*MasterData!$J$29,2)</f>
        <v>711.35</v>
      </c>
      <c r="W153" s="201">
        <f t="shared" si="21"/>
        <v>235150.58</v>
      </c>
      <c r="X153" s="212">
        <f>VLOOKUP($A153,MasterData!$N$62:$X$111,10,FALSE)*52</f>
        <v>52</v>
      </c>
      <c r="Y153" s="211">
        <f>ROUND(X153*MasterData!$C$7,2)</f>
        <v>3138.72</v>
      </c>
      <c r="Z153" s="212">
        <f>VLOOKUP($A153,MasterData!$N$62:$X$111,11,FALSE)*52</f>
        <v>52</v>
      </c>
      <c r="AA153" s="211">
        <f>ROUND(Z153*MasterData!$D$7,2)</f>
        <v>2201.6799999999998</v>
      </c>
      <c r="AB153" s="215">
        <f t="shared" ref="AB153:AB216" si="27">AA153+Y153</f>
        <v>5340.4</v>
      </c>
      <c r="AC153" s="216">
        <f>MasterData!$M$28</f>
        <v>15472.178595890411</v>
      </c>
      <c r="AD153" s="211">
        <f>MasterData!$D$30</f>
        <v>992.8</v>
      </c>
      <c r="AE153" s="211">
        <f>MasterData!$E$30</f>
        <v>2876.2</v>
      </c>
      <c r="AF153" s="211">
        <f>MasterData!$F$30</f>
        <v>0</v>
      </c>
      <c r="AG153" s="215">
        <f t="shared" si="17"/>
        <v>259832.15859589039</v>
      </c>
      <c r="AH153" s="211">
        <f>ROUND(AG153*MasterData!$G$29,2)</f>
        <v>31179.86</v>
      </c>
      <c r="AI153" s="200">
        <f>((AG153+AH153)*MasterData!$I$29)-'Model Calculator'!W153*MasterData!$I$29</f>
        <v>994.33360700684898</v>
      </c>
      <c r="AJ153" s="201">
        <f t="shared" si="18"/>
        <v>292717.70220289723</v>
      </c>
      <c r="AK153" s="201">
        <f t="shared" si="23"/>
        <v>843.57</v>
      </c>
    </row>
    <row r="154" spans="1:37">
      <c r="A154" s="197" t="s">
        <v>67</v>
      </c>
      <c r="B154" s="197" t="str">
        <f t="shared" si="24"/>
        <v>B204.5</v>
      </c>
      <c r="C154" s="197" t="s">
        <v>67</v>
      </c>
      <c r="D154" s="226" t="s">
        <v>301</v>
      </c>
      <c r="E154" s="213">
        <f>VLOOKUP($A154,MasterData!$N$62:$X$111,2,FALSE)</f>
        <v>0.18</v>
      </c>
      <c r="F154" s="214">
        <f>ROUND(E154*MasterData!$C$4,2)</f>
        <v>9297.2999999999993</v>
      </c>
      <c r="G154" s="212">
        <f>VLOOKUP($A154,MasterData!$N$62:$X$111,3,FALSE)</f>
        <v>0.66</v>
      </c>
      <c r="H154" s="214">
        <f>ROUND(G154*MasterData!$D$4,2)</f>
        <v>27401.09</v>
      </c>
      <c r="I154" s="212">
        <f t="shared" si="25"/>
        <v>4.5</v>
      </c>
      <c r="J154" s="212">
        <f>VLOOKUP($A154,MasterData!$N$62:$X$111,4,FALSE)</f>
        <v>3.1</v>
      </c>
      <c r="K154" s="214">
        <f>ROUND(J154*MasterData!$E$3,2)</f>
        <v>99815.039999999994</v>
      </c>
      <c r="L154" s="212">
        <f>VLOOKUP($A154,MasterData!$N$62:$X$111,5,FALSE)</f>
        <v>1.4</v>
      </c>
      <c r="M154" s="211">
        <f>ROUND(L154*MasterData!$F$3,2)</f>
        <v>41496</v>
      </c>
      <c r="N154" s="212">
        <f>VLOOKUP($A154,MasterData!$N$62:$X$111,6,FALSE)</f>
        <v>0.69</v>
      </c>
      <c r="O154" s="211">
        <f>ROUND(N154*MasterData!$G$3,2)</f>
        <v>22216.9</v>
      </c>
      <c r="P154" s="212">
        <f>VLOOKUP($A154,MasterData!$N$62:$X$111,7,FALSE)</f>
        <v>0.22</v>
      </c>
      <c r="Q154" s="214">
        <f>ROUND(P154*MasterData!$H$3,2)</f>
        <v>6520.8</v>
      </c>
      <c r="R154" s="212">
        <f>VLOOKUP($A154,MasterData!$N$62:$X$111,8,FALSE)</f>
        <v>0.12</v>
      </c>
      <c r="S154" s="211">
        <f>ROUND(R154*MasterData!$I$3,2)</f>
        <v>3863.81</v>
      </c>
      <c r="T154" s="215">
        <f t="shared" si="26"/>
        <v>210610.93999999997</v>
      </c>
      <c r="U154" s="211">
        <f>ROUND(T154*MasterData!$C$29,2)</f>
        <v>46987.3</v>
      </c>
      <c r="V154" s="211">
        <f>ROUND(T154*MasterData!$J$29,2)</f>
        <v>779.26</v>
      </c>
      <c r="W154" s="201">
        <f t="shared" si="21"/>
        <v>257598.24</v>
      </c>
      <c r="X154" s="212">
        <f>VLOOKUP($A154,MasterData!$N$62:$X$111,10,FALSE)*52</f>
        <v>52</v>
      </c>
      <c r="Y154" s="211">
        <f>ROUND(X154*MasterData!$C$7,2)</f>
        <v>3138.72</v>
      </c>
      <c r="Z154" s="212">
        <f>VLOOKUP($A154,MasterData!$N$62:$X$111,11,FALSE)*52</f>
        <v>52</v>
      </c>
      <c r="AA154" s="211">
        <f>ROUND(Z154*MasterData!$D$7,2)</f>
        <v>2201.6799999999998</v>
      </c>
      <c r="AB154" s="215">
        <f t="shared" si="27"/>
        <v>5340.4</v>
      </c>
      <c r="AC154" s="216">
        <f>MasterData!$M$28</f>
        <v>15472.178595890411</v>
      </c>
      <c r="AD154" s="211">
        <f>MasterData!$D$30</f>
        <v>992.8</v>
      </c>
      <c r="AE154" s="211">
        <f>MasterData!$E$30</f>
        <v>2876.2</v>
      </c>
      <c r="AF154" s="211">
        <f>MasterData!$F$30</f>
        <v>0</v>
      </c>
      <c r="AG154" s="215">
        <f t="shared" si="17"/>
        <v>282279.81859589042</v>
      </c>
      <c r="AH154" s="211">
        <f>ROUND(AG154*MasterData!$G$29,2)</f>
        <v>33873.58</v>
      </c>
      <c r="AI154" s="200">
        <f>((AG154+AH154)*MasterData!$I$29)-'Model Calculator'!W154*MasterData!$I$29</f>
        <v>1042.2818230068497</v>
      </c>
      <c r="AJ154" s="201">
        <f t="shared" si="18"/>
        <v>317974.94041889731</v>
      </c>
      <c r="AK154" s="201">
        <f t="shared" si="23"/>
        <v>916.35</v>
      </c>
    </row>
    <row r="155" spans="1:37">
      <c r="A155" s="197" t="s">
        <v>68</v>
      </c>
      <c r="B155" s="197" t="str">
        <f t="shared" si="24"/>
        <v>B205.0</v>
      </c>
      <c r="C155" s="197" t="s">
        <v>68</v>
      </c>
      <c r="D155" s="226" t="s">
        <v>301</v>
      </c>
      <c r="E155" s="213">
        <f>VLOOKUP($A155,MasterData!$N$62:$X$111,2,FALSE)</f>
        <v>0.18</v>
      </c>
      <c r="F155" s="214">
        <f>ROUND(E155*MasterData!$C$4,2)</f>
        <v>9297.2999999999993</v>
      </c>
      <c r="G155" s="212">
        <f>VLOOKUP($A155,MasterData!$N$62:$X$111,3,FALSE)</f>
        <v>0.66</v>
      </c>
      <c r="H155" s="214">
        <f>ROUND(G155*MasterData!$D$4,2)</f>
        <v>27401.09</v>
      </c>
      <c r="I155" s="212">
        <f t="shared" si="25"/>
        <v>5</v>
      </c>
      <c r="J155" s="212">
        <f>VLOOKUP($A155,MasterData!$N$62:$X$111,4,FALSE)</f>
        <v>3.6</v>
      </c>
      <c r="K155" s="214">
        <f>ROUND(J155*MasterData!$E$3,2)</f>
        <v>115914.24000000001</v>
      </c>
      <c r="L155" s="212">
        <f>VLOOKUP($A155,MasterData!$N$62:$X$111,5,FALSE)</f>
        <v>1.4</v>
      </c>
      <c r="M155" s="211">
        <f>ROUND(L155*MasterData!$F$3,2)</f>
        <v>41496</v>
      </c>
      <c r="N155" s="212">
        <f>VLOOKUP($A155,MasterData!$N$62:$X$111,6,FALSE)</f>
        <v>0.77</v>
      </c>
      <c r="O155" s="211">
        <f>ROUND(N155*MasterData!$G$3,2)</f>
        <v>24792.77</v>
      </c>
      <c r="P155" s="212">
        <f>VLOOKUP($A155,MasterData!$N$62:$X$111,7,FALSE)</f>
        <v>0.22</v>
      </c>
      <c r="Q155" s="214">
        <f>ROUND(P155*MasterData!$H$3,2)</f>
        <v>6520.8</v>
      </c>
      <c r="R155" s="212">
        <f>VLOOKUP($A155,MasterData!$N$62:$X$111,8,FALSE)</f>
        <v>0.12</v>
      </c>
      <c r="S155" s="211">
        <f>ROUND(R155*MasterData!$I$3,2)</f>
        <v>3863.81</v>
      </c>
      <c r="T155" s="215">
        <f t="shared" si="26"/>
        <v>229286.00999999998</v>
      </c>
      <c r="U155" s="211">
        <f>ROUND(T155*MasterData!$C$29,2)</f>
        <v>51153.71</v>
      </c>
      <c r="V155" s="211">
        <f>ROUND(T155*MasterData!$J$29,2)</f>
        <v>848.36</v>
      </c>
      <c r="W155" s="201">
        <f t="shared" si="21"/>
        <v>280439.71999999997</v>
      </c>
      <c r="X155" s="212">
        <f>VLOOKUP($A155,MasterData!$N$62:$X$111,10,FALSE)*52</f>
        <v>52</v>
      </c>
      <c r="Y155" s="211">
        <f>ROUND(X155*MasterData!$C$7,2)</f>
        <v>3138.72</v>
      </c>
      <c r="Z155" s="212">
        <f>VLOOKUP($A155,MasterData!$N$62:$X$111,11,FALSE)*52</f>
        <v>52</v>
      </c>
      <c r="AA155" s="211">
        <f>ROUND(Z155*MasterData!$D$7,2)</f>
        <v>2201.6799999999998</v>
      </c>
      <c r="AB155" s="215">
        <f t="shared" si="27"/>
        <v>5340.4</v>
      </c>
      <c r="AC155" s="216">
        <f>MasterData!$M$28</f>
        <v>15472.178595890411</v>
      </c>
      <c r="AD155" s="211">
        <f>MasterData!$D$30</f>
        <v>992.8</v>
      </c>
      <c r="AE155" s="211">
        <f>MasterData!$E$30</f>
        <v>2876.2</v>
      </c>
      <c r="AF155" s="211">
        <f>MasterData!$F$30</f>
        <v>0</v>
      </c>
      <c r="AG155" s="215">
        <f t="shared" si="17"/>
        <v>305121.2985958904</v>
      </c>
      <c r="AH155" s="211">
        <f>ROUND(AG155*MasterData!$G$29,2)</f>
        <v>36614.559999999998</v>
      </c>
      <c r="AI155" s="200">
        <f>((AG155+AH155)*MasterData!$I$29)-'Model Calculator'!W155*MasterData!$I$29</f>
        <v>1091.0712670068497</v>
      </c>
      <c r="AJ155" s="201">
        <f t="shared" si="18"/>
        <v>343675.28986289725</v>
      </c>
      <c r="AK155" s="201">
        <f t="shared" si="23"/>
        <v>990.42</v>
      </c>
    </row>
    <row r="156" spans="1:37">
      <c r="A156" s="197" t="s">
        <v>69</v>
      </c>
      <c r="B156" s="197" t="str">
        <f t="shared" si="24"/>
        <v>B205.5</v>
      </c>
      <c r="C156" s="197" t="s">
        <v>69</v>
      </c>
      <c r="D156" s="226" t="s">
        <v>301</v>
      </c>
      <c r="E156" s="213">
        <f>VLOOKUP($A156,MasterData!$N$62:$X$111,2,FALSE)</f>
        <v>0.18</v>
      </c>
      <c r="F156" s="214">
        <f>ROUND(E156*MasterData!$C$4,2)</f>
        <v>9297.2999999999993</v>
      </c>
      <c r="G156" s="212">
        <f>VLOOKUP($A156,MasterData!$N$62:$X$111,3,FALSE)</f>
        <v>0.66</v>
      </c>
      <c r="H156" s="214">
        <f>ROUND(G156*MasterData!$D$4,2)</f>
        <v>27401.09</v>
      </c>
      <c r="I156" s="212">
        <f t="shared" si="25"/>
        <v>5.5</v>
      </c>
      <c r="J156" s="212">
        <f>VLOOKUP($A156,MasterData!$N$62:$X$111,4,FALSE)</f>
        <v>4.0999999999999996</v>
      </c>
      <c r="K156" s="214">
        <f>ROUND(J156*MasterData!$E$3,2)</f>
        <v>132013.44</v>
      </c>
      <c r="L156" s="212">
        <f>VLOOKUP($A156,MasterData!$N$62:$X$111,5,FALSE)</f>
        <v>1.4</v>
      </c>
      <c r="M156" s="211">
        <f>ROUND(L156*MasterData!$F$3,2)</f>
        <v>41496</v>
      </c>
      <c r="N156" s="212">
        <f>VLOOKUP($A156,MasterData!$N$62:$X$111,6,FALSE)</f>
        <v>0.85</v>
      </c>
      <c r="O156" s="211">
        <f>ROUND(N156*MasterData!$G$3,2)</f>
        <v>27368.639999999999</v>
      </c>
      <c r="P156" s="212">
        <f>VLOOKUP($A156,MasterData!$N$62:$X$111,7,FALSE)</f>
        <v>0.22</v>
      </c>
      <c r="Q156" s="214">
        <f>ROUND(P156*MasterData!$H$3,2)</f>
        <v>6520.8</v>
      </c>
      <c r="R156" s="212">
        <f>VLOOKUP($A156,MasterData!$N$62:$X$111,8,FALSE)</f>
        <v>0.12</v>
      </c>
      <c r="S156" s="211">
        <f>ROUND(R156*MasterData!$I$3,2)</f>
        <v>3863.81</v>
      </c>
      <c r="T156" s="215">
        <f t="shared" si="26"/>
        <v>247961.08000000002</v>
      </c>
      <c r="U156" s="211">
        <f>ROUND(T156*MasterData!$C$29,2)</f>
        <v>55320.12</v>
      </c>
      <c r="V156" s="211">
        <f>ROUND(T156*MasterData!$J$29,2)</f>
        <v>917.46</v>
      </c>
      <c r="W156" s="201">
        <f t="shared" si="21"/>
        <v>303281.2</v>
      </c>
      <c r="X156" s="212">
        <f>VLOOKUP($A156,MasterData!$N$62:$X$111,10,FALSE)*52</f>
        <v>52</v>
      </c>
      <c r="Y156" s="211">
        <f>ROUND(X156*MasterData!$C$7,2)</f>
        <v>3138.72</v>
      </c>
      <c r="Z156" s="212">
        <f>VLOOKUP($A156,MasterData!$N$62:$X$111,11,FALSE)*52</f>
        <v>52</v>
      </c>
      <c r="AA156" s="211">
        <f>ROUND(Z156*MasterData!$D$7,2)</f>
        <v>2201.6799999999998</v>
      </c>
      <c r="AB156" s="215">
        <f t="shared" si="27"/>
        <v>5340.4</v>
      </c>
      <c r="AC156" s="216">
        <f>MasterData!$M$28</f>
        <v>15472.178595890411</v>
      </c>
      <c r="AD156" s="211">
        <f>MasterData!$D$30</f>
        <v>992.8</v>
      </c>
      <c r="AE156" s="211">
        <f>MasterData!$E$30</f>
        <v>2876.2</v>
      </c>
      <c r="AF156" s="211">
        <f>MasterData!$F$30</f>
        <v>0</v>
      </c>
      <c r="AG156" s="215">
        <f t="shared" si="17"/>
        <v>327962.77859589044</v>
      </c>
      <c r="AH156" s="211">
        <f>ROUND(AG156*MasterData!$G$29,2)</f>
        <v>39355.53</v>
      </c>
      <c r="AI156" s="200">
        <f>((AG156+AH156)*MasterData!$I$29)-'Model Calculator'!W156*MasterData!$I$29</f>
        <v>1139.8605330068494</v>
      </c>
      <c r="AJ156" s="201">
        <f t="shared" si="18"/>
        <v>369375.62912889727</v>
      </c>
      <c r="AK156" s="201">
        <f t="shared" si="23"/>
        <v>1064.48</v>
      </c>
    </row>
    <row r="157" spans="1:37">
      <c r="A157" s="197" t="s">
        <v>212</v>
      </c>
      <c r="B157" s="197" t="str">
        <f t="shared" si="24"/>
        <v>B206.0</v>
      </c>
      <c r="C157" s="197" t="s">
        <v>212</v>
      </c>
      <c r="D157" s="226" t="s">
        <v>301</v>
      </c>
      <c r="E157" s="213">
        <f>VLOOKUP($A157,MasterData!$N$62:$X$111,2,FALSE)</f>
        <v>0.18</v>
      </c>
      <c r="F157" s="214">
        <f>ROUND(E157*MasterData!$C$4,2)</f>
        <v>9297.2999999999993</v>
      </c>
      <c r="G157" s="212">
        <f>VLOOKUP($A157,MasterData!$N$62:$X$111,3,FALSE)</f>
        <v>0.66</v>
      </c>
      <c r="H157" s="214">
        <f>ROUND(G157*MasterData!$D$4,2)</f>
        <v>27401.09</v>
      </c>
      <c r="I157" s="212">
        <f t="shared" si="25"/>
        <v>6</v>
      </c>
      <c r="J157" s="212">
        <f>VLOOKUP($A157,MasterData!$N$62:$X$111,4,FALSE)</f>
        <v>4.5999999999999996</v>
      </c>
      <c r="K157" s="214">
        <f>ROUND(J157*MasterData!$E$3,2)</f>
        <v>148112.64000000001</v>
      </c>
      <c r="L157" s="212">
        <f>VLOOKUP($A157,MasterData!$N$62:$X$111,5,FALSE)</f>
        <v>1.4</v>
      </c>
      <c r="M157" s="211">
        <f>ROUND(L157*MasterData!$F$3,2)</f>
        <v>41496</v>
      </c>
      <c r="N157" s="212">
        <f>VLOOKUP($A157,MasterData!$N$62:$X$111,6,FALSE)</f>
        <v>0.92</v>
      </c>
      <c r="O157" s="211">
        <f>ROUND(N157*MasterData!$G$3,2)</f>
        <v>29622.53</v>
      </c>
      <c r="P157" s="212">
        <f>VLOOKUP($A157,MasterData!$N$62:$X$111,7,FALSE)</f>
        <v>0.22</v>
      </c>
      <c r="Q157" s="214">
        <f>ROUND(P157*MasterData!$H$3,2)</f>
        <v>6520.8</v>
      </c>
      <c r="R157" s="212">
        <f>VLOOKUP($A157,MasterData!$N$62:$X$111,8,FALSE)</f>
        <v>0.12</v>
      </c>
      <c r="S157" s="211">
        <f>ROUND(R157*MasterData!$I$3,2)</f>
        <v>3863.81</v>
      </c>
      <c r="T157" s="215">
        <f t="shared" si="26"/>
        <v>266314.17000000004</v>
      </c>
      <c r="U157" s="211">
        <f>ROUND(T157*MasterData!$C$29,2)</f>
        <v>59414.69</v>
      </c>
      <c r="V157" s="211">
        <f>ROUND(T157*MasterData!$J$29,2)</f>
        <v>985.36</v>
      </c>
      <c r="W157" s="201">
        <f t="shared" si="21"/>
        <v>325728.86000000004</v>
      </c>
      <c r="X157" s="212">
        <f>VLOOKUP($A157,MasterData!$N$62:$X$111,10,FALSE)*52</f>
        <v>52</v>
      </c>
      <c r="Y157" s="211">
        <f>ROUND(X157*MasterData!$C$7,2)</f>
        <v>3138.72</v>
      </c>
      <c r="Z157" s="212">
        <f>VLOOKUP($A157,MasterData!$N$62:$X$111,11,FALSE)*52</f>
        <v>52</v>
      </c>
      <c r="AA157" s="211">
        <f>ROUND(Z157*MasterData!$D$7,2)</f>
        <v>2201.6799999999998</v>
      </c>
      <c r="AB157" s="215">
        <f t="shared" si="27"/>
        <v>5340.4</v>
      </c>
      <c r="AC157" s="216">
        <f>MasterData!$M$28</f>
        <v>15472.178595890411</v>
      </c>
      <c r="AD157" s="211">
        <f>MasterData!$D$30</f>
        <v>992.8</v>
      </c>
      <c r="AE157" s="211">
        <f>MasterData!$E$30</f>
        <v>2876.2</v>
      </c>
      <c r="AF157" s="211">
        <f>MasterData!$F$30</f>
        <v>0</v>
      </c>
      <c r="AG157" s="215">
        <f t="shared" si="17"/>
        <v>350410.43859589047</v>
      </c>
      <c r="AH157" s="211">
        <f>ROUND(AG157*MasterData!$G$29,2)</f>
        <v>42049.25</v>
      </c>
      <c r="AI157" s="200">
        <f>((AG157+AH157)*MasterData!$I$29)-'Model Calculator'!W157*MasterData!$I$29</f>
        <v>1187.8087490068501</v>
      </c>
      <c r="AJ157" s="201">
        <f t="shared" si="18"/>
        <v>394632.85734489729</v>
      </c>
      <c r="AK157" s="201">
        <f t="shared" si="23"/>
        <v>1137.27</v>
      </c>
    </row>
    <row r="158" spans="1:37">
      <c r="A158" s="197" t="s">
        <v>70</v>
      </c>
      <c r="B158" s="197" t="str">
        <f t="shared" si="24"/>
        <v>B206.5</v>
      </c>
      <c r="C158" s="197" t="s">
        <v>70</v>
      </c>
      <c r="D158" s="226" t="s">
        <v>301</v>
      </c>
      <c r="E158" s="213">
        <f>VLOOKUP($A158,MasterData!$N$62:$X$111,2,FALSE)</f>
        <v>0.18</v>
      </c>
      <c r="F158" s="214">
        <f>ROUND(E158*MasterData!$C$4,2)</f>
        <v>9297.2999999999993</v>
      </c>
      <c r="G158" s="212">
        <f>VLOOKUP($A158,MasterData!$N$62:$X$111,3,FALSE)</f>
        <v>0.66</v>
      </c>
      <c r="H158" s="214">
        <f>ROUND(G158*MasterData!$D$4,2)</f>
        <v>27401.09</v>
      </c>
      <c r="I158" s="212">
        <f t="shared" si="25"/>
        <v>6.5</v>
      </c>
      <c r="J158" s="212">
        <f>VLOOKUP($A158,MasterData!$N$62:$X$111,4,FALSE)</f>
        <v>5.0999999999999996</v>
      </c>
      <c r="K158" s="214">
        <f>ROUND(J158*MasterData!$E$3,2)</f>
        <v>164211.84</v>
      </c>
      <c r="L158" s="212">
        <f>VLOOKUP($A158,MasterData!$N$62:$X$111,5,FALSE)</f>
        <v>1.4</v>
      </c>
      <c r="M158" s="211">
        <f>ROUND(L158*MasterData!$F$3,2)</f>
        <v>41496</v>
      </c>
      <c r="N158" s="212">
        <f>VLOOKUP($A158,MasterData!$N$62:$X$111,6,FALSE)</f>
        <v>1</v>
      </c>
      <c r="O158" s="211">
        <f>ROUND(N158*MasterData!$G$3,2)</f>
        <v>32198.400000000001</v>
      </c>
      <c r="P158" s="212">
        <f>VLOOKUP($A158,MasterData!$N$62:$X$111,7,FALSE)</f>
        <v>0.22</v>
      </c>
      <c r="Q158" s="214">
        <f>ROUND(P158*MasterData!$H$3,2)</f>
        <v>6520.8</v>
      </c>
      <c r="R158" s="212">
        <f>VLOOKUP($A158,MasterData!$N$62:$X$111,8,FALSE)</f>
        <v>0.12</v>
      </c>
      <c r="S158" s="211">
        <f>ROUND(R158*MasterData!$I$3,2)</f>
        <v>3863.81</v>
      </c>
      <c r="T158" s="215">
        <f t="shared" si="26"/>
        <v>284989.24</v>
      </c>
      <c r="U158" s="211">
        <f>ROUND(T158*MasterData!$C$29,2)</f>
        <v>63581.1</v>
      </c>
      <c r="V158" s="211">
        <f>ROUND(T158*MasterData!$J$29,2)</f>
        <v>1054.46</v>
      </c>
      <c r="W158" s="201">
        <f t="shared" si="21"/>
        <v>348570.33999999997</v>
      </c>
      <c r="X158" s="212">
        <f>VLOOKUP($A158,MasterData!$N$62:$X$111,10,FALSE)*52</f>
        <v>52</v>
      </c>
      <c r="Y158" s="211">
        <f>ROUND(X158*MasterData!$C$7,2)</f>
        <v>3138.72</v>
      </c>
      <c r="Z158" s="212">
        <f>VLOOKUP($A158,MasterData!$N$62:$X$111,11,FALSE)*52</f>
        <v>52</v>
      </c>
      <c r="AA158" s="211">
        <f>ROUND(Z158*MasterData!$D$7,2)</f>
        <v>2201.6799999999998</v>
      </c>
      <c r="AB158" s="215">
        <f t="shared" si="27"/>
        <v>5340.4</v>
      </c>
      <c r="AC158" s="216">
        <f>MasterData!$M$28</f>
        <v>15472.178595890411</v>
      </c>
      <c r="AD158" s="211">
        <f>MasterData!$D$30</f>
        <v>992.8</v>
      </c>
      <c r="AE158" s="211">
        <f>MasterData!$E$30</f>
        <v>2876.2</v>
      </c>
      <c r="AF158" s="211">
        <f>MasterData!$F$30</f>
        <v>0</v>
      </c>
      <c r="AG158" s="215">
        <f t="shared" si="17"/>
        <v>373251.9185958904</v>
      </c>
      <c r="AH158" s="211">
        <f>ROUND(AG158*MasterData!$G$29,2)</f>
        <v>44790.23</v>
      </c>
      <c r="AI158" s="200">
        <f>((AG158+AH158)*MasterData!$I$29)-'Model Calculator'!W158*MasterData!$I$29</f>
        <v>1236.5981930068492</v>
      </c>
      <c r="AJ158" s="201">
        <f t="shared" si="18"/>
        <v>420333.20678889722</v>
      </c>
      <c r="AK158" s="201">
        <f t="shared" si="23"/>
        <v>1211.33</v>
      </c>
    </row>
    <row r="159" spans="1:37">
      <c r="A159" s="197" t="s">
        <v>71</v>
      </c>
      <c r="B159" s="197" t="str">
        <f t="shared" si="24"/>
        <v>B207.0</v>
      </c>
      <c r="C159" s="197" t="s">
        <v>71</v>
      </c>
      <c r="D159" s="226" t="s">
        <v>301</v>
      </c>
      <c r="E159" s="213">
        <f>VLOOKUP($A159,MasterData!$N$62:$X$111,2,FALSE)</f>
        <v>0.18</v>
      </c>
      <c r="F159" s="214">
        <f>ROUND(E159*MasterData!$C$4,2)</f>
        <v>9297.2999999999993</v>
      </c>
      <c r="G159" s="212">
        <f>VLOOKUP($A159,MasterData!$N$62:$X$111,3,FALSE)</f>
        <v>0.66</v>
      </c>
      <c r="H159" s="214">
        <f>ROUND(G159*MasterData!$D$4,2)</f>
        <v>27401.09</v>
      </c>
      <c r="I159" s="212">
        <f t="shared" si="25"/>
        <v>7</v>
      </c>
      <c r="J159" s="212">
        <f>VLOOKUP($A159,MasterData!$N$62:$X$111,4,FALSE)</f>
        <v>5.6</v>
      </c>
      <c r="K159" s="214">
        <f>ROUND(J159*MasterData!$E$3,2)</f>
        <v>180311.04000000001</v>
      </c>
      <c r="L159" s="212">
        <f>VLOOKUP($A159,MasterData!$N$62:$X$111,5,FALSE)</f>
        <v>1.4</v>
      </c>
      <c r="M159" s="211">
        <f>ROUND(L159*MasterData!$F$3,2)</f>
        <v>41496</v>
      </c>
      <c r="N159" s="212">
        <f>VLOOKUP($A159,MasterData!$N$62:$X$111,6,FALSE)</f>
        <v>1.08</v>
      </c>
      <c r="O159" s="211">
        <f>ROUND(N159*MasterData!$G$3,2)</f>
        <v>34774.269999999997</v>
      </c>
      <c r="P159" s="212">
        <f>VLOOKUP($A159,MasterData!$N$62:$X$111,7,FALSE)</f>
        <v>0.22</v>
      </c>
      <c r="Q159" s="214">
        <f>ROUND(P159*MasterData!$H$3,2)</f>
        <v>6520.8</v>
      </c>
      <c r="R159" s="212">
        <f>VLOOKUP($A159,MasterData!$N$62:$X$111,8,FALSE)</f>
        <v>0.12</v>
      </c>
      <c r="S159" s="211">
        <f>ROUND(R159*MasterData!$I$3,2)</f>
        <v>3863.81</v>
      </c>
      <c r="T159" s="215">
        <f t="shared" si="26"/>
        <v>303664.31</v>
      </c>
      <c r="U159" s="211">
        <f>ROUND(T159*MasterData!$C$29,2)</f>
        <v>67747.509999999995</v>
      </c>
      <c r="V159" s="211">
        <f>ROUND(T159*MasterData!$J$29,2)</f>
        <v>1123.56</v>
      </c>
      <c r="W159" s="201">
        <f t="shared" si="21"/>
        <v>371411.82</v>
      </c>
      <c r="X159" s="212">
        <f>VLOOKUP($A159,MasterData!$N$62:$X$111,10,FALSE)*52</f>
        <v>52</v>
      </c>
      <c r="Y159" s="211">
        <f>ROUND(X159*MasterData!$C$7,2)</f>
        <v>3138.72</v>
      </c>
      <c r="Z159" s="212">
        <f>VLOOKUP($A159,MasterData!$N$62:$X$111,11,FALSE)*52</f>
        <v>52</v>
      </c>
      <c r="AA159" s="211">
        <f>ROUND(Z159*MasterData!$D$7,2)</f>
        <v>2201.6799999999998</v>
      </c>
      <c r="AB159" s="215">
        <f t="shared" si="27"/>
        <v>5340.4</v>
      </c>
      <c r="AC159" s="216">
        <f>MasterData!$M$28</f>
        <v>15472.178595890411</v>
      </c>
      <c r="AD159" s="211">
        <f>MasterData!$D$30</f>
        <v>992.8</v>
      </c>
      <c r="AE159" s="211">
        <f>MasterData!$E$30</f>
        <v>2876.2</v>
      </c>
      <c r="AF159" s="211">
        <f>MasterData!$F$30</f>
        <v>0</v>
      </c>
      <c r="AG159" s="215">
        <f t="shared" si="17"/>
        <v>396093.39859589044</v>
      </c>
      <c r="AH159" s="211">
        <f>ROUND(AG159*MasterData!$G$29,2)</f>
        <v>47531.21</v>
      </c>
      <c r="AI159" s="200">
        <f>((AG159+AH159)*MasterData!$I$29)-'Model Calculator'!W159*MasterData!$I$29</f>
        <v>1285.3876370068492</v>
      </c>
      <c r="AJ159" s="201">
        <f t="shared" si="18"/>
        <v>446033.55623289733</v>
      </c>
      <c r="AK159" s="201">
        <f t="shared" si="23"/>
        <v>1285.4000000000001</v>
      </c>
    </row>
    <row r="160" spans="1:37">
      <c r="A160" s="197" t="s">
        <v>72</v>
      </c>
      <c r="B160" s="197" t="str">
        <f t="shared" si="24"/>
        <v>B207.5</v>
      </c>
      <c r="C160" s="197" t="s">
        <v>72</v>
      </c>
      <c r="D160" s="226" t="s">
        <v>301</v>
      </c>
      <c r="E160" s="213">
        <f>VLOOKUP($A160,MasterData!$N$62:$X$111,2,FALSE)</f>
        <v>0.18</v>
      </c>
      <c r="F160" s="214">
        <f>ROUND(E160*MasterData!$C$4,2)</f>
        <v>9297.2999999999993</v>
      </c>
      <c r="G160" s="212">
        <f>VLOOKUP($A160,MasterData!$N$62:$X$111,3,FALSE)</f>
        <v>0.66</v>
      </c>
      <c r="H160" s="214">
        <f>ROUND(G160*MasterData!$D$4,2)</f>
        <v>27401.09</v>
      </c>
      <c r="I160" s="212">
        <f t="shared" si="25"/>
        <v>7.5</v>
      </c>
      <c r="J160" s="212">
        <f>VLOOKUP($A160,MasterData!$N$62:$X$111,4,FALSE)</f>
        <v>6.1</v>
      </c>
      <c r="K160" s="214">
        <f>ROUND(J160*MasterData!$E$3,2)</f>
        <v>196410.23999999999</v>
      </c>
      <c r="L160" s="212">
        <f>VLOOKUP($A160,MasterData!$N$62:$X$111,5,FALSE)</f>
        <v>1.4</v>
      </c>
      <c r="M160" s="211">
        <f>ROUND(L160*MasterData!$F$3,2)</f>
        <v>41496</v>
      </c>
      <c r="N160" s="212">
        <f>VLOOKUP($A160,MasterData!$N$62:$X$111,6,FALSE)</f>
        <v>1.1599999999999999</v>
      </c>
      <c r="O160" s="211">
        <f>ROUND(N160*MasterData!$G$3,2)</f>
        <v>37350.14</v>
      </c>
      <c r="P160" s="212">
        <f>VLOOKUP($A160,MasterData!$N$62:$X$111,7,FALSE)</f>
        <v>0.22</v>
      </c>
      <c r="Q160" s="214">
        <f>ROUND(P160*MasterData!$H$3,2)</f>
        <v>6520.8</v>
      </c>
      <c r="R160" s="212">
        <f>VLOOKUP($A160,MasterData!$N$62:$X$111,8,FALSE)</f>
        <v>0.12</v>
      </c>
      <c r="S160" s="211">
        <f>ROUND(R160*MasterData!$I$3,2)</f>
        <v>3863.81</v>
      </c>
      <c r="T160" s="215">
        <f t="shared" si="26"/>
        <v>322339.38</v>
      </c>
      <c r="U160" s="211">
        <f>ROUND(T160*MasterData!$C$29,2)</f>
        <v>71913.919999999998</v>
      </c>
      <c r="V160" s="211">
        <f>ROUND(T160*MasterData!$J$29,2)</f>
        <v>1192.6600000000001</v>
      </c>
      <c r="W160" s="201">
        <f t="shared" si="21"/>
        <v>394253.3</v>
      </c>
      <c r="X160" s="212">
        <f>VLOOKUP($A160,MasterData!$N$62:$X$111,10,FALSE)*52</f>
        <v>52</v>
      </c>
      <c r="Y160" s="211">
        <f>ROUND(X160*MasterData!$C$7,2)</f>
        <v>3138.72</v>
      </c>
      <c r="Z160" s="212">
        <f>VLOOKUP($A160,MasterData!$N$62:$X$111,11,FALSE)*52</f>
        <v>52</v>
      </c>
      <c r="AA160" s="211">
        <f>ROUND(Z160*MasterData!$D$7,2)</f>
        <v>2201.6799999999998</v>
      </c>
      <c r="AB160" s="215">
        <f t="shared" si="27"/>
        <v>5340.4</v>
      </c>
      <c r="AC160" s="216">
        <f>MasterData!$M$28</f>
        <v>15472.178595890411</v>
      </c>
      <c r="AD160" s="211">
        <f>MasterData!$D$30</f>
        <v>992.8</v>
      </c>
      <c r="AE160" s="211">
        <f>MasterData!$E$30</f>
        <v>2876.2</v>
      </c>
      <c r="AF160" s="211">
        <f>MasterData!$F$30</f>
        <v>0</v>
      </c>
      <c r="AG160" s="215">
        <f t="shared" si="17"/>
        <v>418934.87859589042</v>
      </c>
      <c r="AH160" s="211">
        <f>ROUND(AG160*MasterData!$G$29,2)</f>
        <v>50272.19</v>
      </c>
      <c r="AI160" s="200">
        <f>((AG160+AH160)*MasterData!$I$29)-'Model Calculator'!W160*MasterData!$I$29</f>
        <v>1334.1770810068501</v>
      </c>
      <c r="AJ160" s="201">
        <f t="shared" si="18"/>
        <v>471733.90567689727</v>
      </c>
      <c r="AK160" s="201">
        <f t="shared" si="23"/>
        <v>1359.46</v>
      </c>
    </row>
    <row r="161" spans="1:37">
      <c r="A161" s="197" t="s">
        <v>73</v>
      </c>
      <c r="B161" s="197" t="str">
        <f t="shared" si="24"/>
        <v>B208.0</v>
      </c>
      <c r="C161" s="197" t="s">
        <v>73</v>
      </c>
      <c r="D161" s="226" t="s">
        <v>301</v>
      </c>
      <c r="E161" s="213">
        <f>VLOOKUP($A161,MasterData!$N$62:$X$111,2,FALSE)</f>
        <v>0.18</v>
      </c>
      <c r="F161" s="214">
        <f>ROUND(E161*MasterData!$C$4,2)</f>
        <v>9297.2999999999993</v>
      </c>
      <c r="G161" s="212">
        <f>VLOOKUP($A161,MasterData!$N$62:$X$111,3,FALSE)</f>
        <v>0.66</v>
      </c>
      <c r="H161" s="214">
        <f>ROUND(G161*MasterData!$D$4,2)</f>
        <v>27401.09</v>
      </c>
      <c r="I161" s="212">
        <f t="shared" si="25"/>
        <v>8</v>
      </c>
      <c r="J161" s="212">
        <f>VLOOKUP($A161,MasterData!$N$62:$X$111,4,FALSE)</f>
        <v>6.6</v>
      </c>
      <c r="K161" s="214">
        <f>ROUND(J161*MasterData!$E$3,2)</f>
        <v>212509.44</v>
      </c>
      <c r="L161" s="212">
        <f>VLOOKUP($A161,MasterData!$N$62:$X$111,5,FALSE)</f>
        <v>1.4</v>
      </c>
      <c r="M161" s="211">
        <f>ROUND(L161*MasterData!$F$3,2)</f>
        <v>41496</v>
      </c>
      <c r="N161" s="212">
        <f>VLOOKUP($A161,MasterData!$N$62:$X$111,6,FALSE)</f>
        <v>1.23</v>
      </c>
      <c r="O161" s="211">
        <f>ROUND(N161*MasterData!$G$3,2)</f>
        <v>39604.03</v>
      </c>
      <c r="P161" s="212">
        <f>VLOOKUP($A161,MasterData!$N$62:$X$111,7,FALSE)</f>
        <v>0.22</v>
      </c>
      <c r="Q161" s="214">
        <f>ROUND(P161*MasterData!$H$3,2)</f>
        <v>6520.8</v>
      </c>
      <c r="R161" s="212">
        <f>VLOOKUP($A161,MasterData!$N$62:$X$111,8,FALSE)</f>
        <v>0.12</v>
      </c>
      <c r="S161" s="211">
        <f>ROUND(R161*MasterData!$I$3,2)</f>
        <v>3863.81</v>
      </c>
      <c r="T161" s="215">
        <f t="shared" si="26"/>
        <v>340692.47</v>
      </c>
      <c r="U161" s="211">
        <f>ROUND(T161*MasterData!$C$29,2)</f>
        <v>76008.490000000005</v>
      </c>
      <c r="V161" s="211">
        <f>ROUND(T161*MasterData!$J$29,2)</f>
        <v>1260.56</v>
      </c>
      <c r="W161" s="201">
        <f t="shared" si="21"/>
        <v>416700.95999999996</v>
      </c>
      <c r="X161" s="212">
        <f>VLOOKUP($A161,MasterData!$N$62:$X$111,10,FALSE)*52</f>
        <v>52</v>
      </c>
      <c r="Y161" s="211">
        <f>ROUND(X161*MasterData!$C$7,2)</f>
        <v>3138.72</v>
      </c>
      <c r="Z161" s="212">
        <f>VLOOKUP($A161,MasterData!$N$62:$X$111,11,FALSE)*52</f>
        <v>52</v>
      </c>
      <c r="AA161" s="211">
        <f>ROUND(Z161*MasterData!$D$7,2)</f>
        <v>2201.6799999999998</v>
      </c>
      <c r="AB161" s="215">
        <f t="shared" si="27"/>
        <v>5340.4</v>
      </c>
      <c r="AC161" s="216">
        <f>MasterData!$M$28</f>
        <v>15472.178595890411</v>
      </c>
      <c r="AD161" s="211">
        <f>MasterData!$D$30</f>
        <v>992.8</v>
      </c>
      <c r="AE161" s="211">
        <f>MasterData!$E$30</f>
        <v>2876.2</v>
      </c>
      <c r="AF161" s="211">
        <f>MasterData!$F$30</f>
        <v>0</v>
      </c>
      <c r="AG161" s="215">
        <f t="shared" si="17"/>
        <v>441382.53859589039</v>
      </c>
      <c r="AH161" s="211">
        <f>ROUND(AG161*MasterData!$G$29,2)</f>
        <v>52965.9</v>
      </c>
      <c r="AI161" s="200">
        <f>((AG161+AH161)*MasterData!$I$29)-'Model Calculator'!W161*MasterData!$I$29</f>
        <v>1382.1251190068506</v>
      </c>
      <c r="AJ161" s="201">
        <f t="shared" si="18"/>
        <v>496991.12371489726</v>
      </c>
      <c r="AK161" s="201">
        <f t="shared" si="23"/>
        <v>1432.25</v>
      </c>
    </row>
    <row r="162" spans="1:37">
      <c r="A162" s="197" t="s">
        <v>74</v>
      </c>
      <c r="B162" s="197" t="str">
        <f t="shared" si="24"/>
        <v>B208.5</v>
      </c>
      <c r="C162" s="197" t="s">
        <v>74</v>
      </c>
      <c r="D162" s="226" t="s">
        <v>301</v>
      </c>
      <c r="E162" s="213">
        <f>VLOOKUP($A162,MasterData!$N$62:$X$111,2,FALSE)</f>
        <v>0.18</v>
      </c>
      <c r="F162" s="214">
        <f>ROUND(E162*MasterData!$C$4,2)</f>
        <v>9297.2999999999993</v>
      </c>
      <c r="G162" s="212">
        <f>VLOOKUP($A162,MasterData!$N$62:$X$111,3,FALSE)</f>
        <v>0.66</v>
      </c>
      <c r="H162" s="214">
        <f>ROUND(G162*MasterData!$D$4,2)</f>
        <v>27401.09</v>
      </c>
      <c r="I162" s="212">
        <f t="shared" si="25"/>
        <v>8.5</v>
      </c>
      <c r="J162" s="212">
        <f>VLOOKUP($A162,MasterData!$N$62:$X$111,4,FALSE)</f>
        <v>7.1</v>
      </c>
      <c r="K162" s="214">
        <f>ROUND(J162*MasterData!$E$3,2)</f>
        <v>228608.64000000001</v>
      </c>
      <c r="L162" s="212">
        <f>VLOOKUP($A162,MasterData!$N$62:$X$111,5,FALSE)</f>
        <v>1.4</v>
      </c>
      <c r="M162" s="211">
        <f>ROUND(L162*MasterData!$F$3,2)</f>
        <v>41496</v>
      </c>
      <c r="N162" s="212">
        <f>VLOOKUP($A162,MasterData!$N$62:$X$111,6,FALSE)</f>
        <v>1.31</v>
      </c>
      <c r="O162" s="211">
        <f>ROUND(N162*MasterData!$G$3,2)</f>
        <v>42179.9</v>
      </c>
      <c r="P162" s="212">
        <f>VLOOKUP($A162,MasterData!$N$62:$X$111,7,FALSE)</f>
        <v>0.22</v>
      </c>
      <c r="Q162" s="214">
        <f>ROUND(P162*MasterData!$H$3,2)</f>
        <v>6520.8</v>
      </c>
      <c r="R162" s="212">
        <f>VLOOKUP($A162,MasterData!$N$62:$X$111,8,FALSE)</f>
        <v>0.12</v>
      </c>
      <c r="S162" s="211">
        <f>ROUND(R162*MasterData!$I$3,2)</f>
        <v>3863.81</v>
      </c>
      <c r="T162" s="215">
        <f t="shared" si="26"/>
        <v>359367.54000000004</v>
      </c>
      <c r="U162" s="211">
        <f>ROUND(T162*MasterData!$C$29,2)</f>
        <v>80174.899999999994</v>
      </c>
      <c r="V162" s="211">
        <f>ROUND(T162*MasterData!$J$29,2)</f>
        <v>1329.66</v>
      </c>
      <c r="W162" s="201">
        <f t="shared" si="21"/>
        <v>439542.44000000006</v>
      </c>
      <c r="X162" s="212">
        <f>VLOOKUP($A162,MasterData!$N$62:$X$111,10,FALSE)*52</f>
        <v>52</v>
      </c>
      <c r="Y162" s="211">
        <f>ROUND(X162*MasterData!$C$7,2)</f>
        <v>3138.72</v>
      </c>
      <c r="Z162" s="212">
        <f>VLOOKUP($A162,MasterData!$N$62:$X$111,11,FALSE)*52</f>
        <v>52</v>
      </c>
      <c r="AA162" s="211">
        <f>ROUND(Z162*MasterData!$D$7,2)</f>
        <v>2201.6799999999998</v>
      </c>
      <c r="AB162" s="215">
        <f t="shared" si="27"/>
        <v>5340.4</v>
      </c>
      <c r="AC162" s="216">
        <f>MasterData!$M$28</f>
        <v>15472.178595890411</v>
      </c>
      <c r="AD162" s="211">
        <f>MasterData!$D$30</f>
        <v>992.8</v>
      </c>
      <c r="AE162" s="211">
        <f>MasterData!$E$30</f>
        <v>2876.2</v>
      </c>
      <c r="AF162" s="211">
        <f>MasterData!$F$30</f>
        <v>0</v>
      </c>
      <c r="AG162" s="215">
        <f t="shared" si="17"/>
        <v>464224.01859589049</v>
      </c>
      <c r="AH162" s="211">
        <f>ROUND(AG162*MasterData!$G$29,2)</f>
        <v>55706.879999999997</v>
      </c>
      <c r="AI162" s="200">
        <f>((AG162+AH162)*MasterData!$I$29)-'Model Calculator'!W162*MasterData!$I$29</f>
        <v>1430.9145630068497</v>
      </c>
      <c r="AJ162" s="201">
        <f t="shared" si="18"/>
        <v>522691.47315889731</v>
      </c>
      <c r="AK162" s="201">
        <f t="shared" si="23"/>
        <v>1506.32</v>
      </c>
    </row>
    <row r="163" spans="1:37">
      <c r="A163" s="197" t="s">
        <v>75</v>
      </c>
      <c r="B163" s="197" t="str">
        <f t="shared" si="24"/>
        <v>B209.0</v>
      </c>
      <c r="C163" s="197" t="s">
        <v>75</v>
      </c>
      <c r="D163" s="226" t="s">
        <v>301</v>
      </c>
      <c r="E163" s="213">
        <f>VLOOKUP($A163,MasterData!$N$62:$X$111,2,FALSE)</f>
        <v>0.18</v>
      </c>
      <c r="F163" s="214">
        <f>ROUND(E163*MasterData!$C$4,2)</f>
        <v>9297.2999999999993</v>
      </c>
      <c r="G163" s="212">
        <f>VLOOKUP($A163,MasterData!$N$62:$X$111,3,FALSE)</f>
        <v>0.66</v>
      </c>
      <c r="H163" s="214">
        <f>ROUND(G163*MasterData!$D$4,2)</f>
        <v>27401.09</v>
      </c>
      <c r="I163" s="212">
        <f t="shared" si="25"/>
        <v>9</v>
      </c>
      <c r="J163" s="212">
        <f>VLOOKUP($A163,MasterData!$N$62:$X$111,4,FALSE)</f>
        <v>7.6</v>
      </c>
      <c r="K163" s="214">
        <f>ROUND(J163*MasterData!$E$3,2)</f>
        <v>244707.84</v>
      </c>
      <c r="L163" s="212">
        <f>VLOOKUP($A163,MasterData!$N$62:$X$111,5,FALSE)</f>
        <v>1.4</v>
      </c>
      <c r="M163" s="211">
        <f>ROUND(L163*MasterData!$F$3,2)</f>
        <v>41496</v>
      </c>
      <c r="N163" s="212">
        <f>VLOOKUP($A163,MasterData!$N$62:$X$111,6,FALSE)</f>
        <v>1.39</v>
      </c>
      <c r="O163" s="211">
        <f>ROUND(N163*MasterData!$G$3,2)</f>
        <v>44755.78</v>
      </c>
      <c r="P163" s="212">
        <f>VLOOKUP($A163,MasterData!$N$62:$X$111,7,FALSE)</f>
        <v>0.22</v>
      </c>
      <c r="Q163" s="214">
        <f>ROUND(P163*MasterData!$H$3,2)</f>
        <v>6520.8</v>
      </c>
      <c r="R163" s="212">
        <f>VLOOKUP($A163,MasterData!$N$62:$X$111,8,FALSE)</f>
        <v>0.12</v>
      </c>
      <c r="S163" s="211">
        <f>ROUND(R163*MasterData!$I$3,2)</f>
        <v>3863.81</v>
      </c>
      <c r="T163" s="215">
        <f t="shared" si="26"/>
        <v>378042.62</v>
      </c>
      <c r="U163" s="211">
        <f>ROUND(T163*MasterData!$C$29,2)</f>
        <v>84341.31</v>
      </c>
      <c r="V163" s="211">
        <f>ROUND(T163*MasterData!$J$29,2)</f>
        <v>1398.76</v>
      </c>
      <c r="W163" s="201">
        <f t="shared" si="21"/>
        <v>462383.93</v>
      </c>
      <c r="X163" s="212">
        <f>VLOOKUP($A163,MasterData!$N$62:$X$111,10,FALSE)*52</f>
        <v>52</v>
      </c>
      <c r="Y163" s="211">
        <f>ROUND(X163*MasterData!$C$7,2)</f>
        <v>3138.72</v>
      </c>
      <c r="Z163" s="212">
        <f>VLOOKUP($A163,MasterData!$N$62:$X$111,11,FALSE)*52</f>
        <v>52</v>
      </c>
      <c r="AA163" s="211">
        <f>ROUND(Z163*MasterData!$D$7,2)</f>
        <v>2201.6799999999998</v>
      </c>
      <c r="AB163" s="215">
        <f t="shared" si="27"/>
        <v>5340.4</v>
      </c>
      <c r="AC163" s="216">
        <f>MasterData!$M$28</f>
        <v>15472.178595890411</v>
      </c>
      <c r="AD163" s="211">
        <f>MasterData!$D$30</f>
        <v>992.8</v>
      </c>
      <c r="AE163" s="211">
        <f>MasterData!$E$30</f>
        <v>2876.2</v>
      </c>
      <c r="AF163" s="211">
        <f>MasterData!$F$30</f>
        <v>0</v>
      </c>
      <c r="AG163" s="215">
        <f t="shared" si="17"/>
        <v>487065.50859589042</v>
      </c>
      <c r="AH163" s="211">
        <f>ROUND(AG163*MasterData!$G$29,2)</f>
        <v>58447.86</v>
      </c>
      <c r="AI163" s="200">
        <f>((AG163+AH163)*MasterData!$I$29)-'Model Calculator'!W163*MasterData!$I$29</f>
        <v>1479.7040070068506</v>
      </c>
      <c r="AJ163" s="201">
        <f t="shared" si="18"/>
        <v>548391.83260289731</v>
      </c>
      <c r="AK163" s="201">
        <f t="shared" si="23"/>
        <v>1580.38</v>
      </c>
    </row>
    <row r="164" spans="1:37" hidden="1">
      <c r="A164" s="197" t="s">
        <v>76</v>
      </c>
      <c r="B164" s="197" t="str">
        <f t="shared" si="24"/>
        <v>B209.5</v>
      </c>
      <c r="C164" s="197" t="s">
        <v>76</v>
      </c>
      <c r="D164" s="226" t="s">
        <v>301</v>
      </c>
      <c r="E164" s="213">
        <f>VLOOKUP($A164,MasterData!$N$62:$X$111,2,FALSE)</f>
        <v>0.18</v>
      </c>
      <c r="F164" s="214">
        <f>ROUND(E164*MasterData!$C$4,2)</f>
        <v>9297.2999999999993</v>
      </c>
      <c r="G164" s="212">
        <f>VLOOKUP($A164,MasterData!$N$62:$X$111,3,FALSE)</f>
        <v>0.66</v>
      </c>
      <c r="H164" s="214">
        <f>ROUND(G164*MasterData!$D$4,2)</f>
        <v>27401.09</v>
      </c>
      <c r="I164" s="212">
        <f t="shared" si="25"/>
        <v>9.5</v>
      </c>
      <c r="J164" s="212">
        <f>VLOOKUP($A164,MasterData!$N$62:$X$111,4,FALSE)</f>
        <v>8.1</v>
      </c>
      <c r="K164" s="214">
        <f>ROUND(J164*MasterData!$E$3,2)</f>
        <v>260807.04000000001</v>
      </c>
      <c r="L164" s="212">
        <f>VLOOKUP($A164,MasterData!$N$62:$X$111,5,FALSE)</f>
        <v>1.4</v>
      </c>
      <c r="M164" s="211">
        <f>ROUND(L164*MasterData!$F$3,2)</f>
        <v>41496</v>
      </c>
      <c r="N164" s="212">
        <f>VLOOKUP($A164,MasterData!$N$62:$X$111,6,FALSE)</f>
        <v>1.46</v>
      </c>
      <c r="O164" s="211">
        <f>ROUND(N164*MasterData!$G$3,2)</f>
        <v>47009.66</v>
      </c>
      <c r="P164" s="212">
        <f>VLOOKUP($A164,MasterData!$N$62:$X$111,7,FALSE)</f>
        <v>0.22</v>
      </c>
      <c r="Q164" s="214">
        <f>ROUND(P164*MasterData!$H$3,2)</f>
        <v>6520.8</v>
      </c>
      <c r="R164" s="212">
        <f>VLOOKUP($A164,MasterData!$N$62:$X$111,8,FALSE)</f>
        <v>0.12</v>
      </c>
      <c r="S164" s="211">
        <f>ROUND(R164*MasterData!$I$3,2)</f>
        <v>3863.81</v>
      </c>
      <c r="T164" s="215">
        <f t="shared" si="26"/>
        <v>396395.69999999995</v>
      </c>
      <c r="U164" s="211">
        <f>ROUND(T164*MasterData!$C$29,2)</f>
        <v>88435.88</v>
      </c>
      <c r="V164" s="211">
        <f>ROUND(T164*MasterData!$J$29,2)</f>
        <v>1466.66</v>
      </c>
      <c r="W164" s="201">
        <f t="shared" si="21"/>
        <v>484831.57999999996</v>
      </c>
      <c r="X164" s="212">
        <f>VLOOKUP($A164,MasterData!$N$62:$X$111,10,FALSE)*52</f>
        <v>52</v>
      </c>
      <c r="Y164" s="211">
        <f>ROUND(X164*MasterData!$C$7,2)</f>
        <v>3138.72</v>
      </c>
      <c r="Z164" s="212">
        <f>VLOOKUP($A164,MasterData!$N$62:$X$111,11,FALSE)*52</f>
        <v>52</v>
      </c>
      <c r="AA164" s="211">
        <f>ROUND(Z164*MasterData!$D$7,2)</f>
        <v>2201.6799999999998</v>
      </c>
      <c r="AB164" s="215">
        <f t="shared" si="27"/>
        <v>5340.4</v>
      </c>
      <c r="AC164" s="216">
        <f>MasterData!$M$28</f>
        <v>15472.178595890411</v>
      </c>
      <c r="AD164" s="211">
        <f>MasterData!$D$30</f>
        <v>992.8</v>
      </c>
      <c r="AE164" s="211">
        <f>MasterData!$E$30</f>
        <v>2876.2</v>
      </c>
      <c r="AF164" s="211">
        <f>MasterData!$F$30</f>
        <v>0</v>
      </c>
      <c r="AG164" s="215">
        <f t="shared" si="17"/>
        <v>509513.15859589039</v>
      </c>
      <c r="AH164" s="211">
        <f>ROUND(AG164*MasterData!$G$29,2)</f>
        <v>61141.58</v>
      </c>
      <c r="AI164" s="200">
        <f>((AG164+AH164)*MasterData!$I$29)-'Model Calculator'!W164*MasterData!$I$29</f>
        <v>1527.6522230068495</v>
      </c>
      <c r="AJ164" s="201">
        <f t="shared" si="18"/>
        <v>573649.0508188972</v>
      </c>
      <c r="AK164" s="201">
        <f t="shared" si="23"/>
        <v>1653.17</v>
      </c>
    </row>
    <row r="165" spans="1:37" hidden="1">
      <c r="A165" s="197" t="s">
        <v>77</v>
      </c>
      <c r="B165" s="197" t="str">
        <f t="shared" si="24"/>
        <v>B210.0</v>
      </c>
      <c r="C165" s="197" t="s">
        <v>77</v>
      </c>
      <c r="D165" s="226" t="s">
        <v>301</v>
      </c>
      <c r="E165" s="213">
        <f>VLOOKUP($A165,MasterData!$N$62:$X$111,2,FALSE)</f>
        <v>0.18</v>
      </c>
      <c r="F165" s="214">
        <f>ROUND(E165*MasterData!$C$4,2)</f>
        <v>9297.2999999999993</v>
      </c>
      <c r="G165" s="212">
        <f>VLOOKUP($A165,MasterData!$N$62:$X$111,3,FALSE)</f>
        <v>0.66</v>
      </c>
      <c r="H165" s="214">
        <f>ROUND(G165*MasterData!$D$4,2)</f>
        <v>27401.09</v>
      </c>
      <c r="I165" s="212">
        <f t="shared" si="25"/>
        <v>10</v>
      </c>
      <c r="J165" s="212">
        <f>VLOOKUP($A165,MasterData!$N$62:$X$111,4,FALSE)</f>
        <v>8.6</v>
      </c>
      <c r="K165" s="214">
        <f>ROUND(J165*MasterData!$E$3,2)</f>
        <v>276906.23999999999</v>
      </c>
      <c r="L165" s="212">
        <f>VLOOKUP($A165,MasterData!$N$62:$X$111,5,FALSE)</f>
        <v>1.4</v>
      </c>
      <c r="M165" s="211">
        <f>ROUND(L165*MasterData!$F$3,2)</f>
        <v>41496</v>
      </c>
      <c r="N165" s="212">
        <f>VLOOKUP($A165,MasterData!$N$62:$X$111,6,FALSE)</f>
        <v>1.54</v>
      </c>
      <c r="O165" s="211">
        <f>ROUND(N165*MasterData!$G$3,2)</f>
        <v>49585.54</v>
      </c>
      <c r="P165" s="212">
        <f>VLOOKUP($A165,MasterData!$N$62:$X$111,7,FALSE)</f>
        <v>0.22</v>
      </c>
      <c r="Q165" s="214">
        <f>ROUND(P165*MasterData!$H$3,2)</f>
        <v>6520.8</v>
      </c>
      <c r="R165" s="212">
        <f>VLOOKUP($A165,MasterData!$N$62:$X$111,8,FALSE)</f>
        <v>0.12</v>
      </c>
      <c r="S165" s="211">
        <f>ROUND(R165*MasterData!$I$3,2)</f>
        <v>3863.81</v>
      </c>
      <c r="T165" s="215">
        <f t="shared" si="26"/>
        <v>415070.77999999997</v>
      </c>
      <c r="U165" s="211">
        <f>ROUND(T165*MasterData!$C$29,2)</f>
        <v>92602.29</v>
      </c>
      <c r="V165" s="211">
        <f>ROUND(T165*MasterData!$J$29,2)</f>
        <v>1535.76</v>
      </c>
      <c r="W165" s="201">
        <f t="shared" si="21"/>
        <v>507673.06999999995</v>
      </c>
      <c r="X165" s="212">
        <f>VLOOKUP($A165,MasterData!$N$62:$X$111,10,FALSE)*52</f>
        <v>52</v>
      </c>
      <c r="Y165" s="211">
        <f>ROUND(X165*MasterData!$C$7,2)</f>
        <v>3138.72</v>
      </c>
      <c r="Z165" s="212">
        <f>VLOOKUP($A165,MasterData!$N$62:$X$111,11,FALSE)*52</f>
        <v>52</v>
      </c>
      <c r="AA165" s="211">
        <f>ROUND(Z165*MasterData!$D$7,2)</f>
        <v>2201.6799999999998</v>
      </c>
      <c r="AB165" s="215">
        <f t="shared" si="27"/>
        <v>5340.4</v>
      </c>
      <c r="AC165" s="216">
        <f>MasterData!$M$28</f>
        <v>15472.178595890411</v>
      </c>
      <c r="AD165" s="211">
        <f>MasterData!$D$30</f>
        <v>992.8</v>
      </c>
      <c r="AE165" s="211">
        <f>MasterData!$E$30</f>
        <v>2876.2</v>
      </c>
      <c r="AF165" s="211">
        <f>MasterData!$F$30</f>
        <v>0</v>
      </c>
      <c r="AG165" s="215">
        <f t="shared" si="17"/>
        <v>532354.64859589038</v>
      </c>
      <c r="AH165" s="211">
        <f>ROUND(AG165*MasterData!$G$29,2)</f>
        <v>63882.559999999998</v>
      </c>
      <c r="AI165" s="200">
        <f>((AG165+AH165)*MasterData!$I$29)-'Model Calculator'!W165*MasterData!$I$29</f>
        <v>1576.4416670068495</v>
      </c>
      <c r="AJ165" s="201">
        <f t="shared" si="18"/>
        <v>599349.41026289715</v>
      </c>
      <c r="AK165" s="201">
        <f t="shared" si="23"/>
        <v>1727.23</v>
      </c>
    </row>
    <row r="166" spans="1:37" hidden="1">
      <c r="A166" s="197" t="s">
        <v>78</v>
      </c>
      <c r="B166" s="197" t="str">
        <f t="shared" si="24"/>
        <v>B210.5</v>
      </c>
      <c r="C166" s="197" t="s">
        <v>78</v>
      </c>
      <c r="D166" s="226" t="s">
        <v>301</v>
      </c>
      <c r="E166" s="213">
        <f>VLOOKUP($A166,MasterData!$N$62:$X$111,2,FALSE)</f>
        <v>0.18</v>
      </c>
      <c r="F166" s="214">
        <f>ROUND(E166*MasterData!$C$4,2)</f>
        <v>9297.2999999999993</v>
      </c>
      <c r="G166" s="212">
        <f>VLOOKUP($A166,MasterData!$N$62:$X$111,3,FALSE)</f>
        <v>0.66</v>
      </c>
      <c r="H166" s="214">
        <f>ROUND(G166*MasterData!$D$4,2)</f>
        <v>27401.09</v>
      </c>
      <c r="I166" s="212">
        <f t="shared" si="25"/>
        <v>10.5</v>
      </c>
      <c r="J166" s="212">
        <f>VLOOKUP($A166,MasterData!$N$62:$X$111,4,FALSE)</f>
        <v>9.1</v>
      </c>
      <c r="K166" s="214">
        <f>ROUND(J166*MasterData!$E$3,2)</f>
        <v>293005.44</v>
      </c>
      <c r="L166" s="212">
        <f>VLOOKUP($A166,MasterData!$N$62:$X$111,5,FALSE)</f>
        <v>1.4</v>
      </c>
      <c r="M166" s="211">
        <f>ROUND(L166*MasterData!$F$3,2)</f>
        <v>41496</v>
      </c>
      <c r="N166" s="212">
        <f>VLOOKUP($A166,MasterData!$N$62:$X$111,6,FALSE)</f>
        <v>1.62</v>
      </c>
      <c r="O166" s="211">
        <f>ROUND(N166*MasterData!$G$3,2)</f>
        <v>52161.41</v>
      </c>
      <c r="P166" s="212">
        <f>VLOOKUP($A166,MasterData!$N$62:$X$111,7,FALSE)</f>
        <v>0.22</v>
      </c>
      <c r="Q166" s="214">
        <f>ROUND(P166*MasterData!$H$3,2)</f>
        <v>6520.8</v>
      </c>
      <c r="R166" s="212">
        <f>VLOOKUP($A166,MasterData!$N$62:$X$111,8,FALSE)</f>
        <v>0.12</v>
      </c>
      <c r="S166" s="211">
        <f>ROUND(R166*MasterData!$I$3,2)</f>
        <v>3863.81</v>
      </c>
      <c r="T166" s="215">
        <f t="shared" si="26"/>
        <v>433745.85</v>
      </c>
      <c r="U166" s="211">
        <f>ROUND(T166*MasterData!$C$29,2)</f>
        <v>96768.7</v>
      </c>
      <c r="V166" s="211">
        <f>ROUND(T166*MasterData!$J$29,2)</f>
        <v>1604.86</v>
      </c>
      <c r="W166" s="201">
        <f t="shared" si="21"/>
        <v>530514.54999999993</v>
      </c>
      <c r="X166" s="212">
        <f>VLOOKUP($A166,MasterData!$N$62:$X$111,10,FALSE)*52</f>
        <v>52</v>
      </c>
      <c r="Y166" s="211">
        <f>ROUND(X166*MasterData!$C$7,2)</f>
        <v>3138.72</v>
      </c>
      <c r="Z166" s="212">
        <f>VLOOKUP($A166,MasterData!$N$62:$X$111,11,FALSE)*52</f>
        <v>52</v>
      </c>
      <c r="AA166" s="211">
        <f>ROUND(Z166*MasterData!$D$7,2)</f>
        <v>2201.6799999999998</v>
      </c>
      <c r="AB166" s="215">
        <f t="shared" si="27"/>
        <v>5340.4</v>
      </c>
      <c r="AC166" s="216">
        <f>MasterData!$M$28</f>
        <v>15472.178595890411</v>
      </c>
      <c r="AD166" s="211">
        <f>MasterData!$D$30</f>
        <v>992.8</v>
      </c>
      <c r="AE166" s="211">
        <f>MasterData!$E$30</f>
        <v>2876.2</v>
      </c>
      <c r="AF166" s="211">
        <f>MasterData!$F$30</f>
        <v>0</v>
      </c>
      <c r="AG166" s="215">
        <f t="shared" si="17"/>
        <v>555196.12859589036</v>
      </c>
      <c r="AH166" s="211">
        <f>ROUND(AG166*MasterData!$G$29,2)</f>
        <v>66623.539999999994</v>
      </c>
      <c r="AI166" s="200">
        <f>((AG166+AH166)*MasterData!$I$29)-'Model Calculator'!W166*MasterData!$I$29</f>
        <v>1625.2311110068513</v>
      </c>
      <c r="AJ166" s="201">
        <f t="shared" si="18"/>
        <v>625049.7597068972</v>
      </c>
      <c r="AK166" s="201">
        <f t="shared" si="23"/>
        <v>1801.3</v>
      </c>
    </row>
    <row r="167" spans="1:37" hidden="1">
      <c r="A167" s="197" t="s">
        <v>79</v>
      </c>
      <c r="B167" s="197" t="str">
        <f t="shared" si="24"/>
        <v>B211.0</v>
      </c>
      <c r="C167" s="197" t="s">
        <v>79</v>
      </c>
      <c r="D167" s="226" t="s">
        <v>301</v>
      </c>
      <c r="E167" s="213">
        <f>VLOOKUP($A167,MasterData!$N$62:$X$111,2,FALSE)</f>
        <v>0.18</v>
      </c>
      <c r="F167" s="214">
        <f>ROUND(E167*MasterData!$C$4,2)</f>
        <v>9297.2999999999993</v>
      </c>
      <c r="G167" s="212">
        <f>VLOOKUP($A167,MasterData!$N$62:$X$111,3,FALSE)</f>
        <v>0.66</v>
      </c>
      <c r="H167" s="214">
        <f>ROUND(G167*MasterData!$D$4,2)</f>
        <v>27401.09</v>
      </c>
      <c r="I167" s="212">
        <f t="shared" si="25"/>
        <v>11</v>
      </c>
      <c r="J167" s="212">
        <f>VLOOKUP($A167,MasterData!$N$62:$X$111,4,FALSE)</f>
        <v>9.6</v>
      </c>
      <c r="K167" s="214">
        <f>ROUND(J167*MasterData!$E$3,2)</f>
        <v>309104.64000000001</v>
      </c>
      <c r="L167" s="212">
        <f>VLOOKUP($A167,MasterData!$N$62:$X$111,5,FALSE)</f>
        <v>1.4</v>
      </c>
      <c r="M167" s="211">
        <f>ROUND(L167*MasterData!$F$3,2)</f>
        <v>41496</v>
      </c>
      <c r="N167" s="212">
        <f>VLOOKUP($A167,MasterData!$N$62:$X$111,6,FALSE)</f>
        <v>1.69</v>
      </c>
      <c r="O167" s="211">
        <f>ROUND(N167*MasterData!$G$3,2)</f>
        <v>54415.3</v>
      </c>
      <c r="P167" s="212">
        <f>VLOOKUP($A167,MasterData!$N$62:$X$111,7,FALSE)</f>
        <v>0.22</v>
      </c>
      <c r="Q167" s="214">
        <f>ROUND(P167*MasterData!$H$3,2)</f>
        <v>6520.8</v>
      </c>
      <c r="R167" s="212">
        <f>VLOOKUP($A167,MasterData!$N$62:$X$111,8,FALSE)</f>
        <v>0.12</v>
      </c>
      <c r="S167" s="211">
        <f>ROUND(R167*MasterData!$I$3,2)</f>
        <v>3863.81</v>
      </c>
      <c r="T167" s="215">
        <f t="shared" si="26"/>
        <v>452098.94</v>
      </c>
      <c r="U167" s="211">
        <f>ROUND(T167*MasterData!$C$29,2)</f>
        <v>100863.27</v>
      </c>
      <c r="V167" s="211">
        <f>ROUND(T167*MasterData!$J$29,2)</f>
        <v>1672.77</v>
      </c>
      <c r="W167" s="201">
        <f t="shared" si="21"/>
        <v>552962.21</v>
      </c>
      <c r="X167" s="212">
        <f>VLOOKUP($A167,MasterData!$N$62:$X$111,10,FALSE)*52</f>
        <v>52</v>
      </c>
      <c r="Y167" s="211">
        <f>ROUND(X167*MasterData!$C$7,2)</f>
        <v>3138.72</v>
      </c>
      <c r="Z167" s="212">
        <f>VLOOKUP($A167,MasterData!$N$62:$X$111,11,FALSE)*52</f>
        <v>52</v>
      </c>
      <c r="AA167" s="211">
        <f>ROUND(Z167*MasterData!$D$7,2)</f>
        <v>2201.6799999999998</v>
      </c>
      <c r="AB167" s="215">
        <f t="shared" si="27"/>
        <v>5340.4</v>
      </c>
      <c r="AC167" s="216">
        <f>MasterData!$M$28</f>
        <v>15472.178595890411</v>
      </c>
      <c r="AD167" s="211">
        <f>MasterData!$D$30</f>
        <v>992.8</v>
      </c>
      <c r="AE167" s="211">
        <f>MasterData!$E$30</f>
        <v>2876.2</v>
      </c>
      <c r="AF167" s="211">
        <f>MasterData!$F$30</f>
        <v>0</v>
      </c>
      <c r="AG167" s="215">
        <f t="shared" si="17"/>
        <v>577643.78859589039</v>
      </c>
      <c r="AH167" s="211">
        <f>ROUND(AG167*MasterData!$G$29,2)</f>
        <v>69317.25</v>
      </c>
      <c r="AI167" s="200">
        <f>((AG167+AH167)*MasterData!$I$29)-'Model Calculator'!W167*MasterData!$I$29</f>
        <v>1673.1791490068499</v>
      </c>
      <c r="AJ167" s="201">
        <f t="shared" si="18"/>
        <v>650306.98774489725</v>
      </c>
      <c r="AK167" s="201">
        <f t="shared" si="23"/>
        <v>1874.08</v>
      </c>
    </row>
    <row r="168" spans="1:37" hidden="1">
      <c r="A168" s="197" t="s">
        <v>80</v>
      </c>
      <c r="B168" s="197" t="str">
        <f t="shared" si="24"/>
        <v>B211.5</v>
      </c>
      <c r="C168" s="197" t="s">
        <v>80</v>
      </c>
      <c r="D168" s="226" t="s">
        <v>301</v>
      </c>
      <c r="E168" s="213">
        <f>VLOOKUP($A168,MasterData!$N$62:$X$111,2,FALSE)</f>
        <v>0.18</v>
      </c>
      <c r="F168" s="214">
        <f>ROUND(E168*MasterData!$C$4,2)</f>
        <v>9297.2999999999993</v>
      </c>
      <c r="G168" s="212">
        <f>VLOOKUP($A168,MasterData!$N$62:$X$111,3,FALSE)</f>
        <v>0.66</v>
      </c>
      <c r="H168" s="214">
        <f>ROUND(G168*MasterData!$D$4,2)</f>
        <v>27401.09</v>
      </c>
      <c r="I168" s="212">
        <f t="shared" si="25"/>
        <v>11.5</v>
      </c>
      <c r="J168" s="212">
        <f>VLOOKUP($A168,MasterData!$N$62:$X$111,4,FALSE)</f>
        <v>10.1</v>
      </c>
      <c r="K168" s="214">
        <f>ROUND(J168*MasterData!$E$3,2)</f>
        <v>325203.84000000003</v>
      </c>
      <c r="L168" s="212">
        <f>VLOOKUP($A168,MasterData!$N$62:$X$111,5,FALSE)</f>
        <v>1.4</v>
      </c>
      <c r="M168" s="211">
        <f>ROUND(L168*MasterData!$F$3,2)</f>
        <v>41496</v>
      </c>
      <c r="N168" s="212">
        <f>VLOOKUP($A168,MasterData!$N$62:$X$111,6,FALSE)</f>
        <v>1.77</v>
      </c>
      <c r="O168" s="211">
        <f>ROUND(N168*MasterData!$G$3,2)</f>
        <v>56991.17</v>
      </c>
      <c r="P168" s="212">
        <f>VLOOKUP($A168,MasterData!$N$62:$X$111,7,FALSE)</f>
        <v>0.22</v>
      </c>
      <c r="Q168" s="214">
        <f>ROUND(P168*MasterData!$H$3,2)</f>
        <v>6520.8</v>
      </c>
      <c r="R168" s="212">
        <f>VLOOKUP($A168,MasterData!$N$62:$X$111,8,FALSE)</f>
        <v>0.12</v>
      </c>
      <c r="S168" s="211">
        <f>ROUND(R168*MasterData!$I$3,2)</f>
        <v>3863.81</v>
      </c>
      <c r="T168" s="215">
        <f t="shared" si="26"/>
        <v>470774.01</v>
      </c>
      <c r="U168" s="211">
        <f>ROUND(T168*MasterData!$C$29,2)</f>
        <v>105029.68</v>
      </c>
      <c r="V168" s="211">
        <f>ROUND(T168*MasterData!$J$29,2)</f>
        <v>1741.86</v>
      </c>
      <c r="W168" s="201">
        <f t="shared" si="21"/>
        <v>575803.68999999994</v>
      </c>
      <c r="X168" s="212">
        <f>VLOOKUP($A168,MasterData!$N$62:$X$111,10,FALSE)*52</f>
        <v>52</v>
      </c>
      <c r="Y168" s="211">
        <f>ROUND(X168*MasterData!$C$7,2)</f>
        <v>3138.72</v>
      </c>
      <c r="Z168" s="212">
        <f>VLOOKUP($A168,MasterData!$N$62:$X$111,11,FALSE)*52</f>
        <v>52</v>
      </c>
      <c r="AA168" s="211">
        <f>ROUND(Z168*MasterData!$D$7,2)</f>
        <v>2201.6799999999998</v>
      </c>
      <c r="AB168" s="215">
        <f t="shared" si="27"/>
        <v>5340.4</v>
      </c>
      <c r="AC168" s="216">
        <f>MasterData!$M$28</f>
        <v>15472.178595890411</v>
      </c>
      <c r="AD168" s="211">
        <f>MasterData!$D$30</f>
        <v>992.8</v>
      </c>
      <c r="AE168" s="211">
        <f>MasterData!$E$30</f>
        <v>2876.2</v>
      </c>
      <c r="AF168" s="211">
        <f>MasterData!$F$30</f>
        <v>0</v>
      </c>
      <c r="AG168" s="215">
        <f t="shared" si="17"/>
        <v>600485.26859589037</v>
      </c>
      <c r="AH168" s="211">
        <f>ROUND(AG168*MasterData!$G$29,2)</f>
        <v>72058.23</v>
      </c>
      <c r="AI168" s="200">
        <f>((AG168+AH168)*MasterData!$I$29)-'Model Calculator'!W168*MasterData!$I$29</f>
        <v>1721.9685930068499</v>
      </c>
      <c r="AJ168" s="201">
        <f t="shared" si="18"/>
        <v>676007.32718889718</v>
      </c>
      <c r="AK168" s="201">
        <f t="shared" si="23"/>
        <v>1948.15</v>
      </c>
    </row>
    <row r="169" spans="1:37" hidden="1">
      <c r="A169" s="197" t="s">
        <v>81</v>
      </c>
      <c r="B169" s="197" t="str">
        <f t="shared" si="24"/>
        <v>B212.0</v>
      </c>
      <c r="C169" s="197" t="s">
        <v>81</v>
      </c>
      <c r="D169" s="226" t="s">
        <v>301</v>
      </c>
      <c r="E169" s="213">
        <f>VLOOKUP($A169,MasterData!$N$62:$X$111,2,FALSE)</f>
        <v>0.18</v>
      </c>
      <c r="F169" s="214">
        <f>ROUND(E169*MasterData!$C$4,2)</f>
        <v>9297.2999999999993</v>
      </c>
      <c r="G169" s="212">
        <f>VLOOKUP($A169,MasterData!$N$62:$X$111,3,FALSE)</f>
        <v>0.66</v>
      </c>
      <c r="H169" s="214">
        <f>ROUND(G169*MasterData!$D$4,2)</f>
        <v>27401.09</v>
      </c>
      <c r="I169" s="212">
        <f t="shared" si="25"/>
        <v>12</v>
      </c>
      <c r="J169" s="212">
        <f>VLOOKUP($A169,MasterData!$N$62:$X$111,4,FALSE)</f>
        <v>10.6</v>
      </c>
      <c r="K169" s="214">
        <f>ROUND(J169*MasterData!$E$3,2)</f>
        <v>341303.03999999998</v>
      </c>
      <c r="L169" s="212">
        <f>VLOOKUP($A169,MasterData!$N$62:$X$111,5,FALSE)</f>
        <v>1.4</v>
      </c>
      <c r="M169" s="211">
        <f>ROUND(L169*MasterData!$F$3,2)</f>
        <v>41496</v>
      </c>
      <c r="N169" s="212">
        <f>VLOOKUP($A169,MasterData!$N$62:$X$111,6,FALSE)</f>
        <v>1.85</v>
      </c>
      <c r="O169" s="211">
        <f>ROUND(N169*MasterData!$G$3,2)</f>
        <v>59567.040000000001</v>
      </c>
      <c r="P169" s="212">
        <f>VLOOKUP($A169,MasterData!$N$62:$X$111,7,FALSE)</f>
        <v>0.22</v>
      </c>
      <c r="Q169" s="214">
        <f>ROUND(P169*MasterData!$H$3,2)</f>
        <v>6520.8</v>
      </c>
      <c r="R169" s="212">
        <f>VLOOKUP($A169,MasterData!$N$62:$X$111,8,FALSE)</f>
        <v>0.12</v>
      </c>
      <c r="S169" s="211">
        <f>ROUND(R169*MasterData!$I$3,2)</f>
        <v>3863.81</v>
      </c>
      <c r="T169" s="215">
        <f t="shared" si="26"/>
        <v>489449.07999999996</v>
      </c>
      <c r="U169" s="211">
        <f>ROUND(T169*MasterData!$C$29,2)</f>
        <v>109196.09</v>
      </c>
      <c r="V169" s="211">
        <f>ROUND(T169*MasterData!$J$29,2)</f>
        <v>1810.96</v>
      </c>
      <c r="W169" s="201">
        <f t="shared" si="21"/>
        <v>598645.16999999993</v>
      </c>
      <c r="X169" s="212">
        <f>VLOOKUP($A169,MasterData!$N$62:$X$111,10,FALSE)*52</f>
        <v>52</v>
      </c>
      <c r="Y169" s="211">
        <f>ROUND(X169*MasterData!$C$7,2)</f>
        <v>3138.72</v>
      </c>
      <c r="Z169" s="212">
        <f>VLOOKUP($A169,MasterData!$N$62:$X$111,11,FALSE)*52</f>
        <v>52</v>
      </c>
      <c r="AA169" s="211">
        <f>ROUND(Z169*MasterData!$D$7,2)</f>
        <v>2201.6799999999998</v>
      </c>
      <c r="AB169" s="215">
        <f t="shared" si="27"/>
        <v>5340.4</v>
      </c>
      <c r="AC169" s="216">
        <f>MasterData!$M$28</f>
        <v>15472.178595890411</v>
      </c>
      <c r="AD169" s="211">
        <f>MasterData!$D$30</f>
        <v>992.8</v>
      </c>
      <c r="AE169" s="211">
        <f>MasterData!$E$30</f>
        <v>2876.2</v>
      </c>
      <c r="AF169" s="211">
        <f>MasterData!$F$30</f>
        <v>0</v>
      </c>
      <c r="AG169" s="215">
        <f t="shared" si="17"/>
        <v>623326.74859589036</v>
      </c>
      <c r="AH169" s="211">
        <f>ROUND(AG169*MasterData!$G$29,2)</f>
        <v>74799.210000000006</v>
      </c>
      <c r="AI169" s="200">
        <f>((AG169+AH169)*MasterData!$I$29)-'Model Calculator'!W169*MasterData!$I$29</f>
        <v>1770.7580370068499</v>
      </c>
      <c r="AJ169" s="201">
        <f t="shared" si="18"/>
        <v>701707.67663289711</v>
      </c>
      <c r="AK169" s="201">
        <f t="shared" si="23"/>
        <v>2022.21</v>
      </c>
    </row>
    <row r="170" spans="1:37" hidden="1">
      <c r="A170" s="197" t="s">
        <v>82</v>
      </c>
      <c r="B170" s="197" t="str">
        <f t="shared" si="24"/>
        <v>B212.5</v>
      </c>
      <c r="C170" s="197" t="s">
        <v>82</v>
      </c>
      <c r="D170" s="226" t="s">
        <v>301</v>
      </c>
      <c r="E170" s="213">
        <f>VLOOKUP($A170,MasterData!$N$62:$X$111,2,FALSE)</f>
        <v>0.18</v>
      </c>
      <c r="F170" s="214">
        <f>ROUND(E170*MasterData!$C$4,2)</f>
        <v>9297.2999999999993</v>
      </c>
      <c r="G170" s="212">
        <f>VLOOKUP($A170,MasterData!$N$62:$X$111,3,FALSE)</f>
        <v>0.66</v>
      </c>
      <c r="H170" s="214">
        <f>ROUND(G170*MasterData!$D$4,2)</f>
        <v>27401.09</v>
      </c>
      <c r="I170" s="212">
        <f t="shared" si="25"/>
        <v>12.5</v>
      </c>
      <c r="J170" s="212">
        <f>VLOOKUP($A170,MasterData!$N$62:$X$111,4,FALSE)</f>
        <v>11.1</v>
      </c>
      <c r="K170" s="214">
        <f>ROUND(J170*MasterData!$E$3,2)</f>
        <v>357402.24</v>
      </c>
      <c r="L170" s="212">
        <f>VLOOKUP($A170,MasterData!$N$62:$X$111,5,FALSE)</f>
        <v>1.4</v>
      </c>
      <c r="M170" s="211">
        <f>ROUND(L170*MasterData!$F$3,2)</f>
        <v>41496</v>
      </c>
      <c r="N170" s="212">
        <f>VLOOKUP($A170,MasterData!$N$62:$X$111,6,FALSE)</f>
        <v>1.93</v>
      </c>
      <c r="O170" s="211">
        <f>ROUND(N170*MasterData!$G$3,2)</f>
        <v>62142.91</v>
      </c>
      <c r="P170" s="212">
        <f>VLOOKUP($A170,MasterData!$N$62:$X$111,7,FALSE)</f>
        <v>0.22</v>
      </c>
      <c r="Q170" s="214">
        <f>ROUND(P170*MasterData!$H$3,2)</f>
        <v>6520.8</v>
      </c>
      <c r="R170" s="212">
        <f>VLOOKUP($A170,MasterData!$N$62:$X$111,8,FALSE)</f>
        <v>0.12</v>
      </c>
      <c r="S170" s="211">
        <f>ROUND(R170*MasterData!$I$3,2)</f>
        <v>3863.81</v>
      </c>
      <c r="T170" s="215">
        <f t="shared" si="26"/>
        <v>508124.15</v>
      </c>
      <c r="U170" s="211">
        <f>ROUND(T170*MasterData!$C$29,2)</f>
        <v>113362.5</v>
      </c>
      <c r="V170" s="211">
        <f>ROUND(T170*MasterData!$J$29,2)</f>
        <v>1880.06</v>
      </c>
      <c r="W170" s="201">
        <f t="shared" si="21"/>
        <v>621486.65</v>
      </c>
      <c r="X170" s="212">
        <f>VLOOKUP($A170,MasterData!$N$62:$X$111,10,FALSE)*52</f>
        <v>52</v>
      </c>
      <c r="Y170" s="211">
        <f>ROUND(X170*MasterData!$C$7,2)</f>
        <v>3138.72</v>
      </c>
      <c r="Z170" s="212">
        <f>VLOOKUP($A170,MasterData!$N$62:$X$111,11,FALSE)*52</f>
        <v>52</v>
      </c>
      <c r="AA170" s="211">
        <f>ROUND(Z170*MasterData!$D$7,2)</f>
        <v>2201.6799999999998</v>
      </c>
      <c r="AB170" s="215">
        <f t="shared" si="27"/>
        <v>5340.4</v>
      </c>
      <c r="AC170" s="216">
        <f>MasterData!$M$28</f>
        <v>15472.178595890411</v>
      </c>
      <c r="AD170" s="211">
        <f>MasterData!$D$30</f>
        <v>992.8</v>
      </c>
      <c r="AE170" s="211">
        <f>MasterData!$E$30</f>
        <v>2876.2</v>
      </c>
      <c r="AF170" s="211">
        <f>MasterData!$F$30</f>
        <v>0</v>
      </c>
      <c r="AG170" s="215">
        <f t="shared" si="17"/>
        <v>646168.22859589045</v>
      </c>
      <c r="AH170" s="211">
        <f>ROUND(AG170*MasterData!$G$29,2)</f>
        <v>77540.19</v>
      </c>
      <c r="AI170" s="200">
        <f>((AG170+AH170)*MasterData!$I$29)-'Model Calculator'!W170*MasterData!$I$29</f>
        <v>1819.5474810068499</v>
      </c>
      <c r="AJ170" s="201">
        <f t="shared" si="18"/>
        <v>727408.0260768974</v>
      </c>
      <c r="AK170" s="201">
        <f t="shared" si="23"/>
        <v>2096.2800000000002</v>
      </c>
    </row>
    <row r="171" spans="1:37" hidden="1">
      <c r="A171" s="197" t="s">
        <v>83</v>
      </c>
      <c r="B171" s="197" t="str">
        <f t="shared" si="24"/>
        <v>B213.0</v>
      </c>
      <c r="C171" s="197" t="s">
        <v>83</v>
      </c>
      <c r="D171" s="226" t="s">
        <v>301</v>
      </c>
      <c r="E171" s="213">
        <f>VLOOKUP($A171,MasterData!$N$62:$X$111,2,FALSE)</f>
        <v>0.18</v>
      </c>
      <c r="F171" s="214">
        <f>ROUND(E171*MasterData!$C$4,2)</f>
        <v>9297.2999999999993</v>
      </c>
      <c r="G171" s="212">
        <f>VLOOKUP($A171,MasterData!$N$62:$X$111,3,FALSE)</f>
        <v>0.66</v>
      </c>
      <c r="H171" s="214">
        <f>ROUND(G171*MasterData!$D$4,2)</f>
        <v>27401.09</v>
      </c>
      <c r="I171" s="212">
        <f t="shared" si="25"/>
        <v>13</v>
      </c>
      <c r="J171" s="212">
        <f>VLOOKUP($A171,MasterData!$N$62:$X$111,4,FALSE)</f>
        <v>11.6</v>
      </c>
      <c r="K171" s="214">
        <f>ROUND(J171*MasterData!$E$3,2)</f>
        <v>373501.44</v>
      </c>
      <c r="L171" s="212">
        <f>VLOOKUP($A171,MasterData!$N$62:$X$111,5,FALSE)</f>
        <v>1.4</v>
      </c>
      <c r="M171" s="211">
        <f>ROUND(L171*MasterData!$F$3,2)</f>
        <v>41496</v>
      </c>
      <c r="N171" s="212">
        <f>VLOOKUP($A171,MasterData!$N$62:$X$111,6,FALSE)</f>
        <v>2</v>
      </c>
      <c r="O171" s="211">
        <f>ROUND(N171*MasterData!$G$3,2)</f>
        <v>64396.800000000003</v>
      </c>
      <c r="P171" s="212">
        <f>VLOOKUP($A171,MasterData!$N$62:$X$111,7,FALSE)</f>
        <v>0.22</v>
      </c>
      <c r="Q171" s="214">
        <f>ROUND(P171*MasterData!$H$3,2)</f>
        <v>6520.8</v>
      </c>
      <c r="R171" s="212">
        <f>VLOOKUP($A171,MasterData!$N$62:$X$111,8,FALSE)</f>
        <v>0.12</v>
      </c>
      <c r="S171" s="211">
        <f>ROUND(R171*MasterData!$I$3,2)</f>
        <v>3863.81</v>
      </c>
      <c r="T171" s="215">
        <f t="shared" si="26"/>
        <v>526477.24</v>
      </c>
      <c r="U171" s="211">
        <f>ROUND(T171*MasterData!$C$29,2)</f>
        <v>117457.07</v>
      </c>
      <c r="V171" s="211">
        <f>ROUND(T171*MasterData!$J$29,2)</f>
        <v>1947.97</v>
      </c>
      <c r="W171" s="201">
        <f t="shared" si="21"/>
        <v>643934.31000000006</v>
      </c>
      <c r="X171" s="212">
        <f>VLOOKUP($A171,MasterData!$N$62:$X$111,10,FALSE)*52</f>
        <v>52</v>
      </c>
      <c r="Y171" s="211">
        <f>ROUND(X171*MasterData!$C$7,2)</f>
        <v>3138.72</v>
      </c>
      <c r="Z171" s="212">
        <f>VLOOKUP($A171,MasterData!$N$62:$X$111,11,FALSE)*52</f>
        <v>52</v>
      </c>
      <c r="AA171" s="211">
        <f>ROUND(Z171*MasterData!$D$7,2)</f>
        <v>2201.6799999999998</v>
      </c>
      <c r="AB171" s="215">
        <f t="shared" si="27"/>
        <v>5340.4</v>
      </c>
      <c r="AC171" s="216">
        <f>MasterData!$M$28</f>
        <v>15472.178595890411</v>
      </c>
      <c r="AD171" s="211">
        <f>MasterData!$D$30</f>
        <v>992.8</v>
      </c>
      <c r="AE171" s="211">
        <f>MasterData!$E$30</f>
        <v>2876.2</v>
      </c>
      <c r="AF171" s="211">
        <f>MasterData!$F$30</f>
        <v>0</v>
      </c>
      <c r="AG171" s="215">
        <f t="shared" si="17"/>
        <v>668615.88859589049</v>
      </c>
      <c r="AH171" s="211">
        <f>ROUND(AG171*MasterData!$G$29,2)</f>
        <v>80233.91</v>
      </c>
      <c r="AI171" s="200">
        <f>((AG171+AH171)*MasterData!$I$29)-'Model Calculator'!W171*MasterData!$I$29</f>
        <v>1867.4956970068488</v>
      </c>
      <c r="AJ171" s="201">
        <f t="shared" si="18"/>
        <v>752665.26429289731</v>
      </c>
      <c r="AK171" s="201">
        <f t="shared" si="23"/>
        <v>2169.06</v>
      </c>
    </row>
    <row r="172" spans="1:37" hidden="1">
      <c r="A172" s="197" t="s">
        <v>84</v>
      </c>
      <c r="B172" s="197" t="str">
        <f t="shared" si="24"/>
        <v>B213.5</v>
      </c>
      <c r="C172" s="197" t="s">
        <v>84</v>
      </c>
      <c r="D172" s="226" t="s">
        <v>301</v>
      </c>
      <c r="E172" s="213">
        <f>VLOOKUP($A172,MasterData!$N$62:$X$111,2,FALSE)</f>
        <v>0.18</v>
      </c>
      <c r="F172" s="214">
        <f>ROUND(E172*MasterData!$C$4,2)</f>
        <v>9297.2999999999993</v>
      </c>
      <c r="G172" s="212">
        <f>VLOOKUP($A172,MasterData!$N$62:$X$111,3,FALSE)</f>
        <v>0.66</v>
      </c>
      <c r="H172" s="214">
        <f>ROUND(G172*MasterData!$D$4,2)</f>
        <v>27401.09</v>
      </c>
      <c r="I172" s="212">
        <f t="shared" si="25"/>
        <v>13.5</v>
      </c>
      <c r="J172" s="212">
        <f>VLOOKUP($A172,MasterData!$N$62:$X$111,4,FALSE)</f>
        <v>12.1</v>
      </c>
      <c r="K172" s="214">
        <f>ROUND(J172*MasterData!$E$3,2)</f>
        <v>389600.64</v>
      </c>
      <c r="L172" s="212">
        <f>VLOOKUP($A172,MasterData!$N$62:$X$111,5,FALSE)</f>
        <v>1.4</v>
      </c>
      <c r="M172" s="211">
        <f>ROUND(L172*MasterData!$F$3,2)</f>
        <v>41496</v>
      </c>
      <c r="N172" s="212">
        <f>VLOOKUP($A172,MasterData!$N$62:$X$111,6,FALSE)</f>
        <v>2.08</v>
      </c>
      <c r="O172" s="211">
        <f>ROUND(N172*MasterData!$G$3,2)</f>
        <v>66972.67</v>
      </c>
      <c r="P172" s="212">
        <f>VLOOKUP($A172,MasterData!$N$62:$X$111,7,FALSE)</f>
        <v>0.22</v>
      </c>
      <c r="Q172" s="214">
        <f>ROUND(P172*MasterData!$H$3,2)</f>
        <v>6520.8</v>
      </c>
      <c r="R172" s="212">
        <f>VLOOKUP($A172,MasterData!$N$62:$X$111,8,FALSE)</f>
        <v>0.12</v>
      </c>
      <c r="S172" s="211">
        <f>ROUND(R172*MasterData!$I$3,2)</f>
        <v>3863.81</v>
      </c>
      <c r="T172" s="215">
        <f t="shared" si="26"/>
        <v>545152.31000000017</v>
      </c>
      <c r="U172" s="211">
        <f>ROUND(T172*MasterData!$C$29,2)</f>
        <v>121623.48</v>
      </c>
      <c r="V172" s="211">
        <f>ROUND(T172*MasterData!$J$29,2)</f>
        <v>2017.06</v>
      </c>
      <c r="W172" s="201">
        <f t="shared" si="21"/>
        <v>666775.79000000015</v>
      </c>
      <c r="X172" s="212">
        <f>VLOOKUP($A172,MasterData!$N$62:$X$111,10,FALSE)*52</f>
        <v>52</v>
      </c>
      <c r="Y172" s="211">
        <f>ROUND(X172*MasterData!$C$7,2)</f>
        <v>3138.72</v>
      </c>
      <c r="Z172" s="212">
        <f>VLOOKUP($A172,MasterData!$N$62:$X$111,11,FALSE)*52</f>
        <v>52</v>
      </c>
      <c r="AA172" s="211">
        <f>ROUND(Z172*MasterData!$D$7,2)</f>
        <v>2201.6799999999998</v>
      </c>
      <c r="AB172" s="215">
        <f t="shared" si="27"/>
        <v>5340.4</v>
      </c>
      <c r="AC172" s="216">
        <f>MasterData!$M$28</f>
        <v>15472.178595890411</v>
      </c>
      <c r="AD172" s="211">
        <f>MasterData!$D$30</f>
        <v>992.8</v>
      </c>
      <c r="AE172" s="211">
        <f>MasterData!$E$30</f>
        <v>2876.2</v>
      </c>
      <c r="AF172" s="211">
        <f>MasterData!$F$30</f>
        <v>0</v>
      </c>
      <c r="AG172" s="215">
        <f t="shared" si="17"/>
        <v>691457.36859589058</v>
      </c>
      <c r="AH172" s="211">
        <f>ROUND(AG172*MasterData!$G$29,2)</f>
        <v>82974.880000000005</v>
      </c>
      <c r="AI172" s="200">
        <f>((AG172+AH172)*MasterData!$I$29)-'Model Calculator'!W172*MasterData!$I$29</f>
        <v>1916.2849630068486</v>
      </c>
      <c r="AJ172" s="201">
        <f t="shared" si="18"/>
        <v>778365.5935588975</v>
      </c>
      <c r="AK172" s="201">
        <f t="shared" si="23"/>
        <v>2243.13</v>
      </c>
    </row>
    <row r="173" spans="1:37" hidden="1">
      <c r="A173" s="197" t="s">
        <v>85</v>
      </c>
      <c r="B173" s="197" t="str">
        <f t="shared" si="24"/>
        <v>B214.0</v>
      </c>
      <c r="C173" s="197" t="s">
        <v>85</v>
      </c>
      <c r="D173" s="226" t="s">
        <v>301</v>
      </c>
      <c r="E173" s="213">
        <f>VLOOKUP($A173,MasterData!$N$62:$X$111,2,FALSE)</f>
        <v>0.18</v>
      </c>
      <c r="F173" s="214">
        <f>ROUND(E173*MasterData!$C$4,2)</f>
        <v>9297.2999999999993</v>
      </c>
      <c r="G173" s="212">
        <f>VLOOKUP($A173,MasterData!$N$62:$X$111,3,FALSE)</f>
        <v>0.66</v>
      </c>
      <c r="H173" s="214">
        <f>ROUND(G173*MasterData!$D$4,2)</f>
        <v>27401.09</v>
      </c>
      <c r="I173" s="212">
        <f t="shared" si="25"/>
        <v>14</v>
      </c>
      <c r="J173" s="212">
        <f>VLOOKUP($A173,MasterData!$N$62:$X$111,4,FALSE)</f>
        <v>12.6</v>
      </c>
      <c r="K173" s="214">
        <f>ROUND(J173*MasterData!$E$3,2)</f>
        <v>405699.84000000003</v>
      </c>
      <c r="L173" s="212">
        <f>VLOOKUP($A173,MasterData!$N$62:$X$111,5,FALSE)</f>
        <v>1.4</v>
      </c>
      <c r="M173" s="211">
        <f>ROUND(L173*MasterData!$F$3,2)</f>
        <v>41496</v>
      </c>
      <c r="N173" s="212">
        <f>VLOOKUP($A173,MasterData!$N$62:$X$111,6,FALSE)</f>
        <v>2.16</v>
      </c>
      <c r="O173" s="211">
        <f>ROUND(N173*MasterData!$G$3,2)</f>
        <v>69548.539999999994</v>
      </c>
      <c r="P173" s="212">
        <f>VLOOKUP($A173,MasterData!$N$62:$X$111,7,FALSE)</f>
        <v>0.22</v>
      </c>
      <c r="Q173" s="214">
        <f>ROUND(P173*MasterData!$H$3,2)</f>
        <v>6520.8</v>
      </c>
      <c r="R173" s="212">
        <f>VLOOKUP($A173,MasterData!$N$62:$X$111,8,FALSE)</f>
        <v>0.12</v>
      </c>
      <c r="S173" s="211">
        <f>ROUND(R173*MasterData!$I$3,2)</f>
        <v>3863.81</v>
      </c>
      <c r="T173" s="215">
        <f t="shared" si="26"/>
        <v>563827.38000000012</v>
      </c>
      <c r="U173" s="211">
        <f>ROUND(T173*MasterData!$C$29,2)</f>
        <v>125789.89</v>
      </c>
      <c r="V173" s="211">
        <f>ROUND(T173*MasterData!$J$29,2)</f>
        <v>2086.16</v>
      </c>
      <c r="W173" s="201">
        <f t="shared" si="21"/>
        <v>689617.27000000014</v>
      </c>
      <c r="X173" s="212">
        <f>VLOOKUP($A173,MasterData!$N$62:$X$111,10,FALSE)*52</f>
        <v>52</v>
      </c>
      <c r="Y173" s="211">
        <f>ROUND(X173*MasterData!$C$7,2)</f>
        <v>3138.72</v>
      </c>
      <c r="Z173" s="212">
        <f>VLOOKUP($A173,MasterData!$N$62:$X$111,11,FALSE)*52</f>
        <v>52</v>
      </c>
      <c r="AA173" s="211">
        <f>ROUND(Z173*MasterData!$D$7,2)</f>
        <v>2201.6799999999998</v>
      </c>
      <c r="AB173" s="215">
        <f t="shared" si="27"/>
        <v>5340.4</v>
      </c>
      <c r="AC173" s="216">
        <f>MasterData!$M$28</f>
        <v>15472.178595890411</v>
      </c>
      <c r="AD173" s="211">
        <f>MasterData!$D$30</f>
        <v>992.8</v>
      </c>
      <c r="AE173" s="211">
        <f>MasterData!$E$30</f>
        <v>2876.2</v>
      </c>
      <c r="AF173" s="211">
        <f>MasterData!$F$30</f>
        <v>0</v>
      </c>
      <c r="AG173" s="215">
        <f t="shared" si="17"/>
        <v>714298.84859589057</v>
      </c>
      <c r="AH173" s="211">
        <f>ROUND(AG173*MasterData!$G$29,2)</f>
        <v>85715.86</v>
      </c>
      <c r="AI173" s="200">
        <f>((AG173+AH173)*MasterData!$I$29)-'Model Calculator'!W173*MasterData!$I$29</f>
        <v>1965.0744070068486</v>
      </c>
      <c r="AJ173" s="201">
        <f t="shared" si="18"/>
        <v>804065.94300289743</v>
      </c>
      <c r="AK173" s="201">
        <f t="shared" si="23"/>
        <v>2317.19</v>
      </c>
    </row>
    <row r="174" spans="1:37" hidden="1">
      <c r="A174" s="197" t="s">
        <v>86</v>
      </c>
      <c r="B174" s="197" t="str">
        <f t="shared" si="24"/>
        <v>B214.5</v>
      </c>
      <c r="C174" s="197" t="s">
        <v>86</v>
      </c>
      <c r="D174" s="226" t="s">
        <v>301</v>
      </c>
      <c r="E174" s="213">
        <f>VLOOKUP($A174,MasterData!$N$62:$X$111,2,FALSE)</f>
        <v>0.18</v>
      </c>
      <c r="F174" s="214">
        <f>ROUND(E174*MasterData!$C$4,2)</f>
        <v>9297.2999999999993</v>
      </c>
      <c r="G174" s="212">
        <f>VLOOKUP($A174,MasterData!$N$62:$X$111,3,FALSE)</f>
        <v>0.66</v>
      </c>
      <c r="H174" s="214">
        <f>ROUND(G174*MasterData!$D$4,2)</f>
        <v>27401.09</v>
      </c>
      <c r="I174" s="212">
        <f t="shared" si="25"/>
        <v>14.5</v>
      </c>
      <c r="J174" s="212">
        <f>VLOOKUP($A174,MasterData!$N$62:$X$111,4,FALSE)</f>
        <v>13.1</v>
      </c>
      <c r="K174" s="214">
        <f>ROUND(J174*MasterData!$E$3,2)</f>
        <v>421799.04</v>
      </c>
      <c r="L174" s="212">
        <f>VLOOKUP($A174,MasterData!$N$62:$X$111,5,FALSE)</f>
        <v>1.4</v>
      </c>
      <c r="M174" s="211">
        <f>ROUND(L174*MasterData!$F$3,2)</f>
        <v>41496</v>
      </c>
      <c r="N174" s="212">
        <f>VLOOKUP($A174,MasterData!$N$62:$X$111,6,FALSE)</f>
        <v>2.23</v>
      </c>
      <c r="O174" s="211">
        <f>ROUND(N174*MasterData!$G$3,2)</f>
        <v>71802.429999999993</v>
      </c>
      <c r="P174" s="212">
        <f>VLOOKUP($A174,MasterData!$N$62:$X$111,7,FALSE)</f>
        <v>0.22</v>
      </c>
      <c r="Q174" s="214">
        <f>ROUND(P174*MasterData!$H$3,2)</f>
        <v>6520.8</v>
      </c>
      <c r="R174" s="212">
        <f>VLOOKUP($A174,MasterData!$N$62:$X$111,8,FALSE)</f>
        <v>0.12</v>
      </c>
      <c r="S174" s="211">
        <f>ROUND(R174*MasterData!$I$3,2)</f>
        <v>3863.81</v>
      </c>
      <c r="T174" s="215">
        <f t="shared" si="26"/>
        <v>582180.47000000009</v>
      </c>
      <c r="U174" s="211">
        <f>ROUND(T174*MasterData!$C$29,2)</f>
        <v>129884.46</v>
      </c>
      <c r="V174" s="211">
        <f>ROUND(T174*MasterData!$J$29,2)</f>
        <v>2154.0700000000002</v>
      </c>
      <c r="W174" s="201">
        <f t="shared" si="21"/>
        <v>712064.93</v>
      </c>
      <c r="X174" s="212">
        <f>VLOOKUP($A174,MasterData!$N$62:$X$111,10,FALSE)*52</f>
        <v>52</v>
      </c>
      <c r="Y174" s="211">
        <f>ROUND(X174*MasterData!$C$7,2)</f>
        <v>3138.72</v>
      </c>
      <c r="Z174" s="212">
        <f>VLOOKUP($A174,MasterData!$N$62:$X$111,11,FALSE)*52</f>
        <v>52</v>
      </c>
      <c r="AA174" s="211">
        <f>ROUND(Z174*MasterData!$D$7,2)</f>
        <v>2201.6799999999998</v>
      </c>
      <c r="AB174" s="215">
        <f t="shared" si="27"/>
        <v>5340.4</v>
      </c>
      <c r="AC174" s="216">
        <f>MasterData!$M$28</f>
        <v>15472.178595890411</v>
      </c>
      <c r="AD174" s="211">
        <f>MasterData!$D$30</f>
        <v>992.8</v>
      </c>
      <c r="AE174" s="211">
        <f>MasterData!$E$30</f>
        <v>2876.2</v>
      </c>
      <c r="AF174" s="211">
        <f>MasterData!$F$30</f>
        <v>0</v>
      </c>
      <c r="AG174" s="215">
        <f t="shared" si="17"/>
        <v>736746.50859589048</v>
      </c>
      <c r="AH174" s="211">
        <f>ROUND(AG174*MasterData!$G$29,2)</f>
        <v>88409.58</v>
      </c>
      <c r="AI174" s="200">
        <f>((AG174+AH174)*MasterData!$I$29)-'Model Calculator'!W174*MasterData!$I$29</f>
        <v>2013.0226230068474</v>
      </c>
      <c r="AJ174" s="201">
        <f t="shared" si="18"/>
        <v>829323.18121889723</v>
      </c>
      <c r="AK174" s="201">
        <f t="shared" si="23"/>
        <v>2389.98</v>
      </c>
    </row>
    <row r="175" spans="1:37" hidden="1">
      <c r="A175" s="197" t="s">
        <v>87</v>
      </c>
      <c r="B175" s="197" t="str">
        <f t="shared" si="24"/>
        <v>B215.0</v>
      </c>
      <c r="C175" s="197" t="s">
        <v>87</v>
      </c>
      <c r="D175" s="226" t="s">
        <v>301</v>
      </c>
      <c r="E175" s="213">
        <f>VLOOKUP($A175,MasterData!$N$62:$X$111,2,FALSE)</f>
        <v>0.18</v>
      </c>
      <c r="F175" s="214">
        <f>ROUND(E175*MasterData!$C$4,2)</f>
        <v>9297.2999999999993</v>
      </c>
      <c r="G175" s="212">
        <f>VLOOKUP($A175,MasterData!$N$62:$X$111,3,FALSE)</f>
        <v>0.66</v>
      </c>
      <c r="H175" s="214">
        <f>ROUND(G175*MasterData!$D$4,2)</f>
        <v>27401.09</v>
      </c>
      <c r="I175" s="212">
        <f t="shared" si="25"/>
        <v>15</v>
      </c>
      <c r="J175" s="212">
        <f>VLOOKUP($A175,MasterData!$N$62:$X$111,4,FALSE)</f>
        <v>13.6</v>
      </c>
      <c r="K175" s="214">
        <f>ROUND(J175*MasterData!$E$3,2)</f>
        <v>437898.23999999999</v>
      </c>
      <c r="L175" s="212">
        <f>VLOOKUP($A175,MasterData!$N$62:$X$111,5,FALSE)</f>
        <v>1.4</v>
      </c>
      <c r="M175" s="211">
        <f>ROUND(L175*MasterData!$F$3,2)</f>
        <v>41496</v>
      </c>
      <c r="N175" s="212">
        <f>VLOOKUP($A175,MasterData!$N$62:$X$111,6,FALSE)</f>
        <v>2.31</v>
      </c>
      <c r="O175" s="211">
        <f>ROUND(N175*MasterData!$G$3,2)</f>
        <v>74378.3</v>
      </c>
      <c r="P175" s="212">
        <f>VLOOKUP($A175,MasterData!$N$62:$X$111,7,FALSE)</f>
        <v>0.22</v>
      </c>
      <c r="Q175" s="214">
        <f>ROUND(P175*MasterData!$H$3,2)</f>
        <v>6520.8</v>
      </c>
      <c r="R175" s="212">
        <f>VLOOKUP($A175,MasterData!$N$62:$X$111,8,FALSE)</f>
        <v>0.12</v>
      </c>
      <c r="S175" s="211">
        <f>ROUND(R175*MasterData!$I$3,2)</f>
        <v>3863.81</v>
      </c>
      <c r="T175" s="215">
        <f t="shared" si="26"/>
        <v>600855.54000000015</v>
      </c>
      <c r="U175" s="211">
        <f>ROUND(T175*MasterData!$C$29,2)</f>
        <v>134050.87</v>
      </c>
      <c r="V175" s="211">
        <f>ROUND(T175*MasterData!$J$29,2)</f>
        <v>2223.17</v>
      </c>
      <c r="W175" s="201">
        <f t="shared" si="21"/>
        <v>734906.41000000015</v>
      </c>
      <c r="X175" s="212">
        <f>VLOOKUP($A175,MasterData!$N$62:$X$111,10,FALSE)*52</f>
        <v>52</v>
      </c>
      <c r="Y175" s="211">
        <f>ROUND(X175*MasterData!$C$7,2)</f>
        <v>3138.72</v>
      </c>
      <c r="Z175" s="212">
        <f>VLOOKUP($A175,MasterData!$N$62:$X$111,11,FALSE)*52</f>
        <v>52</v>
      </c>
      <c r="AA175" s="211">
        <f>ROUND(Z175*MasterData!$D$7,2)</f>
        <v>2201.6799999999998</v>
      </c>
      <c r="AB175" s="215">
        <f t="shared" si="27"/>
        <v>5340.4</v>
      </c>
      <c r="AC175" s="216">
        <f>MasterData!$M$28</f>
        <v>15472.178595890411</v>
      </c>
      <c r="AD175" s="211">
        <f>MasterData!$D$30</f>
        <v>992.8</v>
      </c>
      <c r="AE175" s="211">
        <f>MasterData!$E$30</f>
        <v>2876.2</v>
      </c>
      <c r="AF175" s="211">
        <f>MasterData!$F$30</f>
        <v>0</v>
      </c>
      <c r="AG175" s="215">
        <f t="shared" si="17"/>
        <v>759587.98859589058</v>
      </c>
      <c r="AH175" s="211">
        <f>ROUND(AG175*MasterData!$G$29,2)</f>
        <v>91150.56</v>
      </c>
      <c r="AI175" s="200">
        <f>((AG175+AH175)*MasterData!$I$29)-'Model Calculator'!W175*MasterData!$I$29</f>
        <v>2061.8120670068511</v>
      </c>
      <c r="AJ175" s="201">
        <f t="shared" si="18"/>
        <v>855023.53066289751</v>
      </c>
      <c r="AK175" s="201">
        <f t="shared" si="23"/>
        <v>2464.04</v>
      </c>
    </row>
    <row r="176" spans="1:37" s="210" customFormat="1" hidden="1">
      <c r="A176" s="204" t="s">
        <v>88</v>
      </c>
      <c r="B176" s="197" t="str">
        <f t="shared" si="24"/>
        <v>B215.5</v>
      </c>
      <c r="C176" s="204" t="s">
        <v>88</v>
      </c>
      <c r="D176" s="227" t="s">
        <v>301</v>
      </c>
      <c r="E176" s="204">
        <f>VLOOKUP($A176,MasterData!$N$62:$X$111,2,FALSE)</f>
        <v>0.18</v>
      </c>
      <c r="F176" s="205">
        <f>ROUND(E176*MasterData!$C$4,2)</f>
        <v>9297.2999999999993</v>
      </c>
      <c r="G176" s="206">
        <f>VLOOKUP($A176,MasterData!$N$62:$X$111,3,FALSE)</f>
        <v>0.66</v>
      </c>
      <c r="H176" s="205">
        <f>ROUND(G176*MasterData!$D$4,2)</f>
        <v>27401.09</v>
      </c>
      <c r="I176" s="206">
        <f t="shared" si="25"/>
        <v>15.5</v>
      </c>
      <c r="J176" s="206">
        <f>VLOOKUP($A176,MasterData!$N$62:$X$111,4,FALSE)</f>
        <v>14.1</v>
      </c>
      <c r="K176" s="205">
        <f>ROUND(J176*MasterData!$E$3,2)</f>
        <v>453997.44</v>
      </c>
      <c r="L176" s="206">
        <f>VLOOKUP($A176,MasterData!$N$62:$X$111,5,FALSE)</f>
        <v>1.4</v>
      </c>
      <c r="M176" s="207">
        <f>ROUND(L176*MasterData!$F$3,2)</f>
        <v>41496</v>
      </c>
      <c r="N176" s="206">
        <f>VLOOKUP($A176,MasterData!$N$62:$X$111,6,FALSE)</f>
        <v>2.39</v>
      </c>
      <c r="O176" s="207">
        <f>ROUND(N176*MasterData!$G$3,2)</f>
        <v>76954.179999999993</v>
      </c>
      <c r="P176" s="206">
        <f>VLOOKUP($A176,MasterData!$N$62:$X$111,7,FALSE)</f>
        <v>0.22</v>
      </c>
      <c r="Q176" s="205">
        <f>ROUND(P176*MasterData!$H$3,2)</f>
        <v>6520.8</v>
      </c>
      <c r="R176" s="206">
        <f>VLOOKUP($A176,MasterData!$N$62:$X$111,8,FALSE)</f>
        <v>0.12</v>
      </c>
      <c r="S176" s="207">
        <f>ROUND(R176*MasterData!$I$3,2)</f>
        <v>3863.81</v>
      </c>
      <c r="T176" s="208">
        <f t="shared" si="26"/>
        <v>619530.62000000011</v>
      </c>
      <c r="U176" s="207">
        <f>ROUND(T176*MasterData!$C$29,2)</f>
        <v>138217.28</v>
      </c>
      <c r="V176" s="207">
        <f>ROUND(T176*MasterData!$J$29,2)</f>
        <v>2292.2600000000002</v>
      </c>
      <c r="W176" s="201">
        <f t="shared" si="21"/>
        <v>757747.90000000014</v>
      </c>
      <c r="X176" s="206">
        <f>VLOOKUP($A176,MasterData!$N$62:$X$111,10,FALSE)*52</f>
        <v>52</v>
      </c>
      <c r="Y176" s="207">
        <f>ROUND(X176*MasterData!$C$7,2)</f>
        <v>3138.72</v>
      </c>
      <c r="Z176" s="206">
        <f>VLOOKUP($A176,MasterData!$N$62:$X$111,11,FALSE)*52</f>
        <v>52</v>
      </c>
      <c r="AA176" s="207">
        <f>ROUND(Z176*MasterData!$D$7,2)</f>
        <v>2201.6799999999998</v>
      </c>
      <c r="AB176" s="208">
        <f t="shared" si="27"/>
        <v>5340.4</v>
      </c>
      <c r="AC176" s="209">
        <f>MasterData!$M$28</f>
        <v>15472.178595890411</v>
      </c>
      <c r="AD176" s="207">
        <f>MasterData!$D$30</f>
        <v>992.8</v>
      </c>
      <c r="AE176" s="207">
        <f>MasterData!$E$30</f>
        <v>2876.2</v>
      </c>
      <c r="AF176" s="207">
        <f>MasterData!$F$30</f>
        <v>0</v>
      </c>
      <c r="AG176" s="208">
        <f t="shared" si="17"/>
        <v>782429.47859589057</v>
      </c>
      <c r="AH176" s="207">
        <f>ROUND(AG176*MasterData!$G$29,2)</f>
        <v>93891.54</v>
      </c>
      <c r="AI176" s="200">
        <f>((AG176+AH176)*MasterData!$I$29)-'Model Calculator'!W176*MasterData!$I$29</f>
        <v>2110.6015110068493</v>
      </c>
      <c r="AJ176" s="201">
        <f t="shared" si="18"/>
        <v>880723.88010689744</v>
      </c>
      <c r="AK176" s="201">
        <f t="shared" si="23"/>
        <v>2538.11</v>
      </c>
    </row>
    <row r="177" spans="1:37">
      <c r="A177" s="197" t="s">
        <v>89</v>
      </c>
      <c r="B177" s="197" t="str">
        <f t="shared" si="24"/>
        <v>I203.5</v>
      </c>
      <c r="C177" s="197" t="s">
        <v>89</v>
      </c>
      <c r="D177" s="226" t="s">
        <v>301</v>
      </c>
      <c r="E177" s="213">
        <f>VLOOKUP($A177,MasterData!$N$62:$X$111,2,FALSE)</f>
        <v>0.18</v>
      </c>
      <c r="F177" s="214">
        <f>ROUND(E177*MasterData!$C$4,2)</f>
        <v>9297.2999999999993</v>
      </c>
      <c r="G177" s="212">
        <f>VLOOKUP($A177,MasterData!$N$62:$X$111,3,FALSE)</f>
        <v>0.66</v>
      </c>
      <c r="H177" s="214">
        <f>ROUND(G177*MasterData!$D$4,2)</f>
        <v>27401.09</v>
      </c>
      <c r="I177" s="212">
        <f t="shared" si="25"/>
        <v>3.5</v>
      </c>
      <c r="J177" s="212">
        <f>VLOOKUP($A177,MasterData!$N$62:$X$111,4,FALSE)</f>
        <v>2.1</v>
      </c>
      <c r="K177" s="214">
        <f>ROUND(J177*MasterData!$E$4,2)</f>
        <v>69963.600000000006</v>
      </c>
      <c r="L177" s="212">
        <f>VLOOKUP($A177,MasterData!$N$62:$X$111,5,FALSE)</f>
        <v>1.4</v>
      </c>
      <c r="M177" s="211">
        <f>ROUND(L177*MasterData!$F$4,2)</f>
        <v>41496</v>
      </c>
      <c r="N177" s="212">
        <f>VLOOKUP($A177,MasterData!$N$62:$X$111,6,FALSE)</f>
        <v>0.54</v>
      </c>
      <c r="O177" s="211">
        <f>ROUND(N177*MasterData!$G$4,2)</f>
        <v>17990.64</v>
      </c>
      <c r="P177" s="212">
        <f>VLOOKUP($A177,MasterData!$N$62:$X$111,7,FALSE)</f>
        <v>0.22</v>
      </c>
      <c r="Q177" s="214">
        <f>ROUND(P177*MasterData!$H$4,2)</f>
        <v>6520.8</v>
      </c>
      <c r="R177" s="212">
        <f>VLOOKUP($A177,MasterData!$N$62:$X$111,8,FALSE)</f>
        <v>0.12</v>
      </c>
      <c r="S177" s="211">
        <f>ROUND(R177*MasterData!$I$4,2)</f>
        <v>3863.81</v>
      </c>
      <c r="T177" s="215">
        <f t="shared" si="26"/>
        <v>176533.24</v>
      </c>
      <c r="U177" s="211">
        <f>ROUND(T177*MasterData!$C$29,2)</f>
        <v>39384.57</v>
      </c>
      <c r="V177" s="211">
        <f>ROUND(T177*MasterData!$J$29,2)</f>
        <v>653.16999999999996</v>
      </c>
      <c r="W177" s="201">
        <f t="shared" si="21"/>
        <v>215917.81</v>
      </c>
      <c r="X177" s="212">
        <f>VLOOKUP($A177,MasterData!$N$62:$X$111,10,FALSE)*52</f>
        <v>52</v>
      </c>
      <c r="Y177" s="211">
        <f>ROUND(X177*MasterData!$C$7,2)</f>
        <v>3138.72</v>
      </c>
      <c r="Z177" s="212">
        <f>VLOOKUP($A177,MasterData!$N$62:$X$111,11,FALSE)*52</f>
        <v>156</v>
      </c>
      <c r="AA177" s="211">
        <f>ROUND(Z177*MasterData!$D$7,2)</f>
        <v>6605.04</v>
      </c>
      <c r="AB177" s="215">
        <f t="shared" si="27"/>
        <v>9743.76</v>
      </c>
      <c r="AC177" s="216">
        <f>MasterData!$M$28</f>
        <v>15472.178595890411</v>
      </c>
      <c r="AD177" s="211">
        <f>MasterData!$D$30</f>
        <v>992.8</v>
      </c>
      <c r="AE177" s="211">
        <f>MasterData!$E$30</f>
        <v>2876.2</v>
      </c>
      <c r="AF177" s="211">
        <f>MasterData!$F$30</f>
        <v>0</v>
      </c>
      <c r="AG177" s="215">
        <f t="shared" si="17"/>
        <v>245002.74859589041</v>
      </c>
      <c r="AH177" s="211">
        <f>ROUND(AG177*MasterData!$G$29,2)</f>
        <v>29400.33</v>
      </c>
      <c r="AI177" s="200">
        <f>((AG177+AH177)*MasterData!$I$29)-'Model Calculator'!W177*MasterData!$I$29</f>
        <v>1041.0377810068499</v>
      </c>
      <c r="AJ177" s="201">
        <f t="shared" si="18"/>
        <v>276097.28637689725</v>
      </c>
      <c r="AK177" s="201">
        <f t="shared" si="23"/>
        <v>795.67</v>
      </c>
    </row>
    <row r="178" spans="1:37">
      <c r="A178" s="197" t="s">
        <v>90</v>
      </c>
      <c r="B178" s="197" t="str">
        <f t="shared" si="24"/>
        <v>I204.0</v>
      </c>
      <c r="C178" s="197" t="s">
        <v>90</v>
      </c>
      <c r="D178" s="226" t="s">
        <v>301</v>
      </c>
      <c r="E178" s="213">
        <f>VLOOKUP($A178,MasterData!$N$62:$X$111,2,FALSE)</f>
        <v>0.18</v>
      </c>
      <c r="F178" s="214">
        <f>ROUND(E178*MasterData!$C$4,2)</f>
        <v>9297.2999999999993</v>
      </c>
      <c r="G178" s="212">
        <f>VLOOKUP($A178,MasterData!$N$62:$X$111,3,FALSE)</f>
        <v>0.66</v>
      </c>
      <c r="H178" s="214">
        <f>ROUND(G178*MasterData!$D$4,2)</f>
        <v>27401.09</v>
      </c>
      <c r="I178" s="212">
        <f t="shared" si="25"/>
        <v>4</v>
      </c>
      <c r="J178" s="212">
        <f>VLOOKUP($A178,MasterData!$N$62:$X$111,4,FALSE)</f>
        <v>2.6</v>
      </c>
      <c r="K178" s="214">
        <f>ROUND(J178*MasterData!$E$4,2)</f>
        <v>86621.6</v>
      </c>
      <c r="L178" s="212">
        <f>VLOOKUP($A178,MasterData!$N$62:$X$111,5,FALSE)</f>
        <v>1.4</v>
      </c>
      <c r="M178" s="211">
        <f>ROUND(L178*MasterData!$F$4,2)</f>
        <v>41496</v>
      </c>
      <c r="N178" s="212">
        <f>VLOOKUP($A178,MasterData!$N$62:$X$111,6,FALSE)</f>
        <v>0.62</v>
      </c>
      <c r="O178" s="211">
        <f>ROUND(N178*MasterData!$G$4,2)</f>
        <v>20655.919999999998</v>
      </c>
      <c r="P178" s="212">
        <f>VLOOKUP($A178,MasterData!$N$62:$X$111,7,FALSE)</f>
        <v>0.22</v>
      </c>
      <c r="Q178" s="214">
        <f>ROUND(P178*MasterData!$H$4,2)</f>
        <v>6520.8</v>
      </c>
      <c r="R178" s="212">
        <f>VLOOKUP($A178,MasterData!$N$62:$X$111,8,FALSE)</f>
        <v>0.12</v>
      </c>
      <c r="S178" s="211">
        <f>ROUND(R178*MasterData!$I$4,2)</f>
        <v>3863.81</v>
      </c>
      <c r="T178" s="215">
        <f t="shared" si="26"/>
        <v>195856.51999999996</v>
      </c>
      <c r="U178" s="211">
        <f>ROUND(T178*MasterData!$C$29,2)</f>
        <v>43695.59</v>
      </c>
      <c r="V178" s="211">
        <f>ROUND(T178*MasterData!$J$29,2)</f>
        <v>724.67</v>
      </c>
      <c r="W178" s="201">
        <f t="shared" si="21"/>
        <v>239552.10999999996</v>
      </c>
      <c r="X178" s="212">
        <f>VLOOKUP($A178,MasterData!$N$62:$X$111,10,FALSE)*52</f>
        <v>52</v>
      </c>
      <c r="Y178" s="211">
        <f>ROUND(X178*MasterData!$C$7,2)</f>
        <v>3138.72</v>
      </c>
      <c r="Z178" s="212">
        <f>VLOOKUP($A178,MasterData!$N$62:$X$111,11,FALSE)*52</f>
        <v>156</v>
      </c>
      <c r="AA178" s="211">
        <f>ROUND(Z178*MasterData!$D$7,2)</f>
        <v>6605.04</v>
      </c>
      <c r="AB178" s="215">
        <f t="shared" si="27"/>
        <v>9743.76</v>
      </c>
      <c r="AC178" s="216">
        <f>MasterData!$M$28</f>
        <v>15472.178595890411</v>
      </c>
      <c r="AD178" s="211">
        <f>MasterData!$D$30</f>
        <v>992.8</v>
      </c>
      <c r="AE178" s="211">
        <f>MasterData!$E$30</f>
        <v>2876.2</v>
      </c>
      <c r="AF178" s="211">
        <f>MasterData!$F$30</f>
        <v>0</v>
      </c>
      <c r="AG178" s="215">
        <f t="shared" si="17"/>
        <v>268637.0485958904</v>
      </c>
      <c r="AH178" s="211">
        <f>ROUND(AG178*MasterData!$G$29,2)</f>
        <v>32236.45</v>
      </c>
      <c r="AI178" s="200">
        <f>((AG178+AH178)*MasterData!$I$29)-'Model Calculator'!W178*MasterData!$I$29</f>
        <v>1091.5207170068506</v>
      </c>
      <c r="AJ178" s="201">
        <f t="shared" si="18"/>
        <v>302689.68931289727</v>
      </c>
      <c r="AK178" s="201">
        <f t="shared" si="23"/>
        <v>872.3</v>
      </c>
    </row>
    <row r="179" spans="1:37">
      <c r="A179" s="197" t="s">
        <v>91</v>
      </c>
      <c r="B179" s="197" t="str">
        <f t="shared" si="24"/>
        <v>I204.5</v>
      </c>
      <c r="C179" s="197" t="s">
        <v>91</v>
      </c>
      <c r="D179" s="226" t="s">
        <v>301</v>
      </c>
      <c r="E179" s="213">
        <f>VLOOKUP($A179,MasterData!$N$62:$X$111,2,FALSE)</f>
        <v>0.18</v>
      </c>
      <c r="F179" s="214">
        <f>ROUND(E179*MasterData!$C$4,2)</f>
        <v>9297.2999999999993</v>
      </c>
      <c r="G179" s="212">
        <f>VLOOKUP($A179,MasterData!$N$62:$X$111,3,FALSE)</f>
        <v>0.66</v>
      </c>
      <c r="H179" s="214">
        <f>ROUND(G179*MasterData!$D$4,2)</f>
        <v>27401.09</v>
      </c>
      <c r="I179" s="212">
        <f t="shared" si="25"/>
        <v>4.5</v>
      </c>
      <c r="J179" s="212">
        <f>VLOOKUP($A179,MasterData!$N$62:$X$111,4,FALSE)</f>
        <v>3.1</v>
      </c>
      <c r="K179" s="214">
        <f>ROUND(J179*MasterData!$E$4,2)</f>
        <v>103279.6</v>
      </c>
      <c r="L179" s="212">
        <f>VLOOKUP($A179,MasterData!$N$62:$X$111,5,FALSE)</f>
        <v>1.4</v>
      </c>
      <c r="M179" s="211">
        <f>ROUND(L179*MasterData!$F$4,2)</f>
        <v>41496</v>
      </c>
      <c r="N179" s="212">
        <f>VLOOKUP($A179,MasterData!$N$62:$X$111,6,FALSE)</f>
        <v>0.69</v>
      </c>
      <c r="O179" s="211">
        <f>ROUND(N179*MasterData!$G$4,2)</f>
        <v>22988.04</v>
      </c>
      <c r="P179" s="212">
        <f>VLOOKUP($A179,MasterData!$N$62:$X$111,7,FALSE)</f>
        <v>0.22</v>
      </c>
      <c r="Q179" s="214">
        <f>ROUND(P179*MasterData!$H$4,2)</f>
        <v>6520.8</v>
      </c>
      <c r="R179" s="212">
        <f>VLOOKUP($A179,MasterData!$N$62:$X$111,8,FALSE)</f>
        <v>0.12</v>
      </c>
      <c r="S179" s="211">
        <f>ROUND(R179*MasterData!$I$4,2)</f>
        <v>3863.81</v>
      </c>
      <c r="T179" s="215">
        <f t="shared" si="26"/>
        <v>214846.63999999998</v>
      </c>
      <c r="U179" s="211">
        <f>ROUND(T179*MasterData!$C$29,2)</f>
        <v>47932.29</v>
      </c>
      <c r="V179" s="211">
        <f>ROUND(T179*MasterData!$J$29,2)</f>
        <v>794.93</v>
      </c>
      <c r="W179" s="201">
        <f t="shared" si="21"/>
        <v>262778.93</v>
      </c>
      <c r="X179" s="212">
        <f>VLOOKUP($A179,MasterData!$N$62:$X$111,10,FALSE)*52</f>
        <v>52</v>
      </c>
      <c r="Y179" s="211">
        <f>ROUND(X179*MasterData!$C$7,2)</f>
        <v>3138.72</v>
      </c>
      <c r="Z179" s="212">
        <f>VLOOKUP($A179,MasterData!$N$62:$X$111,11,FALSE)*52</f>
        <v>156</v>
      </c>
      <c r="AA179" s="211">
        <f>ROUND(Z179*MasterData!$D$7,2)</f>
        <v>6605.04</v>
      </c>
      <c r="AB179" s="215">
        <f t="shared" si="27"/>
        <v>9743.76</v>
      </c>
      <c r="AC179" s="216">
        <f>MasterData!$M$28</f>
        <v>15472.178595890411</v>
      </c>
      <c r="AD179" s="211">
        <f>MasterData!$D$30</f>
        <v>992.8</v>
      </c>
      <c r="AE179" s="211">
        <f>MasterData!$E$30</f>
        <v>2876.2</v>
      </c>
      <c r="AF179" s="211">
        <f>MasterData!$F$30</f>
        <v>0</v>
      </c>
      <c r="AG179" s="215">
        <f t="shared" si="17"/>
        <v>291863.86859589041</v>
      </c>
      <c r="AH179" s="211">
        <f>ROUND(AG179*MasterData!$G$29,2)</f>
        <v>35023.660000000003</v>
      </c>
      <c r="AI179" s="200">
        <f>((AG179+AH179)*MasterData!$I$29)-'Model Calculator'!W179*MasterData!$I$29</f>
        <v>1141.1330550068487</v>
      </c>
      <c r="AJ179" s="201">
        <f t="shared" si="18"/>
        <v>328823.59165089723</v>
      </c>
      <c r="AK179" s="201">
        <f t="shared" si="23"/>
        <v>947.62</v>
      </c>
    </row>
    <row r="180" spans="1:37">
      <c r="A180" s="197" t="s">
        <v>92</v>
      </c>
      <c r="B180" s="197" t="str">
        <f t="shared" si="24"/>
        <v>I205.0</v>
      </c>
      <c r="C180" s="197" t="s">
        <v>92</v>
      </c>
      <c r="D180" s="226" t="s">
        <v>301</v>
      </c>
      <c r="E180" s="213">
        <f>VLOOKUP($A180,MasterData!$N$62:$X$111,2,FALSE)</f>
        <v>0.18</v>
      </c>
      <c r="F180" s="214">
        <f>ROUND(E180*MasterData!$C$4,2)</f>
        <v>9297.2999999999993</v>
      </c>
      <c r="G180" s="212">
        <f>VLOOKUP($A180,MasterData!$N$62:$X$111,3,FALSE)</f>
        <v>0.66</v>
      </c>
      <c r="H180" s="214">
        <f>ROUND(G180*MasterData!$D$4,2)</f>
        <v>27401.09</v>
      </c>
      <c r="I180" s="212">
        <f t="shared" si="25"/>
        <v>5</v>
      </c>
      <c r="J180" s="212">
        <f>VLOOKUP($A180,MasterData!$N$62:$X$111,4,FALSE)</f>
        <v>3.6</v>
      </c>
      <c r="K180" s="214">
        <f>ROUND(J180*MasterData!$E$4,2)</f>
        <v>119937.60000000001</v>
      </c>
      <c r="L180" s="212">
        <f>VLOOKUP($A180,MasterData!$N$62:$X$111,5,FALSE)</f>
        <v>1.4</v>
      </c>
      <c r="M180" s="211">
        <f>ROUND(L180*MasterData!$F$4,2)</f>
        <v>41496</v>
      </c>
      <c r="N180" s="212">
        <f>VLOOKUP($A180,MasterData!$N$62:$X$111,6,FALSE)</f>
        <v>0.77</v>
      </c>
      <c r="O180" s="211">
        <f>ROUND(N180*MasterData!$G$4,2)</f>
        <v>25653.32</v>
      </c>
      <c r="P180" s="212">
        <f>VLOOKUP($A180,MasterData!$N$62:$X$111,7,FALSE)</f>
        <v>0.22</v>
      </c>
      <c r="Q180" s="214">
        <f>ROUND(P180*MasterData!$H$4,2)</f>
        <v>6520.8</v>
      </c>
      <c r="R180" s="212">
        <f>VLOOKUP($A180,MasterData!$N$62:$X$111,8,FALSE)</f>
        <v>0.12</v>
      </c>
      <c r="S180" s="211">
        <f>ROUND(R180*MasterData!$I$4,2)</f>
        <v>3863.81</v>
      </c>
      <c r="T180" s="215">
        <f t="shared" si="26"/>
        <v>234169.91999999998</v>
      </c>
      <c r="U180" s="211">
        <f>ROUND(T180*MasterData!$C$29,2)</f>
        <v>52243.31</v>
      </c>
      <c r="V180" s="211">
        <f>ROUND(T180*MasterData!$J$29,2)</f>
        <v>866.43</v>
      </c>
      <c r="W180" s="201">
        <f t="shared" si="21"/>
        <v>286413.23</v>
      </c>
      <c r="X180" s="212">
        <f>VLOOKUP($A180,MasterData!$N$62:$X$111,10,FALSE)*52</f>
        <v>52</v>
      </c>
      <c r="Y180" s="211">
        <f>ROUND(X180*MasterData!$C$7,2)</f>
        <v>3138.72</v>
      </c>
      <c r="Z180" s="212">
        <f>VLOOKUP($A180,MasterData!$N$62:$X$111,11,FALSE)*52</f>
        <v>156</v>
      </c>
      <c r="AA180" s="211">
        <f>ROUND(Z180*MasterData!$D$7,2)</f>
        <v>6605.04</v>
      </c>
      <c r="AB180" s="215">
        <f t="shared" si="27"/>
        <v>9743.76</v>
      </c>
      <c r="AC180" s="216">
        <f>MasterData!$M$28</f>
        <v>15472.178595890411</v>
      </c>
      <c r="AD180" s="211">
        <f>MasterData!$D$30</f>
        <v>992.8</v>
      </c>
      <c r="AE180" s="211">
        <f>MasterData!$E$30</f>
        <v>2876.2</v>
      </c>
      <c r="AF180" s="211">
        <f>MasterData!$F$30</f>
        <v>0</v>
      </c>
      <c r="AG180" s="215">
        <f t="shared" si="17"/>
        <v>315498.1685958904</v>
      </c>
      <c r="AH180" s="211">
        <f>ROUND(AG180*MasterData!$G$29,2)</f>
        <v>37859.78</v>
      </c>
      <c r="AI180" s="200">
        <f>((AG180+AH180)*MasterData!$I$29)-'Model Calculator'!W180*MasterData!$I$29</f>
        <v>1191.61599100685</v>
      </c>
      <c r="AJ180" s="201">
        <f t="shared" si="18"/>
        <v>355415.99458689726</v>
      </c>
      <c r="AK180" s="201">
        <f t="shared" si="23"/>
        <v>1024.25</v>
      </c>
    </row>
    <row r="181" spans="1:37">
      <c r="A181" s="197" t="s">
        <v>93</v>
      </c>
      <c r="B181" s="197" t="str">
        <f t="shared" si="24"/>
        <v>I205.5</v>
      </c>
      <c r="C181" s="197" t="s">
        <v>93</v>
      </c>
      <c r="D181" s="226" t="s">
        <v>301</v>
      </c>
      <c r="E181" s="213">
        <f>VLOOKUP($A181,MasterData!$N$62:$X$111,2,FALSE)</f>
        <v>0.18</v>
      </c>
      <c r="F181" s="214">
        <f>ROUND(E181*MasterData!$C$4,2)</f>
        <v>9297.2999999999993</v>
      </c>
      <c r="G181" s="212">
        <f>VLOOKUP($A181,MasterData!$N$62:$X$111,3,FALSE)</f>
        <v>0.66</v>
      </c>
      <c r="H181" s="214">
        <f>ROUND(G181*MasterData!$D$4,2)</f>
        <v>27401.09</v>
      </c>
      <c r="I181" s="212">
        <f t="shared" si="25"/>
        <v>5.5</v>
      </c>
      <c r="J181" s="212">
        <f>VLOOKUP($A181,MasterData!$N$62:$X$111,4,FALSE)</f>
        <v>4.0999999999999996</v>
      </c>
      <c r="K181" s="214">
        <f>ROUND(J181*MasterData!$E$4,2)</f>
        <v>136595.6</v>
      </c>
      <c r="L181" s="212">
        <f>VLOOKUP($A181,MasterData!$N$62:$X$111,5,FALSE)</f>
        <v>1.4</v>
      </c>
      <c r="M181" s="211">
        <f>ROUND(L181*MasterData!$F$4,2)</f>
        <v>41496</v>
      </c>
      <c r="N181" s="212">
        <f>VLOOKUP($A181,MasterData!$N$62:$X$111,6,FALSE)</f>
        <v>0.85</v>
      </c>
      <c r="O181" s="211">
        <f>ROUND(N181*MasterData!$G$4,2)</f>
        <v>28318.6</v>
      </c>
      <c r="P181" s="212">
        <f>VLOOKUP($A181,MasterData!$N$62:$X$111,7,FALSE)</f>
        <v>0.22</v>
      </c>
      <c r="Q181" s="214">
        <f>ROUND(P181*MasterData!$H$4,2)</f>
        <v>6520.8</v>
      </c>
      <c r="R181" s="212">
        <f>VLOOKUP($A181,MasterData!$N$62:$X$111,8,FALSE)</f>
        <v>0.12</v>
      </c>
      <c r="S181" s="211">
        <f>ROUND(R181*MasterData!$I$4,2)</f>
        <v>3863.81</v>
      </c>
      <c r="T181" s="215">
        <f t="shared" si="26"/>
        <v>253493.19999999998</v>
      </c>
      <c r="U181" s="211">
        <f>ROUND(T181*MasterData!$C$29,2)</f>
        <v>56554.33</v>
      </c>
      <c r="V181" s="211">
        <f>ROUND(T181*MasterData!$J$29,2)</f>
        <v>937.92</v>
      </c>
      <c r="W181" s="201">
        <f t="shared" si="21"/>
        <v>310047.52999999997</v>
      </c>
      <c r="X181" s="212">
        <f>VLOOKUP($A181,MasterData!$N$62:$X$111,10,FALSE)*52</f>
        <v>52</v>
      </c>
      <c r="Y181" s="211">
        <f>ROUND(X181*MasterData!$C$7,2)</f>
        <v>3138.72</v>
      </c>
      <c r="Z181" s="212">
        <f>VLOOKUP($A181,MasterData!$N$62:$X$111,11,FALSE)*52</f>
        <v>156</v>
      </c>
      <c r="AA181" s="211">
        <f>ROUND(Z181*MasterData!$D$7,2)</f>
        <v>6605.04</v>
      </c>
      <c r="AB181" s="215">
        <f t="shared" si="27"/>
        <v>9743.76</v>
      </c>
      <c r="AC181" s="216">
        <f>MasterData!$M$28</f>
        <v>15472.178595890411</v>
      </c>
      <c r="AD181" s="211">
        <f>MasterData!$D$30</f>
        <v>992.8</v>
      </c>
      <c r="AE181" s="211">
        <f>MasterData!$E$30</f>
        <v>2876.2</v>
      </c>
      <c r="AF181" s="211">
        <f>MasterData!$F$30</f>
        <v>0</v>
      </c>
      <c r="AG181" s="215">
        <f t="shared" si="17"/>
        <v>339132.46859589039</v>
      </c>
      <c r="AH181" s="211">
        <f>ROUND(AG181*MasterData!$G$29,2)</f>
        <v>40695.9</v>
      </c>
      <c r="AI181" s="200">
        <f>((AG181+AH181)*MasterData!$I$29)-'Model Calculator'!W181*MasterData!$I$29</f>
        <v>1242.0989270068503</v>
      </c>
      <c r="AJ181" s="201">
        <f t="shared" si="18"/>
        <v>382008.38752289722</v>
      </c>
      <c r="AK181" s="201">
        <f t="shared" si="23"/>
        <v>1100.8900000000001</v>
      </c>
    </row>
    <row r="182" spans="1:37">
      <c r="A182" s="197" t="s">
        <v>213</v>
      </c>
      <c r="B182" s="197" t="str">
        <f t="shared" si="24"/>
        <v>I206.0</v>
      </c>
      <c r="C182" s="197" t="s">
        <v>213</v>
      </c>
      <c r="D182" s="226" t="s">
        <v>301</v>
      </c>
      <c r="E182" s="213">
        <f>VLOOKUP($A182,MasterData!$N$62:$X$111,2,FALSE)</f>
        <v>0.18</v>
      </c>
      <c r="F182" s="214">
        <f>ROUND(E182*MasterData!$C$4,2)</f>
        <v>9297.2999999999993</v>
      </c>
      <c r="G182" s="212">
        <f>VLOOKUP($A182,MasterData!$N$62:$X$111,3,FALSE)</f>
        <v>0.66</v>
      </c>
      <c r="H182" s="214">
        <f>ROUND(G182*MasterData!$D$4,2)</f>
        <v>27401.09</v>
      </c>
      <c r="I182" s="212">
        <f t="shared" si="25"/>
        <v>6</v>
      </c>
      <c r="J182" s="212">
        <f>VLOOKUP($A182,MasterData!$N$62:$X$111,4,FALSE)</f>
        <v>4.5999999999999996</v>
      </c>
      <c r="K182" s="214">
        <f>ROUND(J182*MasterData!$E$4,2)</f>
        <v>153253.6</v>
      </c>
      <c r="L182" s="212">
        <f>VLOOKUP($A182,MasterData!$N$62:$X$111,5,FALSE)</f>
        <v>1.4</v>
      </c>
      <c r="M182" s="211">
        <f>ROUND(L182*MasterData!$F$4,2)</f>
        <v>41496</v>
      </c>
      <c r="N182" s="212">
        <f>VLOOKUP($A182,MasterData!$N$62:$X$111,6,FALSE)</f>
        <v>0.92</v>
      </c>
      <c r="O182" s="211">
        <f>ROUND(N182*MasterData!$G$4,2)</f>
        <v>30650.720000000001</v>
      </c>
      <c r="P182" s="212">
        <f>VLOOKUP($A182,MasterData!$N$62:$X$111,7,FALSE)</f>
        <v>0.22</v>
      </c>
      <c r="Q182" s="214">
        <f>ROUND(P182*MasterData!$H$4,2)</f>
        <v>6520.8</v>
      </c>
      <c r="R182" s="212">
        <f>VLOOKUP($A182,MasterData!$N$62:$X$111,8,FALSE)</f>
        <v>0.12</v>
      </c>
      <c r="S182" s="211">
        <f>ROUND(R182*MasterData!$I$4,2)</f>
        <v>3863.81</v>
      </c>
      <c r="T182" s="215">
        <f t="shared" si="26"/>
        <v>272483.32</v>
      </c>
      <c r="U182" s="211">
        <f>ROUND(T182*MasterData!$C$29,2)</f>
        <v>60791.03</v>
      </c>
      <c r="V182" s="211">
        <f>ROUND(T182*MasterData!$J$29,2)</f>
        <v>1008.19</v>
      </c>
      <c r="W182" s="201">
        <f t="shared" si="21"/>
        <v>333274.34999999998</v>
      </c>
      <c r="X182" s="212">
        <f>VLOOKUP($A182,MasterData!$N$62:$X$111,10,FALSE)*52</f>
        <v>52</v>
      </c>
      <c r="Y182" s="211">
        <f>ROUND(X182*MasterData!$C$7,2)</f>
        <v>3138.72</v>
      </c>
      <c r="Z182" s="212">
        <f>VLOOKUP($A182,MasterData!$N$62:$X$111,11,FALSE)*52</f>
        <v>156</v>
      </c>
      <c r="AA182" s="211">
        <f>ROUND(Z182*MasterData!$D$7,2)</f>
        <v>6605.04</v>
      </c>
      <c r="AB182" s="215">
        <f t="shared" si="27"/>
        <v>9743.76</v>
      </c>
      <c r="AC182" s="216">
        <f>MasterData!$M$28</f>
        <v>15472.178595890411</v>
      </c>
      <c r="AD182" s="211">
        <f>MasterData!$D$30</f>
        <v>992.8</v>
      </c>
      <c r="AE182" s="211">
        <f>MasterData!$E$30</f>
        <v>2876.2</v>
      </c>
      <c r="AF182" s="211">
        <f>MasterData!$F$30</f>
        <v>0</v>
      </c>
      <c r="AG182" s="215">
        <f t="shared" si="17"/>
        <v>362359.28859589039</v>
      </c>
      <c r="AH182" s="211">
        <f>ROUND(AG182*MasterData!$G$29,2)</f>
        <v>43483.11</v>
      </c>
      <c r="AI182" s="200">
        <f>((AG182+AH182)*MasterData!$I$29)-'Model Calculator'!W182*MasterData!$I$29</f>
        <v>1291.7112650068493</v>
      </c>
      <c r="AJ182" s="201">
        <f t="shared" si="18"/>
        <v>408142.29986089724</v>
      </c>
      <c r="AK182" s="201">
        <f t="shared" si="23"/>
        <v>1176.2</v>
      </c>
    </row>
    <row r="183" spans="1:37">
      <c r="A183" s="197" t="s">
        <v>94</v>
      </c>
      <c r="B183" s="197" t="str">
        <f t="shared" si="24"/>
        <v>I206.5</v>
      </c>
      <c r="C183" s="197" t="s">
        <v>94</v>
      </c>
      <c r="D183" s="226" t="s">
        <v>301</v>
      </c>
      <c r="E183" s="213">
        <f>VLOOKUP($A183,MasterData!$N$62:$X$111,2,FALSE)</f>
        <v>0.18</v>
      </c>
      <c r="F183" s="214">
        <f>ROUND(E183*MasterData!$C$4,2)</f>
        <v>9297.2999999999993</v>
      </c>
      <c r="G183" s="212">
        <f>VLOOKUP($A183,MasterData!$N$62:$X$111,3,FALSE)</f>
        <v>0.66</v>
      </c>
      <c r="H183" s="214">
        <f>ROUND(G183*MasterData!$D$4,2)</f>
        <v>27401.09</v>
      </c>
      <c r="I183" s="212">
        <f t="shared" si="25"/>
        <v>6.5</v>
      </c>
      <c r="J183" s="212">
        <f>VLOOKUP($A183,MasterData!$N$62:$X$111,4,FALSE)</f>
        <v>5.0999999999999996</v>
      </c>
      <c r="K183" s="214">
        <f>ROUND(J183*MasterData!$E$4,2)</f>
        <v>169911.6</v>
      </c>
      <c r="L183" s="212">
        <f>VLOOKUP($A183,MasterData!$N$62:$X$111,5,FALSE)</f>
        <v>1.4</v>
      </c>
      <c r="M183" s="211">
        <f>ROUND(L183*MasterData!$F$4,2)</f>
        <v>41496</v>
      </c>
      <c r="N183" s="212">
        <f>VLOOKUP($A183,MasterData!$N$62:$X$111,6,FALSE)</f>
        <v>1</v>
      </c>
      <c r="O183" s="211">
        <f>ROUND(N183*MasterData!$G$4,2)</f>
        <v>33316</v>
      </c>
      <c r="P183" s="212">
        <f>VLOOKUP($A183,MasterData!$N$62:$X$111,7,FALSE)</f>
        <v>0.22</v>
      </c>
      <c r="Q183" s="214">
        <f>ROUND(P183*MasterData!$H$4,2)</f>
        <v>6520.8</v>
      </c>
      <c r="R183" s="212">
        <f>VLOOKUP($A183,MasterData!$N$62:$X$111,8,FALSE)</f>
        <v>0.12</v>
      </c>
      <c r="S183" s="211">
        <f>ROUND(R183*MasterData!$I$4,2)</f>
        <v>3863.81</v>
      </c>
      <c r="T183" s="215">
        <f t="shared" si="26"/>
        <v>291806.59999999998</v>
      </c>
      <c r="U183" s="211">
        <f>ROUND(T183*MasterData!$C$29,2)</f>
        <v>65102.05</v>
      </c>
      <c r="V183" s="211">
        <f>ROUND(T183*MasterData!$J$29,2)</f>
        <v>1079.68</v>
      </c>
      <c r="W183" s="201">
        <f t="shared" si="21"/>
        <v>356908.64999999997</v>
      </c>
      <c r="X183" s="212">
        <f>VLOOKUP($A183,MasterData!$N$62:$X$111,10,FALSE)*52</f>
        <v>52</v>
      </c>
      <c r="Y183" s="211">
        <f>ROUND(X183*MasterData!$C$7,2)</f>
        <v>3138.72</v>
      </c>
      <c r="Z183" s="212">
        <f>VLOOKUP($A183,MasterData!$N$62:$X$111,11,FALSE)*52</f>
        <v>156</v>
      </c>
      <c r="AA183" s="211">
        <f>ROUND(Z183*MasterData!$D$7,2)</f>
        <v>6605.04</v>
      </c>
      <c r="AB183" s="215">
        <f t="shared" si="27"/>
        <v>9743.76</v>
      </c>
      <c r="AC183" s="216">
        <f>MasterData!$M$28</f>
        <v>15472.178595890411</v>
      </c>
      <c r="AD183" s="211">
        <f>MasterData!$D$30</f>
        <v>992.8</v>
      </c>
      <c r="AE183" s="211">
        <f>MasterData!$E$30</f>
        <v>2876.2</v>
      </c>
      <c r="AF183" s="211">
        <f>MasterData!$F$30</f>
        <v>0</v>
      </c>
      <c r="AG183" s="215">
        <f t="shared" si="17"/>
        <v>385993.58859589038</v>
      </c>
      <c r="AH183" s="211">
        <f>ROUND(AG183*MasterData!$G$29,2)</f>
        <v>46319.23</v>
      </c>
      <c r="AI183" s="200">
        <f>((AG183+AH183)*MasterData!$I$29)-'Model Calculator'!W183*MasterData!$I$29</f>
        <v>1342.1942010068497</v>
      </c>
      <c r="AJ183" s="201">
        <f t="shared" si="18"/>
        <v>434734.6927968972</v>
      </c>
      <c r="AK183" s="201">
        <f t="shared" si="23"/>
        <v>1252.8399999999999</v>
      </c>
    </row>
    <row r="184" spans="1:37">
      <c r="A184" s="197" t="s">
        <v>95</v>
      </c>
      <c r="B184" s="197" t="str">
        <f t="shared" si="24"/>
        <v>I207.0</v>
      </c>
      <c r="C184" s="197" t="s">
        <v>95</v>
      </c>
      <c r="D184" s="226" t="s">
        <v>301</v>
      </c>
      <c r="E184" s="213">
        <f>VLOOKUP($A184,MasterData!$N$62:$X$111,2,FALSE)</f>
        <v>0.18</v>
      </c>
      <c r="F184" s="214">
        <f>ROUND(E184*MasterData!$C$4,2)</f>
        <v>9297.2999999999993</v>
      </c>
      <c r="G184" s="212">
        <f>VLOOKUP($A184,MasterData!$N$62:$X$111,3,FALSE)</f>
        <v>0.66</v>
      </c>
      <c r="H184" s="214">
        <f>ROUND(G184*MasterData!$D$4,2)</f>
        <v>27401.09</v>
      </c>
      <c r="I184" s="212">
        <f t="shared" si="25"/>
        <v>7</v>
      </c>
      <c r="J184" s="212">
        <f>VLOOKUP($A184,MasterData!$N$62:$X$111,4,FALSE)</f>
        <v>5.6</v>
      </c>
      <c r="K184" s="214">
        <f>ROUND(J184*MasterData!$E$4,2)</f>
        <v>186569.60000000001</v>
      </c>
      <c r="L184" s="212">
        <f>VLOOKUP($A184,MasterData!$N$62:$X$111,5,FALSE)</f>
        <v>1.4</v>
      </c>
      <c r="M184" s="211">
        <f>ROUND(L184*MasterData!$F$4,2)</f>
        <v>41496</v>
      </c>
      <c r="N184" s="212">
        <f>VLOOKUP($A184,MasterData!$N$62:$X$111,6,FALSE)</f>
        <v>1.08</v>
      </c>
      <c r="O184" s="211">
        <f>ROUND(N184*MasterData!$G$4,2)</f>
        <v>35981.279999999999</v>
      </c>
      <c r="P184" s="212">
        <f>VLOOKUP($A184,MasterData!$N$62:$X$111,7,FALSE)</f>
        <v>0.22</v>
      </c>
      <c r="Q184" s="214">
        <f>ROUND(P184*MasterData!$H$4,2)</f>
        <v>6520.8</v>
      </c>
      <c r="R184" s="212">
        <f>VLOOKUP($A184,MasterData!$N$62:$X$111,8,FALSE)</f>
        <v>0.12</v>
      </c>
      <c r="S184" s="211">
        <f>ROUND(R184*MasterData!$I$4,2)</f>
        <v>3863.81</v>
      </c>
      <c r="T184" s="215">
        <f t="shared" si="26"/>
        <v>311129.88</v>
      </c>
      <c r="U184" s="211">
        <f>ROUND(T184*MasterData!$C$29,2)</f>
        <v>69413.08</v>
      </c>
      <c r="V184" s="211">
        <f>ROUND(T184*MasterData!$J$29,2)</f>
        <v>1151.18</v>
      </c>
      <c r="W184" s="201">
        <f t="shared" si="21"/>
        <v>380542.96</v>
      </c>
      <c r="X184" s="212">
        <f>VLOOKUP($A184,MasterData!$N$62:$X$111,10,FALSE)*52</f>
        <v>52</v>
      </c>
      <c r="Y184" s="211">
        <f>ROUND(X184*MasterData!$C$7,2)</f>
        <v>3138.72</v>
      </c>
      <c r="Z184" s="212">
        <f>VLOOKUP($A184,MasterData!$N$62:$X$111,11,FALSE)*52</f>
        <v>156</v>
      </c>
      <c r="AA184" s="211">
        <f>ROUND(Z184*MasterData!$D$7,2)</f>
        <v>6605.04</v>
      </c>
      <c r="AB184" s="215">
        <f t="shared" si="27"/>
        <v>9743.76</v>
      </c>
      <c r="AC184" s="216">
        <f>MasterData!$M$28</f>
        <v>15472.178595890411</v>
      </c>
      <c r="AD184" s="211">
        <f>MasterData!$D$30</f>
        <v>992.8</v>
      </c>
      <c r="AE184" s="211">
        <f>MasterData!$E$30</f>
        <v>2876.2</v>
      </c>
      <c r="AF184" s="211">
        <f>MasterData!$F$30</f>
        <v>0</v>
      </c>
      <c r="AG184" s="215">
        <f t="shared" si="17"/>
        <v>409627.89859589044</v>
      </c>
      <c r="AH184" s="211">
        <f>ROUND(AG184*MasterData!$G$29,2)</f>
        <v>49155.35</v>
      </c>
      <c r="AI184" s="200">
        <f>((AG184+AH184)*MasterData!$I$29)-'Model Calculator'!W184*MasterData!$I$29</f>
        <v>1392.6771370068482</v>
      </c>
      <c r="AJ184" s="201">
        <f t="shared" si="18"/>
        <v>461327.10573289724</v>
      </c>
      <c r="AK184" s="201">
        <f t="shared" si="23"/>
        <v>1329.47</v>
      </c>
    </row>
    <row r="185" spans="1:37">
      <c r="A185" s="197" t="s">
        <v>96</v>
      </c>
      <c r="B185" s="197" t="str">
        <f t="shared" si="24"/>
        <v>I207.5</v>
      </c>
      <c r="C185" s="197" t="s">
        <v>96</v>
      </c>
      <c r="D185" s="226" t="s">
        <v>301</v>
      </c>
      <c r="E185" s="213">
        <f>VLOOKUP($A185,MasterData!$N$62:$X$111,2,FALSE)</f>
        <v>0.18</v>
      </c>
      <c r="F185" s="214">
        <f>ROUND(E185*MasterData!$C$4,2)</f>
        <v>9297.2999999999993</v>
      </c>
      <c r="G185" s="212">
        <f>VLOOKUP($A185,MasterData!$N$62:$X$111,3,FALSE)</f>
        <v>0.66</v>
      </c>
      <c r="H185" s="214">
        <f>ROUND(G185*MasterData!$D$4,2)</f>
        <v>27401.09</v>
      </c>
      <c r="I185" s="212">
        <f t="shared" si="25"/>
        <v>7.5</v>
      </c>
      <c r="J185" s="212">
        <f>VLOOKUP($A185,MasterData!$N$62:$X$111,4,FALSE)</f>
        <v>6.1</v>
      </c>
      <c r="K185" s="214">
        <f>ROUND(J185*MasterData!$E$4,2)</f>
        <v>203227.6</v>
      </c>
      <c r="L185" s="212">
        <f>VLOOKUP($A185,MasterData!$N$62:$X$111,5,FALSE)</f>
        <v>1.4</v>
      </c>
      <c r="M185" s="211">
        <f>ROUND(L185*MasterData!$F$4,2)</f>
        <v>41496</v>
      </c>
      <c r="N185" s="212">
        <f>VLOOKUP($A185,MasterData!$N$62:$X$111,6,FALSE)</f>
        <v>1.1599999999999999</v>
      </c>
      <c r="O185" s="211">
        <f>ROUND(N185*MasterData!$G$4,2)</f>
        <v>38646.559999999998</v>
      </c>
      <c r="P185" s="212">
        <f>VLOOKUP($A185,MasterData!$N$62:$X$111,7,FALSE)</f>
        <v>0.22</v>
      </c>
      <c r="Q185" s="214">
        <f>ROUND(P185*MasterData!$H$4,2)</f>
        <v>6520.8</v>
      </c>
      <c r="R185" s="212">
        <f>VLOOKUP($A185,MasterData!$N$62:$X$111,8,FALSE)</f>
        <v>0.12</v>
      </c>
      <c r="S185" s="211">
        <f>ROUND(R185*MasterData!$I$4,2)</f>
        <v>3863.81</v>
      </c>
      <c r="T185" s="215">
        <f t="shared" si="26"/>
        <v>330453.15999999997</v>
      </c>
      <c r="U185" s="211">
        <f>ROUND(T185*MasterData!$C$29,2)</f>
        <v>73724.100000000006</v>
      </c>
      <c r="V185" s="211">
        <f>ROUND(T185*MasterData!$J$29,2)</f>
        <v>1222.68</v>
      </c>
      <c r="W185" s="201">
        <f t="shared" si="21"/>
        <v>404177.26</v>
      </c>
      <c r="X185" s="212">
        <f>VLOOKUP($A185,MasterData!$N$62:$X$111,10,FALSE)*52</f>
        <v>52</v>
      </c>
      <c r="Y185" s="211">
        <f>ROUND(X185*MasterData!$C$7,2)</f>
        <v>3138.72</v>
      </c>
      <c r="Z185" s="212">
        <f>VLOOKUP($A185,MasterData!$N$62:$X$111,11,FALSE)*52</f>
        <v>156</v>
      </c>
      <c r="AA185" s="211">
        <f>ROUND(Z185*MasterData!$D$7,2)</f>
        <v>6605.04</v>
      </c>
      <c r="AB185" s="215">
        <f t="shared" si="27"/>
        <v>9743.76</v>
      </c>
      <c r="AC185" s="216">
        <f>MasterData!$M$28</f>
        <v>15472.178595890411</v>
      </c>
      <c r="AD185" s="211">
        <f>MasterData!$D$30</f>
        <v>992.8</v>
      </c>
      <c r="AE185" s="211">
        <f>MasterData!$E$30</f>
        <v>2876.2</v>
      </c>
      <c r="AF185" s="211">
        <f>MasterData!$F$30</f>
        <v>0</v>
      </c>
      <c r="AG185" s="215">
        <f t="shared" si="17"/>
        <v>433262.19859589043</v>
      </c>
      <c r="AH185" s="211">
        <f>ROUND(AG185*MasterData!$G$29,2)</f>
        <v>51991.46</v>
      </c>
      <c r="AI185" s="200">
        <f>((AG185+AH185)*MasterData!$I$29)-'Model Calculator'!W185*MasterData!$I$29</f>
        <v>1443.1598950068492</v>
      </c>
      <c r="AJ185" s="201">
        <f t="shared" si="18"/>
        <v>487919.4984908973</v>
      </c>
      <c r="AK185" s="201">
        <f t="shared" si="23"/>
        <v>1406.11</v>
      </c>
    </row>
    <row r="186" spans="1:37">
      <c r="A186" s="197" t="s">
        <v>97</v>
      </c>
      <c r="B186" s="197" t="str">
        <f t="shared" si="24"/>
        <v>I208.0</v>
      </c>
      <c r="C186" s="197" t="s">
        <v>97</v>
      </c>
      <c r="D186" s="226" t="s">
        <v>301</v>
      </c>
      <c r="E186" s="213">
        <f>VLOOKUP($A186,MasterData!$N$62:$X$111,2,FALSE)</f>
        <v>0.18</v>
      </c>
      <c r="F186" s="214">
        <f>ROUND(E186*MasterData!$C$4,2)</f>
        <v>9297.2999999999993</v>
      </c>
      <c r="G186" s="212">
        <f>VLOOKUP($A186,MasterData!$N$62:$X$111,3,FALSE)</f>
        <v>0.66</v>
      </c>
      <c r="H186" s="214">
        <f>ROUND(G186*MasterData!$D$4,2)</f>
        <v>27401.09</v>
      </c>
      <c r="I186" s="212">
        <f t="shared" si="25"/>
        <v>8</v>
      </c>
      <c r="J186" s="212">
        <f>VLOOKUP($A186,MasterData!$N$62:$X$111,4,FALSE)</f>
        <v>6.6</v>
      </c>
      <c r="K186" s="214">
        <f>ROUND(J186*MasterData!$E$4,2)</f>
        <v>219885.6</v>
      </c>
      <c r="L186" s="212">
        <f>VLOOKUP($A186,MasterData!$N$62:$X$111,5,FALSE)</f>
        <v>1.4</v>
      </c>
      <c r="M186" s="211">
        <f>ROUND(L186*MasterData!$F$4,2)</f>
        <v>41496</v>
      </c>
      <c r="N186" s="212">
        <f>VLOOKUP($A186,MasterData!$N$62:$X$111,6,FALSE)</f>
        <v>1.23</v>
      </c>
      <c r="O186" s="211">
        <f>ROUND(N186*MasterData!$G$4,2)</f>
        <v>40978.68</v>
      </c>
      <c r="P186" s="212">
        <f>VLOOKUP($A186,MasterData!$N$62:$X$111,7,FALSE)</f>
        <v>0.22</v>
      </c>
      <c r="Q186" s="214">
        <f>ROUND(P186*MasterData!$H$4,2)</f>
        <v>6520.8</v>
      </c>
      <c r="R186" s="212">
        <f>VLOOKUP($A186,MasterData!$N$62:$X$111,8,FALSE)</f>
        <v>0.12</v>
      </c>
      <c r="S186" s="211">
        <f>ROUND(R186*MasterData!$I$4,2)</f>
        <v>3863.81</v>
      </c>
      <c r="T186" s="215">
        <f t="shared" si="26"/>
        <v>349443.27999999997</v>
      </c>
      <c r="U186" s="211">
        <f>ROUND(T186*MasterData!$C$29,2)</f>
        <v>77960.800000000003</v>
      </c>
      <c r="V186" s="211">
        <f>ROUND(T186*MasterData!$J$29,2)</f>
        <v>1292.94</v>
      </c>
      <c r="W186" s="201">
        <f t="shared" si="21"/>
        <v>427404.07999999996</v>
      </c>
      <c r="X186" s="212">
        <f>VLOOKUP($A186,MasterData!$N$62:$X$111,10,FALSE)*52</f>
        <v>52</v>
      </c>
      <c r="Y186" s="211">
        <f>ROUND(X186*MasterData!$C$7,2)</f>
        <v>3138.72</v>
      </c>
      <c r="Z186" s="212">
        <f>VLOOKUP($A186,MasterData!$N$62:$X$111,11,FALSE)*52</f>
        <v>156</v>
      </c>
      <c r="AA186" s="211">
        <f>ROUND(Z186*MasterData!$D$7,2)</f>
        <v>6605.04</v>
      </c>
      <c r="AB186" s="215">
        <f t="shared" si="27"/>
        <v>9743.76</v>
      </c>
      <c r="AC186" s="216">
        <f>MasterData!$M$28</f>
        <v>15472.178595890411</v>
      </c>
      <c r="AD186" s="211">
        <f>MasterData!$D$30</f>
        <v>992.8</v>
      </c>
      <c r="AE186" s="211">
        <f>MasterData!$E$30</f>
        <v>2876.2</v>
      </c>
      <c r="AF186" s="211">
        <f>MasterData!$F$30</f>
        <v>0</v>
      </c>
      <c r="AG186" s="215">
        <f t="shared" si="17"/>
        <v>456489.01859589037</v>
      </c>
      <c r="AH186" s="211">
        <f>ROUND(AG186*MasterData!$G$29,2)</f>
        <v>54778.68</v>
      </c>
      <c r="AI186" s="200">
        <f>((AG186+AH186)*MasterData!$I$29)-'Model Calculator'!W186*MasterData!$I$29</f>
        <v>1492.7724110068493</v>
      </c>
      <c r="AJ186" s="201">
        <f t="shared" si="18"/>
        <v>514053.41100689722</v>
      </c>
      <c r="AK186" s="201">
        <f t="shared" si="23"/>
        <v>1481.42</v>
      </c>
    </row>
    <row r="187" spans="1:37">
      <c r="A187" s="197" t="s">
        <v>98</v>
      </c>
      <c r="B187" s="197" t="str">
        <f t="shared" si="24"/>
        <v>I208.5</v>
      </c>
      <c r="C187" s="197" t="s">
        <v>98</v>
      </c>
      <c r="D187" s="226" t="s">
        <v>301</v>
      </c>
      <c r="E187" s="213">
        <f>VLOOKUP($A187,MasterData!$N$62:$X$111,2,FALSE)</f>
        <v>0.18</v>
      </c>
      <c r="F187" s="214">
        <f>ROUND(E187*MasterData!$C$4,2)</f>
        <v>9297.2999999999993</v>
      </c>
      <c r="G187" s="212">
        <f>VLOOKUP($A187,MasterData!$N$62:$X$111,3,FALSE)</f>
        <v>0.66</v>
      </c>
      <c r="H187" s="214">
        <f>ROUND(G187*MasterData!$D$4,2)</f>
        <v>27401.09</v>
      </c>
      <c r="I187" s="212">
        <f t="shared" si="25"/>
        <v>8.5</v>
      </c>
      <c r="J187" s="212">
        <f>VLOOKUP($A187,MasterData!$N$62:$X$111,4,FALSE)</f>
        <v>7.1</v>
      </c>
      <c r="K187" s="214">
        <f>ROUND(J187*MasterData!$E$4,2)</f>
        <v>236543.6</v>
      </c>
      <c r="L187" s="212">
        <f>VLOOKUP($A187,MasterData!$N$62:$X$111,5,FALSE)</f>
        <v>1.4</v>
      </c>
      <c r="M187" s="211">
        <f>ROUND(L187*MasterData!$F$4,2)</f>
        <v>41496</v>
      </c>
      <c r="N187" s="212">
        <f>VLOOKUP($A187,MasterData!$N$62:$X$111,6,FALSE)</f>
        <v>1.31</v>
      </c>
      <c r="O187" s="211">
        <f>ROUND(N187*MasterData!$G$4,2)</f>
        <v>43643.96</v>
      </c>
      <c r="P187" s="212">
        <f>VLOOKUP($A187,MasterData!$N$62:$X$111,7,FALSE)</f>
        <v>0.22</v>
      </c>
      <c r="Q187" s="214">
        <f>ROUND(P187*MasterData!$H$4,2)</f>
        <v>6520.8</v>
      </c>
      <c r="R187" s="212">
        <f>VLOOKUP($A187,MasterData!$N$62:$X$111,8,FALSE)</f>
        <v>0.12</v>
      </c>
      <c r="S187" s="211">
        <f>ROUND(R187*MasterData!$I$4,2)</f>
        <v>3863.81</v>
      </c>
      <c r="T187" s="215">
        <f t="shared" si="26"/>
        <v>368766.56</v>
      </c>
      <c r="U187" s="211">
        <f>ROUND(T187*MasterData!$C$29,2)</f>
        <v>82271.820000000007</v>
      </c>
      <c r="V187" s="211">
        <f>ROUND(T187*MasterData!$J$29,2)</f>
        <v>1364.44</v>
      </c>
      <c r="W187" s="201">
        <f t="shared" si="21"/>
        <v>451038.38</v>
      </c>
      <c r="X187" s="212">
        <f>VLOOKUP($A187,MasterData!$N$62:$X$111,10,FALSE)*52</f>
        <v>52</v>
      </c>
      <c r="Y187" s="211">
        <f>ROUND(X187*MasterData!$C$7,2)</f>
        <v>3138.72</v>
      </c>
      <c r="Z187" s="212">
        <f>VLOOKUP($A187,MasterData!$N$62:$X$111,11,FALSE)*52</f>
        <v>156</v>
      </c>
      <c r="AA187" s="211">
        <f>ROUND(Z187*MasterData!$D$7,2)</f>
        <v>6605.04</v>
      </c>
      <c r="AB187" s="215">
        <f t="shared" si="27"/>
        <v>9743.76</v>
      </c>
      <c r="AC187" s="216">
        <f>MasterData!$M$28</f>
        <v>15472.178595890411</v>
      </c>
      <c r="AD187" s="211">
        <f>MasterData!$D$30</f>
        <v>992.8</v>
      </c>
      <c r="AE187" s="211">
        <f>MasterData!$E$30</f>
        <v>2876.2</v>
      </c>
      <c r="AF187" s="211">
        <f>MasterData!$F$30</f>
        <v>0</v>
      </c>
      <c r="AG187" s="215">
        <f t="shared" si="17"/>
        <v>480123.31859589042</v>
      </c>
      <c r="AH187" s="211">
        <f>ROUND(AG187*MasterData!$G$29,2)</f>
        <v>57614.8</v>
      </c>
      <c r="AI187" s="200">
        <f>((AG187+AH187)*MasterData!$I$29)-'Model Calculator'!W187*MasterData!$I$29</f>
        <v>1543.2553470068497</v>
      </c>
      <c r="AJ187" s="201">
        <f t="shared" si="18"/>
        <v>540645.81394289725</v>
      </c>
      <c r="AK187" s="201">
        <f t="shared" si="23"/>
        <v>1558.06</v>
      </c>
    </row>
    <row r="188" spans="1:37">
      <c r="A188" s="197" t="s">
        <v>99</v>
      </c>
      <c r="B188" s="197" t="str">
        <f t="shared" si="24"/>
        <v>I209.0</v>
      </c>
      <c r="C188" s="197" t="s">
        <v>99</v>
      </c>
      <c r="D188" s="226" t="s">
        <v>301</v>
      </c>
      <c r="E188" s="213">
        <f>VLOOKUP($A188,MasterData!$N$62:$X$111,2,FALSE)</f>
        <v>0.18</v>
      </c>
      <c r="F188" s="214">
        <f>ROUND(E188*MasterData!$C$4,2)</f>
        <v>9297.2999999999993</v>
      </c>
      <c r="G188" s="212">
        <f>VLOOKUP($A188,MasterData!$N$62:$X$111,3,FALSE)</f>
        <v>0.66</v>
      </c>
      <c r="H188" s="214">
        <f>ROUND(G188*MasterData!$D$4,2)</f>
        <v>27401.09</v>
      </c>
      <c r="I188" s="212">
        <f t="shared" si="25"/>
        <v>9</v>
      </c>
      <c r="J188" s="212">
        <f>VLOOKUP($A188,MasterData!$N$62:$X$111,4,FALSE)</f>
        <v>7.6</v>
      </c>
      <c r="K188" s="214">
        <f>ROUND(J188*MasterData!$E$4,2)</f>
        <v>253201.6</v>
      </c>
      <c r="L188" s="212">
        <f>VLOOKUP($A188,MasterData!$N$62:$X$111,5,FALSE)</f>
        <v>1.4</v>
      </c>
      <c r="M188" s="211">
        <f>ROUND(L188*MasterData!$F$4,2)</f>
        <v>41496</v>
      </c>
      <c r="N188" s="212">
        <f>VLOOKUP($A188,MasterData!$N$62:$X$111,6,FALSE)</f>
        <v>1.39</v>
      </c>
      <c r="O188" s="211">
        <f>ROUND(N188*MasterData!$G$4,2)</f>
        <v>46309.24</v>
      </c>
      <c r="P188" s="212">
        <f>VLOOKUP($A188,MasterData!$N$62:$X$111,7,FALSE)</f>
        <v>0.22</v>
      </c>
      <c r="Q188" s="214">
        <f>ROUND(P188*MasterData!$H$4,2)</f>
        <v>6520.8</v>
      </c>
      <c r="R188" s="212">
        <f>VLOOKUP($A188,MasterData!$N$62:$X$111,8,FALSE)</f>
        <v>0.12</v>
      </c>
      <c r="S188" s="211">
        <f>ROUND(R188*MasterData!$I$4,2)</f>
        <v>3863.81</v>
      </c>
      <c r="T188" s="215">
        <f t="shared" si="26"/>
        <v>388089.83999999997</v>
      </c>
      <c r="U188" s="211">
        <f>ROUND(T188*MasterData!$C$29,2)</f>
        <v>86582.84</v>
      </c>
      <c r="V188" s="211">
        <f>ROUND(T188*MasterData!$J$29,2)</f>
        <v>1435.93</v>
      </c>
      <c r="W188" s="201">
        <f t="shared" si="21"/>
        <v>474672.67999999993</v>
      </c>
      <c r="X188" s="212">
        <f>VLOOKUP($A188,MasterData!$N$62:$X$111,10,FALSE)*52</f>
        <v>52</v>
      </c>
      <c r="Y188" s="211">
        <f>ROUND(X188*MasterData!$C$7,2)</f>
        <v>3138.72</v>
      </c>
      <c r="Z188" s="212">
        <f>VLOOKUP($A188,MasterData!$N$62:$X$111,11,FALSE)*52</f>
        <v>156</v>
      </c>
      <c r="AA188" s="211">
        <f>ROUND(Z188*MasterData!$D$7,2)</f>
        <v>6605.04</v>
      </c>
      <c r="AB188" s="215">
        <f t="shared" si="27"/>
        <v>9743.76</v>
      </c>
      <c r="AC188" s="216">
        <f>MasterData!$M$28</f>
        <v>15472.178595890411</v>
      </c>
      <c r="AD188" s="211">
        <f>MasterData!$D$30</f>
        <v>992.8</v>
      </c>
      <c r="AE188" s="211">
        <f>MasterData!$E$30</f>
        <v>2876.2</v>
      </c>
      <c r="AF188" s="211">
        <f>MasterData!$F$30</f>
        <v>0</v>
      </c>
      <c r="AG188" s="215">
        <f t="shared" si="17"/>
        <v>503757.61859589035</v>
      </c>
      <c r="AH188" s="211">
        <f>ROUND(AG188*MasterData!$G$29,2)</f>
        <v>60450.91</v>
      </c>
      <c r="AI188" s="200">
        <f>((AG188+AH188)*MasterData!$I$29)-'Model Calculator'!W188*MasterData!$I$29</f>
        <v>1593.7381050068507</v>
      </c>
      <c r="AJ188" s="201">
        <f t="shared" si="18"/>
        <v>567238.1967008973</v>
      </c>
      <c r="AK188" s="201">
        <f t="shared" si="23"/>
        <v>1634.69</v>
      </c>
    </row>
    <row r="189" spans="1:37">
      <c r="A189" s="197" t="s">
        <v>100</v>
      </c>
      <c r="B189" s="197" t="str">
        <f t="shared" si="24"/>
        <v>I209.5</v>
      </c>
      <c r="C189" s="197" t="s">
        <v>100</v>
      </c>
      <c r="D189" s="226" t="s">
        <v>301</v>
      </c>
      <c r="E189" s="213">
        <f>VLOOKUP($A189,MasterData!$N$62:$X$111,2,FALSE)</f>
        <v>0.18</v>
      </c>
      <c r="F189" s="214">
        <f>ROUND(E189*MasterData!$C$4,2)</f>
        <v>9297.2999999999993</v>
      </c>
      <c r="G189" s="212">
        <f>VLOOKUP($A189,MasterData!$N$62:$X$111,3,FALSE)</f>
        <v>0.66</v>
      </c>
      <c r="H189" s="214">
        <f>ROUND(G189*MasterData!$D$4,2)</f>
        <v>27401.09</v>
      </c>
      <c r="I189" s="212">
        <f t="shared" si="25"/>
        <v>9.5</v>
      </c>
      <c r="J189" s="212">
        <f>VLOOKUP($A189,MasterData!$N$62:$X$111,4,FALSE)</f>
        <v>8.1</v>
      </c>
      <c r="K189" s="214">
        <f>ROUND(J189*MasterData!$E$4,2)</f>
        <v>269859.59999999998</v>
      </c>
      <c r="L189" s="212">
        <f>VLOOKUP($A189,MasterData!$N$62:$X$111,5,FALSE)</f>
        <v>1.4</v>
      </c>
      <c r="M189" s="211">
        <f>ROUND(L189*MasterData!$F$4,2)</f>
        <v>41496</v>
      </c>
      <c r="N189" s="212">
        <f>VLOOKUP($A189,MasterData!$N$62:$X$111,6,FALSE)</f>
        <v>1.46</v>
      </c>
      <c r="O189" s="211">
        <f>ROUND(N189*MasterData!$G$4,2)</f>
        <v>48641.36</v>
      </c>
      <c r="P189" s="212">
        <f>VLOOKUP($A189,MasterData!$N$62:$X$111,7,FALSE)</f>
        <v>0.22</v>
      </c>
      <c r="Q189" s="214">
        <f>ROUND(P189*MasterData!$H$4,2)</f>
        <v>6520.8</v>
      </c>
      <c r="R189" s="212">
        <f>VLOOKUP($A189,MasterData!$N$62:$X$111,8,FALSE)</f>
        <v>0.12</v>
      </c>
      <c r="S189" s="211">
        <f>ROUND(R189*MasterData!$I$4,2)</f>
        <v>3863.81</v>
      </c>
      <c r="T189" s="215">
        <f t="shared" si="26"/>
        <v>407079.95999999996</v>
      </c>
      <c r="U189" s="211">
        <f>ROUND(T189*MasterData!$C$29,2)</f>
        <v>90819.54</v>
      </c>
      <c r="V189" s="211">
        <f>ROUND(T189*MasterData!$J$29,2)</f>
        <v>1506.2</v>
      </c>
      <c r="W189" s="201">
        <f t="shared" si="21"/>
        <v>497899.49999999994</v>
      </c>
      <c r="X189" s="212">
        <f>VLOOKUP($A189,MasterData!$N$62:$X$111,10,FALSE)*52</f>
        <v>52</v>
      </c>
      <c r="Y189" s="211">
        <f>ROUND(X189*MasterData!$C$7,2)</f>
        <v>3138.72</v>
      </c>
      <c r="Z189" s="212">
        <f>VLOOKUP($A189,MasterData!$N$62:$X$111,11,FALSE)*52</f>
        <v>156</v>
      </c>
      <c r="AA189" s="211">
        <f>ROUND(Z189*MasterData!$D$7,2)</f>
        <v>6605.04</v>
      </c>
      <c r="AB189" s="215">
        <f t="shared" si="27"/>
        <v>9743.76</v>
      </c>
      <c r="AC189" s="216">
        <f>MasterData!$M$28</f>
        <v>15472.178595890411</v>
      </c>
      <c r="AD189" s="211">
        <f>MasterData!$D$30</f>
        <v>992.8</v>
      </c>
      <c r="AE189" s="211">
        <f>MasterData!$E$30</f>
        <v>2876.2</v>
      </c>
      <c r="AF189" s="211">
        <f>MasterData!$F$30</f>
        <v>0</v>
      </c>
      <c r="AG189" s="215">
        <f t="shared" si="17"/>
        <v>526984.4385958903</v>
      </c>
      <c r="AH189" s="211">
        <f>ROUND(AG189*MasterData!$G$29,2)</f>
        <v>63238.13</v>
      </c>
      <c r="AI189" s="200">
        <f>((AG189+AH189)*MasterData!$I$29)-'Model Calculator'!W189*MasterData!$I$29</f>
        <v>1643.3506210068499</v>
      </c>
      <c r="AJ189" s="201">
        <f t="shared" si="18"/>
        <v>593372.11921689706</v>
      </c>
      <c r="AK189" s="201">
        <f t="shared" si="23"/>
        <v>1710.01</v>
      </c>
    </row>
    <row r="190" spans="1:37">
      <c r="A190" s="197" t="s">
        <v>101</v>
      </c>
      <c r="B190" s="197" t="str">
        <f t="shared" si="24"/>
        <v>I210.0</v>
      </c>
      <c r="C190" s="197" t="s">
        <v>101</v>
      </c>
      <c r="D190" s="226" t="s">
        <v>301</v>
      </c>
      <c r="E190" s="213">
        <f>VLOOKUP($A190,MasterData!$N$62:$X$111,2,FALSE)</f>
        <v>0.18</v>
      </c>
      <c r="F190" s="214">
        <f>ROUND(E190*MasterData!$C$4,2)</f>
        <v>9297.2999999999993</v>
      </c>
      <c r="G190" s="212">
        <f>VLOOKUP($A190,MasterData!$N$62:$X$111,3,FALSE)</f>
        <v>0.66</v>
      </c>
      <c r="H190" s="214">
        <f>ROUND(G190*MasterData!$D$4,2)</f>
        <v>27401.09</v>
      </c>
      <c r="I190" s="212">
        <f t="shared" si="25"/>
        <v>10</v>
      </c>
      <c r="J190" s="212">
        <f>VLOOKUP($A190,MasterData!$N$62:$X$111,4,FALSE)</f>
        <v>8.6</v>
      </c>
      <c r="K190" s="214">
        <f>ROUND(J190*MasterData!$E$4,2)</f>
        <v>286517.59999999998</v>
      </c>
      <c r="L190" s="212">
        <f>VLOOKUP($A190,MasterData!$N$62:$X$111,5,FALSE)</f>
        <v>1.4</v>
      </c>
      <c r="M190" s="211">
        <f>ROUND(L190*MasterData!$F$4,2)</f>
        <v>41496</v>
      </c>
      <c r="N190" s="212">
        <f>VLOOKUP($A190,MasterData!$N$62:$X$111,6,FALSE)</f>
        <v>1.54</v>
      </c>
      <c r="O190" s="211">
        <f>ROUND(N190*MasterData!$G$4,2)</f>
        <v>51306.64</v>
      </c>
      <c r="P190" s="212">
        <f>VLOOKUP($A190,MasterData!$N$62:$X$111,7,FALSE)</f>
        <v>0.22</v>
      </c>
      <c r="Q190" s="214">
        <f>ROUND(P190*MasterData!$H$4,2)</f>
        <v>6520.8</v>
      </c>
      <c r="R190" s="212">
        <f>VLOOKUP($A190,MasterData!$N$62:$X$111,8,FALSE)</f>
        <v>0.12</v>
      </c>
      <c r="S190" s="211">
        <f>ROUND(R190*MasterData!$I$4,2)</f>
        <v>3863.81</v>
      </c>
      <c r="T190" s="215">
        <f t="shared" si="26"/>
        <v>426403.24</v>
      </c>
      <c r="U190" s="211">
        <f>ROUND(T190*MasterData!$C$29,2)</f>
        <v>95130.559999999998</v>
      </c>
      <c r="V190" s="211">
        <f>ROUND(T190*MasterData!$J$29,2)</f>
        <v>1577.69</v>
      </c>
      <c r="W190" s="201">
        <f t="shared" si="21"/>
        <v>521533.8</v>
      </c>
      <c r="X190" s="212">
        <f>VLOOKUP($A190,MasterData!$N$62:$X$111,10,FALSE)*52</f>
        <v>52</v>
      </c>
      <c r="Y190" s="211">
        <f>ROUND(X190*MasterData!$C$7,2)</f>
        <v>3138.72</v>
      </c>
      <c r="Z190" s="212">
        <f>VLOOKUP($A190,MasterData!$N$62:$X$111,11,FALSE)*52</f>
        <v>156</v>
      </c>
      <c r="AA190" s="211">
        <f>ROUND(Z190*MasterData!$D$7,2)</f>
        <v>6605.04</v>
      </c>
      <c r="AB190" s="215">
        <f t="shared" si="27"/>
        <v>9743.76</v>
      </c>
      <c r="AC190" s="216">
        <f>MasterData!$M$28</f>
        <v>15472.178595890411</v>
      </c>
      <c r="AD190" s="211">
        <f>MasterData!$D$30</f>
        <v>992.8</v>
      </c>
      <c r="AE190" s="211">
        <f>MasterData!$E$30</f>
        <v>2876.2</v>
      </c>
      <c r="AF190" s="211">
        <f>MasterData!$F$30</f>
        <v>0</v>
      </c>
      <c r="AG190" s="215">
        <f t="shared" si="17"/>
        <v>550618.73859589035</v>
      </c>
      <c r="AH190" s="211">
        <f>ROUND(AG190*MasterData!$G$29,2)</f>
        <v>66074.25</v>
      </c>
      <c r="AI190" s="200">
        <f>((AG190+AH190)*MasterData!$I$29)-'Model Calculator'!W190*MasterData!$I$29</f>
        <v>1693.8335570068484</v>
      </c>
      <c r="AJ190" s="201">
        <f t="shared" si="18"/>
        <v>619964.51215289719</v>
      </c>
      <c r="AK190" s="201">
        <f t="shared" si="23"/>
        <v>1786.64</v>
      </c>
    </row>
    <row r="191" spans="1:37">
      <c r="A191" s="197" t="s">
        <v>102</v>
      </c>
      <c r="B191" s="197" t="str">
        <f t="shared" si="24"/>
        <v>I210.5</v>
      </c>
      <c r="C191" s="197" t="s">
        <v>102</v>
      </c>
      <c r="D191" s="226" t="s">
        <v>301</v>
      </c>
      <c r="E191" s="213">
        <f>VLOOKUP($A191,MasterData!$N$62:$X$111,2,FALSE)</f>
        <v>0.18</v>
      </c>
      <c r="F191" s="214">
        <f>ROUND(E191*MasterData!$C$4,2)</f>
        <v>9297.2999999999993</v>
      </c>
      <c r="G191" s="212">
        <f>VLOOKUP($A191,MasterData!$N$62:$X$111,3,FALSE)</f>
        <v>0.66</v>
      </c>
      <c r="H191" s="214">
        <f>ROUND(G191*MasterData!$D$4,2)</f>
        <v>27401.09</v>
      </c>
      <c r="I191" s="212">
        <f t="shared" si="25"/>
        <v>10.5</v>
      </c>
      <c r="J191" s="212">
        <f>VLOOKUP($A191,MasterData!$N$62:$X$111,4,FALSE)</f>
        <v>9.1</v>
      </c>
      <c r="K191" s="214">
        <f>ROUND(J191*MasterData!$E$4,2)</f>
        <v>303175.59999999998</v>
      </c>
      <c r="L191" s="212">
        <f>VLOOKUP($A191,MasterData!$N$62:$X$111,5,FALSE)</f>
        <v>1.4</v>
      </c>
      <c r="M191" s="211">
        <f>ROUND(L191*MasterData!$F$4,2)</f>
        <v>41496</v>
      </c>
      <c r="N191" s="212">
        <f>VLOOKUP($A191,MasterData!$N$62:$X$111,6,FALSE)</f>
        <v>1.62</v>
      </c>
      <c r="O191" s="211">
        <f>ROUND(N191*MasterData!$G$4,2)</f>
        <v>53971.92</v>
      </c>
      <c r="P191" s="212">
        <f>VLOOKUP($A191,MasterData!$N$62:$X$111,7,FALSE)</f>
        <v>0.22</v>
      </c>
      <c r="Q191" s="214">
        <f>ROUND(P191*MasterData!$H$4,2)</f>
        <v>6520.8</v>
      </c>
      <c r="R191" s="212">
        <f>VLOOKUP($A191,MasterData!$N$62:$X$111,8,FALSE)</f>
        <v>0.12</v>
      </c>
      <c r="S191" s="211">
        <f>ROUND(R191*MasterData!$I$4,2)</f>
        <v>3863.81</v>
      </c>
      <c r="T191" s="215">
        <f t="shared" si="26"/>
        <v>445726.51999999996</v>
      </c>
      <c r="U191" s="211">
        <f>ROUND(T191*MasterData!$C$29,2)</f>
        <v>99441.59</v>
      </c>
      <c r="V191" s="211">
        <f>ROUND(T191*MasterData!$J$29,2)</f>
        <v>1649.19</v>
      </c>
      <c r="W191" s="201">
        <f t="shared" si="21"/>
        <v>545168.11</v>
      </c>
      <c r="X191" s="212">
        <f>VLOOKUP($A191,MasterData!$N$62:$X$111,10,FALSE)*52</f>
        <v>52</v>
      </c>
      <c r="Y191" s="211">
        <f>ROUND(X191*MasterData!$C$7,2)</f>
        <v>3138.72</v>
      </c>
      <c r="Z191" s="212">
        <f>VLOOKUP($A191,MasterData!$N$62:$X$111,11,FALSE)*52</f>
        <v>156</v>
      </c>
      <c r="AA191" s="211">
        <f>ROUND(Z191*MasterData!$D$7,2)</f>
        <v>6605.04</v>
      </c>
      <c r="AB191" s="215">
        <f t="shared" si="27"/>
        <v>9743.76</v>
      </c>
      <c r="AC191" s="216">
        <f>MasterData!$M$28</f>
        <v>15472.178595890411</v>
      </c>
      <c r="AD191" s="211">
        <f>MasterData!$D$30</f>
        <v>992.8</v>
      </c>
      <c r="AE191" s="211">
        <f>MasterData!$E$30</f>
        <v>2876.2</v>
      </c>
      <c r="AF191" s="211">
        <f>MasterData!$F$30</f>
        <v>0</v>
      </c>
      <c r="AG191" s="215">
        <f t="shared" si="17"/>
        <v>574253.0485958904</v>
      </c>
      <c r="AH191" s="211">
        <f>ROUND(AG191*MasterData!$G$29,2)</f>
        <v>68910.37</v>
      </c>
      <c r="AI191" s="200">
        <f>((AG191+AH191)*MasterData!$I$29)-'Model Calculator'!W191*MasterData!$I$29</f>
        <v>1744.3164930068488</v>
      </c>
      <c r="AJ191" s="201">
        <f t="shared" si="18"/>
        <v>646556.92508889723</v>
      </c>
      <c r="AK191" s="201">
        <f t="shared" si="23"/>
        <v>1863.28</v>
      </c>
    </row>
    <row r="192" spans="1:37">
      <c r="A192" s="197" t="s">
        <v>103</v>
      </c>
      <c r="B192" s="197" t="str">
        <f t="shared" si="24"/>
        <v>I211.0</v>
      </c>
      <c r="C192" s="197" t="s">
        <v>103</v>
      </c>
      <c r="D192" s="226" t="s">
        <v>301</v>
      </c>
      <c r="E192" s="213">
        <f>VLOOKUP($A192,MasterData!$N$62:$X$111,2,FALSE)</f>
        <v>0.18</v>
      </c>
      <c r="F192" s="214">
        <f>ROUND(E192*MasterData!$C$4,2)</f>
        <v>9297.2999999999993</v>
      </c>
      <c r="G192" s="212">
        <f>VLOOKUP($A192,MasterData!$N$62:$X$111,3,FALSE)</f>
        <v>0.66</v>
      </c>
      <c r="H192" s="214">
        <f>ROUND(G192*MasterData!$D$4,2)</f>
        <v>27401.09</v>
      </c>
      <c r="I192" s="212">
        <f t="shared" si="25"/>
        <v>11</v>
      </c>
      <c r="J192" s="212">
        <f>VLOOKUP($A192,MasterData!$N$62:$X$111,4,FALSE)</f>
        <v>9.6</v>
      </c>
      <c r="K192" s="214">
        <f>ROUND(J192*MasterData!$E$4,2)</f>
        <v>319833.59999999998</v>
      </c>
      <c r="L192" s="212">
        <f>VLOOKUP($A192,MasterData!$N$62:$X$111,5,FALSE)</f>
        <v>1.4</v>
      </c>
      <c r="M192" s="211">
        <f>ROUND(L192*MasterData!$F$4,2)</f>
        <v>41496</v>
      </c>
      <c r="N192" s="212">
        <f>VLOOKUP($A192,MasterData!$N$62:$X$111,6,FALSE)</f>
        <v>1.69</v>
      </c>
      <c r="O192" s="211">
        <f>ROUND(N192*MasterData!$G$4,2)</f>
        <v>56304.04</v>
      </c>
      <c r="P192" s="212">
        <f>VLOOKUP($A192,MasterData!$N$62:$X$111,7,FALSE)</f>
        <v>0.22</v>
      </c>
      <c r="Q192" s="214">
        <f>ROUND(P192*MasterData!$H$4,2)</f>
        <v>6520.8</v>
      </c>
      <c r="R192" s="212">
        <f>VLOOKUP($A192,MasterData!$N$62:$X$111,8,FALSE)</f>
        <v>0.12</v>
      </c>
      <c r="S192" s="211">
        <f>ROUND(R192*MasterData!$I$4,2)</f>
        <v>3863.81</v>
      </c>
      <c r="T192" s="215">
        <f t="shared" si="26"/>
        <v>464716.63999999996</v>
      </c>
      <c r="U192" s="211">
        <f>ROUND(T192*MasterData!$C$29,2)</f>
        <v>103678.28</v>
      </c>
      <c r="V192" s="211">
        <f>ROUND(T192*MasterData!$J$29,2)</f>
        <v>1719.45</v>
      </c>
      <c r="W192" s="201">
        <f t="shared" si="21"/>
        <v>568394.91999999993</v>
      </c>
      <c r="X192" s="212">
        <f>VLOOKUP($A192,MasterData!$N$62:$X$111,10,FALSE)*52</f>
        <v>52</v>
      </c>
      <c r="Y192" s="211">
        <f>ROUND(X192*MasterData!$C$7,2)</f>
        <v>3138.72</v>
      </c>
      <c r="Z192" s="212">
        <f>VLOOKUP($A192,MasterData!$N$62:$X$111,11,FALSE)*52</f>
        <v>156</v>
      </c>
      <c r="AA192" s="211">
        <f>ROUND(Z192*MasterData!$D$7,2)</f>
        <v>6605.04</v>
      </c>
      <c r="AB192" s="215">
        <f t="shared" si="27"/>
        <v>9743.76</v>
      </c>
      <c r="AC192" s="216">
        <f>MasterData!$M$28</f>
        <v>15472.178595890411</v>
      </c>
      <c r="AD192" s="211">
        <f>MasterData!$D$30</f>
        <v>992.8</v>
      </c>
      <c r="AE192" s="211">
        <f>MasterData!$E$30</f>
        <v>2876.2</v>
      </c>
      <c r="AF192" s="211">
        <f>MasterData!$F$30</f>
        <v>0</v>
      </c>
      <c r="AG192" s="215">
        <f t="shared" si="17"/>
        <v>597479.85859589034</v>
      </c>
      <c r="AH192" s="211">
        <f>ROUND(AG192*MasterData!$G$29,2)</f>
        <v>71697.58</v>
      </c>
      <c r="AI192" s="200">
        <f>((AG192+AH192)*MasterData!$I$29)-'Model Calculator'!W192*MasterData!$I$29</f>
        <v>1793.9288310068478</v>
      </c>
      <c r="AJ192" s="201">
        <f t="shared" si="18"/>
        <v>672690.81742689712</v>
      </c>
      <c r="AK192" s="201">
        <f t="shared" si="23"/>
        <v>1938.59</v>
      </c>
    </row>
    <row r="193" spans="1:37" hidden="1">
      <c r="A193" s="197" t="s">
        <v>104</v>
      </c>
      <c r="B193" s="197" t="str">
        <f t="shared" si="24"/>
        <v>I211.5</v>
      </c>
      <c r="C193" s="197" t="s">
        <v>104</v>
      </c>
      <c r="D193" s="226" t="s">
        <v>301</v>
      </c>
      <c r="E193" s="213">
        <f>VLOOKUP($A193,MasterData!$N$62:$X$111,2,FALSE)</f>
        <v>0.18</v>
      </c>
      <c r="F193" s="214">
        <f>ROUND(E193*MasterData!$C$4,2)</f>
        <v>9297.2999999999993</v>
      </c>
      <c r="G193" s="212">
        <f>VLOOKUP($A193,MasterData!$N$62:$X$111,3,FALSE)</f>
        <v>0.66</v>
      </c>
      <c r="H193" s="214">
        <f>ROUND(G193*MasterData!$D$4,2)</f>
        <v>27401.09</v>
      </c>
      <c r="I193" s="212">
        <f t="shared" si="25"/>
        <v>11.5</v>
      </c>
      <c r="J193" s="212">
        <f>VLOOKUP($A193,MasterData!$N$62:$X$111,4,FALSE)</f>
        <v>10.1</v>
      </c>
      <c r="K193" s="214">
        <f>ROUND(J193*MasterData!$E$4,2)</f>
        <v>336491.6</v>
      </c>
      <c r="L193" s="212">
        <f>VLOOKUP($A193,MasterData!$N$62:$X$111,5,FALSE)</f>
        <v>1.4</v>
      </c>
      <c r="M193" s="211">
        <f>ROUND(L193*MasterData!$F$4,2)</f>
        <v>41496</v>
      </c>
      <c r="N193" s="212">
        <f>VLOOKUP($A193,MasterData!$N$62:$X$111,6,FALSE)</f>
        <v>1.77</v>
      </c>
      <c r="O193" s="211">
        <f>ROUND(N193*MasterData!$G$4,2)</f>
        <v>58969.32</v>
      </c>
      <c r="P193" s="212">
        <f>VLOOKUP($A193,MasterData!$N$62:$X$111,7,FALSE)</f>
        <v>0.22</v>
      </c>
      <c r="Q193" s="214">
        <f>ROUND(P193*MasterData!$H$4,2)</f>
        <v>6520.8</v>
      </c>
      <c r="R193" s="212">
        <f>VLOOKUP($A193,MasterData!$N$62:$X$111,8,FALSE)</f>
        <v>0.12</v>
      </c>
      <c r="S193" s="211">
        <f>ROUND(R193*MasterData!$I$4,2)</f>
        <v>3863.81</v>
      </c>
      <c r="T193" s="215">
        <f t="shared" si="26"/>
        <v>484039.92</v>
      </c>
      <c r="U193" s="211">
        <f>ROUND(T193*MasterData!$C$29,2)</f>
        <v>107989.31</v>
      </c>
      <c r="V193" s="211">
        <f>ROUND(T193*MasterData!$J$29,2)</f>
        <v>1790.95</v>
      </c>
      <c r="W193" s="201">
        <f t="shared" si="21"/>
        <v>592029.23</v>
      </c>
      <c r="X193" s="212">
        <f>VLOOKUP($A193,MasterData!$N$62:$X$111,10,FALSE)*52</f>
        <v>52</v>
      </c>
      <c r="Y193" s="211">
        <f>ROUND(X193*MasterData!$C$7,2)</f>
        <v>3138.72</v>
      </c>
      <c r="Z193" s="212">
        <f>VLOOKUP($A193,MasterData!$N$62:$X$111,11,FALSE)*52</f>
        <v>156</v>
      </c>
      <c r="AA193" s="211">
        <f>ROUND(Z193*MasterData!$D$7,2)</f>
        <v>6605.04</v>
      </c>
      <c r="AB193" s="215">
        <f t="shared" si="27"/>
        <v>9743.76</v>
      </c>
      <c r="AC193" s="216">
        <f>MasterData!$M$28</f>
        <v>15472.178595890411</v>
      </c>
      <c r="AD193" s="211">
        <f>MasterData!$D$30</f>
        <v>992.8</v>
      </c>
      <c r="AE193" s="211">
        <f>MasterData!$E$30</f>
        <v>2876.2</v>
      </c>
      <c r="AF193" s="211">
        <f>MasterData!$F$30</f>
        <v>0</v>
      </c>
      <c r="AG193" s="215">
        <f t="shared" si="17"/>
        <v>621114.1685958904</v>
      </c>
      <c r="AH193" s="211">
        <f>ROUND(AG193*MasterData!$G$29,2)</f>
        <v>74533.7</v>
      </c>
      <c r="AI193" s="200">
        <f>((AG193+AH193)*MasterData!$I$29)-'Model Calculator'!W193*MasterData!$I$29</f>
        <v>1844.4117670068481</v>
      </c>
      <c r="AJ193" s="201">
        <f t="shared" si="18"/>
        <v>699283.23036289716</v>
      </c>
      <c r="AK193" s="201">
        <f t="shared" si="23"/>
        <v>2015.23</v>
      </c>
    </row>
    <row r="194" spans="1:37" hidden="1">
      <c r="A194" s="197" t="s">
        <v>105</v>
      </c>
      <c r="B194" s="197" t="str">
        <f t="shared" si="24"/>
        <v>I212.0</v>
      </c>
      <c r="C194" s="197" t="s">
        <v>105</v>
      </c>
      <c r="D194" s="226" t="s">
        <v>301</v>
      </c>
      <c r="E194" s="213">
        <f>VLOOKUP($A194,MasterData!$N$62:$X$111,2,FALSE)</f>
        <v>0.18</v>
      </c>
      <c r="F194" s="214">
        <f>ROUND(E194*MasterData!$C$4,2)</f>
        <v>9297.2999999999993</v>
      </c>
      <c r="G194" s="212">
        <f>VLOOKUP($A194,MasterData!$N$62:$X$111,3,FALSE)</f>
        <v>0.66</v>
      </c>
      <c r="H194" s="214">
        <f>ROUND(G194*MasterData!$D$4,2)</f>
        <v>27401.09</v>
      </c>
      <c r="I194" s="212">
        <f t="shared" si="25"/>
        <v>12</v>
      </c>
      <c r="J194" s="212">
        <f>VLOOKUP($A194,MasterData!$N$62:$X$111,4,FALSE)</f>
        <v>10.6</v>
      </c>
      <c r="K194" s="214">
        <f>ROUND(J194*MasterData!$E$4,2)</f>
        <v>353149.6</v>
      </c>
      <c r="L194" s="212">
        <f>VLOOKUP($A194,MasterData!$N$62:$X$111,5,FALSE)</f>
        <v>1.4</v>
      </c>
      <c r="M194" s="211">
        <f>ROUND(L194*MasterData!$F$4,2)</f>
        <v>41496</v>
      </c>
      <c r="N194" s="212">
        <f>VLOOKUP($A194,MasterData!$N$62:$X$111,6,FALSE)</f>
        <v>1.85</v>
      </c>
      <c r="O194" s="211">
        <f>ROUND(N194*MasterData!$G$4,2)</f>
        <v>61634.6</v>
      </c>
      <c r="P194" s="212">
        <f>VLOOKUP($A194,MasterData!$N$62:$X$111,7,FALSE)</f>
        <v>0.22</v>
      </c>
      <c r="Q194" s="214">
        <f>ROUND(P194*MasterData!$H$4,2)</f>
        <v>6520.8</v>
      </c>
      <c r="R194" s="212">
        <f>VLOOKUP($A194,MasterData!$N$62:$X$111,8,FALSE)</f>
        <v>0.12</v>
      </c>
      <c r="S194" s="211">
        <f>ROUND(R194*MasterData!$I$4,2)</f>
        <v>3863.81</v>
      </c>
      <c r="T194" s="215">
        <f t="shared" si="26"/>
        <v>503363.19999999995</v>
      </c>
      <c r="U194" s="211">
        <f>ROUND(T194*MasterData!$C$29,2)</f>
        <v>112300.33</v>
      </c>
      <c r="V194" s="211">
        <f>ROUND(T194*MasterData!$J$29,2)</f>
        <v>1862.44</v>
      </c>
      <c r="W194" s="201">
        <f t="shared" si="21"/>
        <v>615663.52999999991</v>
      </c>
      <c r="X194" s="212">
        <f>VLOOKUP($A194,MasterData!$N$62:$X$111,10,FALSE)*52</f>
        <v>52</v>
      </c>
      <c r="Y194" s="211">
        <f>ROUND(X194*MasterData!$C$7,2)</f>
        <v>3138.72</v>
      </c>
      <c r="Z194" s="212">
        <f>VLOOKUP($A194,MasterData!$N$62:$X$111,11,FALSE)*52</f>
        <v>156</v>
      </c>
      <c r="AA194" s="211">
        <f>ROUND(Z194*MasterData!$D$7,2)</f>
        <v>6605.04</v>
      </c>
      <c r="AB194" s="215">
        <f t="shared" si="27"/>
        <v>9743.76</v>
      </c>
      <c r="AC194" s="216">
        <f>MasterData!$M$28</f>
        <v>15472.178595890411</v>
      </c>
      <c r="AD194" s="211">
        <f>MasterData!$D$30</f>
        <v>992.8</v>
      </c>
      <c r="AE194" s="211">
        <f>MasterData!$E$30</f>
        <v>2876.2</v>
      </c>
      <c r="AF194" s="211">
        <f>MasterData!$F$30</f>
        <v>0</v>
      </c>
      <c r="AG194" s="215">
        <f t="shared" ref="AG194:AG257" si="28">W194+AB194+AC194+AD194+AE194+AF194</f>
        <v>644748.46859589033</v>
      </c>
      <c r="AH194" s="211">
        <f>ROUND(AG194*MasterData!$G$29,2)</f>
        <v>77369.820000000007</v>
      </c>
      <c r="AI194" s="200">
        <f>((AG194+AH194)*MasterData!$I$29)-'Model Calculator'!W194*MasterData!$I$29</f>
        <v>1894.8947030068502</v>
      </c>
      <c r="AJ194" s="201">
        <f t="shared" ref="AJ194:AJ257" si="29">AH194+AG194+AI194+V194</f>
        <v>725875.62329889718</v>
      </c>
      <c r="AK194" s="201">
        <f t="shared" si="23"/>
        <v>2091.86</v>
      </c>
    </row>
    <row r="195" spans="1:37" hidden="1">
      <c r="A195" s="197" t="s">
        <v>106</v>
      </c>
      <c r="B195" s="197" t="str">
        <f t="shared" si="24"/>
        <v>I212.5</v>
      </c>
      <c r="C195" s="197" t="s">
        <v>106</v>
      </c>
      <c r="D195" s="226" t="s">
        <v>301</v>
      </c>
      <c r="E195" s="213">
        <f>VLOOKUP($A195,MasterData!$N$62:$X$111,2,FALSE)</f>
        <v>0.18</v>
      </c>
      <c r="F195" s="214">
        <f>ROUND(E195*MasterData!$C$4,2)</f>
        <v>9297.2999999999993</v>
      </c>
      <c r="G195" s="212">
        <f>VLOOKUP($A195,MasterData!$N$62:$X$111,3,FALSE)</f>
        <v>0.66</v>
      </c>
      <c r="H195" s="214">
        <f>ROUND(G195*MasterData!$D$4,2)</f>
        <v>27401.09</v>
      </c>
      <c r="I195" s="212">
        <f t="shared" si="25"/>
        <v>12.5</v>
      </c>
      <c r="J195" s="212">
        <f>VLOOKUP($A195,MasterData!$N$62:$X$111,4,FALSE)</f>
        <v>11.1</v>
      </c>
      <c r="K195" s="214">
        <f>ROUND(J195*MasterData!$E$4,2)</f>
        <v>369807.6</v>
      </c>
      <c r="L195" s="212">
        <f>VLOOKUP($A195,MasterData!$N$62:$X$111,5,FALSE)</f>
        <v>1.4</v>
      </c>
      <c r="M195" s="211">
        <f>ROUND(L195*MasterData!$F$4,2)</f>
        <v>41496</v>
      </c>
      <c r="N195" s="212">
        <f>VLOOKUP($A195,MasterData!$N$62:$X$111,6,FALSE)</f>
        <v>1.93</v>
      </c>
      <c r="O195" s="211">
        <f>ROUND(N195*MasterData!$G$4,2)</f>
        <v>64299.88</v>
      </c>
      <c r="P195" s="212">
        <f>VLOOKUP($A195,MasterData!$N$62:$X$111,7,FALSE)</f>
        <v>0.22</v>
      </c>
      <c r="Q195" s="214">
        <f>ROUND(P195*MasterData!$H$4,2)</f>
        <v>6520.8</v>
      </c>
      <c r="R195" s="212">
        <f>VLOOKUP($A195,MasterData!$N$62:$X$111,8,FALSE)</f>
        <v>0.12</v>
      </c>
      <c r="S195" s="211">
        <f>ROUND(R195*MasterData!$I$4,2)</f>
        <v>3863.81</v>
      </c>
      <c r="T195" s="215">
        <f t="shared" si="26"/>
        <v>522686.48</v>
      </c>
      <c r="U195" s="211">
        <f>ROUND(T195*MasterData!$C$29,2)</f>
        <v>116611.35</v>
      </c>
      <c r="V195" s="211">
        <f>ROUND(T195*MasterData!$J$29,2)</f>
        <v>1933.94</v>
      </c>
      <c r="W195" s="201">
        <f t="shared" ref="W195:W258" si="30">T195+U195</f>
        <v>639297.82999999996</v>
      </c>
      <c r="X195" s="212">
        <f>VLOOKUP($A195,MasterData!$N$62:$X$111,10,FALSE)*52</f>
        <v>52</v>
      </c>
      <c r="Y195" s="211">
        <f>ROUND(X195*MasterData!$C$7,2)</f>
        <v>3138.72</v>
      </c>
      <c r="Z195" s="212">
        <f>VLOOKUP($A195,MasterData!$N$62:$X$111,11,FALSE)*52</f>
        <v>156</v>
      </c>
      <c r="AA195" s="211">
        <f>ROUND(Z195*MasterData!$D$7,2)</f>
        <v>6605.04</v>
      </c>
      <c r="AB195" s="215">
        <f t="shared" si="27"/>
        <v>9743.76</v>
      </c>
      <c r="AC195" s="216">
        <f>MasterData!$M$28</f>
        <v>15472.178595890411</v>
      </c>
      <c r="AD195" s="211">
        <f>MasterData!$D$30</f>
        <v>992.8</v>
      </c>
      <c r="AE195" s="211">
        <f>MasterData!$E$30</f>
        <v>2876.2</v>
      </c>
      <c r="AF195" s="211">
        <f>MasterData!$F$30</f>
        <v>0</v>
      </c>
      <c r="AG195" s="215">
        <f t="shared" si="28"/>
        <v>668382.76859589037</v>
      </c>
      <c r="AH195" s="211">
        <f>ROUND(AG195*MasterData!$G$29,2)</f>
        <v>80205.929999999993</v>
      </c>
      <c r="AI195" s="200">
        <f>((AG195+AH195)*MasterData!$I$29)-'Model Calculator'!W195*MasterData!$I$29</f>
        <v>1945.3774610068485</v>
      </c>
      <c r="AJ195" s="201">
        <f t="shared" si="29"/>
        <v>752468.01605689712</v>
      </c>
      <c r="AK195" s="201">
        <f t="shared" ref="AK195:AK258" si="31">ROUND(AJ195/347,2)</f>
        <v>2168.5</v>
      </c>
    </row>
    <row r="196" spans="1:37" hidden="1">
      <c r="A196" s="197" t="s">
        <v>107</v>
      </c>
      <c r="B196" s="197" t="str">
        <f t="shared" si="24"/>
        <v>I213.0</v>
      </c>
      <c r="C196" s="197" t="s">
        <v>107</v>
      </c>
      <c r="D196" s="226" t="s">
        <v>301</v>
      </c>
      <c r="E196" s="213">
        <f>VLOOKUP($A196,MasterData!$N$62:$X$111,2,FALSE)</f>
        <v>0.18</v>
      </c>
      <c r="F196" s="214">
        <f>ROUND(E196*MasterData!$C$4,2)</f>
        <v>9297.2999999999993</v>
      </c>
      <c r="G196" s="212">
        <f>VLOOKUP($A196,MasterData!$N$62:$X$111,3,FALSE)</f>
        <v>0.66</v>
      </c>
      <c r="H196" s="214">
        <f>ROUND(G196*MasterData!$D$4,2)</f>
        <v>27401.09</v>
      </c>
      <c r="I196" s="212">
        <f t="shared" si="25"/>
        <v>13</v>
      </c>
      <c r="J196" s="212">
        <f>VLOOKUP($A196,MasterData!$N$62:$X$111,4,FALSE)</f>
        <v>11.6</v>
      </c>
      <c r="K196" s="214">
        <f>ROUND(J196*MasterData!$E$4,2)</f>
        <v>386465.6</v>
      </c>
      <c r="L196" s="212">
        <f>VLOOKUP($A196,MasterData!$N$62:$X$111,5,FALSE)</f>
        <v>1.4</v>
      </c>
      <c r="M196" s="211">
        <f>ROUND(L196*MasterData!$F$4,2)</f>
        <v>41496</v>
      </c>
      <c r="N196" s="212">
        <f>VLOOKUP($A196,MasterData!$N$62:$X$111,6,FALSE)</f>
        <v>2</v>
      </c>
      <c r="O196" s="211">
        <f>ROUND(N196*MasterData!$G$4,2)</f>
        <v>66632</v>
      </c>
      <c r="P196" s="212">
        <f>VLOOKUP($A196,MasterData!$N$62:$X$111,7,FALSE)</f>
        <v>0.22</v>
      </c>
      <c r="Q196" s="214">
        <f>ROUND(P196*MasterData!$H$4,2)</f>
        <v>6520.8</v>
      </c>
      <c r="R196" s="212">
        <f>VLOOKUP($A196,MasterData!$N$62:$X$111,8,FALSE)</f>
        <v>0.12</v>
      </c>
      <c r="S196" s="211">
        <f>ROUND(R196*MasterData!$I$4,2)</f>
        <v>3863.81</v>
      </c>
      <c r="T196" s="215">
        <f t="shared" si="26"/>
        <v>541676.60000000009</v>
      </c>
      <c r="U196" s="211">
        <f>ROUND(T196*MasterData!$C$29,2)</f>
        <v>120848.05</v>
      </c>
      <c r="V196" s="211">
        <f>ROUND(T196*MasterData!$J$29,2)</f>
        <v>2004.2</v>
      </c>
      <c r="W196" s="201">
        <f t="shared" si="30"/>
        <v>662524.65000000014</v>
      </c>
      <c r="X196" s="212">
        <f>VLOOKUP($A196,MasterData!$N$62:$X$111,10,FALSE)*52</f>
        <v>52</v>
      </c>
      <c r="Y196" s="211">
        <f>ROUND(X196*MasterData!$C$7,2)</f>
        <v>3138.72</v>
      </c>
      <c r="Z196" s="212">
        <f>VLOOKUP($A196,MasterData!$N$62:$X$111,11,FALSE)*52</f>
        <v>156</v>
      </c>
      <c r="AA196" s="211">
        <f>ROUND(Z196*MasterData!$D$7,2)</f>
        <v>6605.04</v>
      </c>
      <c r="AB196" s="215">
        <f t="shared" si="27"/>
        <v>9743.76</v>
      </c>
      <c r="AC196" s="216">
        <f>MasterData!$M$28</f>
        <v>15472.178595890411</v>
      </c>
      <c r="AD196" s="211">
        <f>MasterData!$D$30</f>
        <v>992.8</v>
      </c>
      <c r="AE196" s="211">
        <f>MasterData!$E$30</f>
        <v>2876.2</v>
      </c>
      <c r="AF196" s="211">
        <f>MasterData!$F$30</f>
        <v>0</v>
      </c>
      <c r="AG196" s="215">
        <f t="shared" si="28"/>
        <v>691609.58859589056</v>
      </c>
      <c r="AH196" s="211">
        <f>ROUND(AG196*MasterData!$G$29,2)</f>
        <v>82993.149999999994</v>
      </c>
      <c r="AI196" s="200">
        <f>((AG196+AH196)*MasterData!$I$29)-'Model Calculator'!W196*MasterData!$I$29</f>
        <v>1994.9899770068496</v>
      </c>
      <c r="AJ196" s="201">
        <f t="shared" si="29"/>
        <v>778601.92857289733</v>
      </c>
      <c r="AK196" s="201">
        <f t="shared" si="31"/>
        <v>2243.81</v>
      </c>
    </row>
    <row r="197" spans="1:37" hidden="1">
      <c r="A197" s="197" t="s">
        <v>108</v>
      </c>
      <c r="B197" s="197" t="str">
        <f t="shared" si="24"/>
        <v>I213.5</v>
      </c>
      <c r="C197" s="197" t="s">
        <v>108</v>
      </c>
      <c r="D197" s="226" t="s">
        <v>301</v>
      </c>
      <c r="E197" s="213">
        <f>VLOOKUP($A197,MasterData!$N$62:$X$111,2,FALSE)</f>
        <v>0.18</v>
      </c>
      <c r="F197" s="214">
        <f>ROUND(E197*MasterData!$C$4,2)</f>
        <v>9297.2999999999993</v>
      </c>
      <c r="G197" s="212">
        <f>VLOOKUP($A197,MasterData!$N$62:$X$111,3,FALSE)</f>
        <v>0.66</v>
      </c>
      <c r="H197" s="214">
        <f>ROUND(G197*MasterData!$D$4,2)</f>
        <v>27401.09</v>
      </c>
      <c r="I197" s="212">
        <f t="shared" si="25"/>
        <v>13.5</v>
      </c>
      <c r="J197" s="212">
        <f>VLOOKUP($A197,MasterData!$N$62:$X$111,4,FALSE)</f>
        <v>12.1</v>
      </c>
      <c r="K197" s="214">
        <f>ROUND(J197*MasterData!$E$4,2)</f>
        <v>403123.6</v>
      </c>
      <c r="L197" s="212">
        <f>VLOOKUP($A197,MasterData!$N$62:$X$111,5,FALSE)</f>
        <v>1.4</v>
      </c>
      <c r="M197" s="211">
        <f>ROUND(L197*MasterData!$F$4,2)</f>
        <v>41496</v>
      </c>
      <c r="N197" s="212">
        <f>VLOOKUP($A197,MasterData!$N$62:$X$111,6,FALSE)</f>
        <v>2.08</v>
      </c>
      <c r="O197" s="211">
        <f>ROUND(N197*MasterData!$G$4,2)</f>
        <v>69297.279999999999</v>
      </c>
      <c r="P197" s="212">
        <f>VLOOKUP($A197,MasterData!$N$62:$X$111,7,FALSE)</f>
        <v>0.22</v>
      </c>
      <c r="Q197" s="214">
        <f>ROUND(P197*MasterData!$H$4,2)</f>
        <v>6520.8</v>
      </c>
      <c r="R197" s="212">
        <f>VLOOKUP($A197,MasterData!$N$62:$X$111,8,FALSE)</f>
        <v>0.12</v>
      </c>
      <c r="S197" s="211">
        <f>ROUND(R197*MasterData!$I$4,2)</f>
        <v>3863.81</v>
      </c>
      <c r="T197" s="215">
        <f t="shared" si="26"/>
        <v>560999.88000000012</v>
      </c>
      <c r="U197" s="211">
        <f>ROUND(T197*MasterData!$C$29,2)</f>
        <v>125159.07</v>
      </c>
      <c r="V197" s="211">
        <f>ROUND(T197*MasterData!$J$29,2)</f>
        <v>2075.6999999999998</v>
      </c>
      <c r="W197" s="201">
        <f t="shared" si="30"/>
        <v>686158.95000000019</v>
      </c>
      <c r="X197" s="212">
        <f>VLOOKUP($A197,MasterData!$N$62:$X$111,10,FALSE)*52</f>
        <v>52</v>
      </c>
      <c r="Y197" s="211">
        <f>ROUND(X197*MasterData!$C$7,2)</f>
        <v>3138.72</v>
      </c>
      <c r="Z197" s="212">
        <f>VLOOKUP($A197,MasterData!$N$62:$X$111,11,FALSE)*52</f>
        <v>156</v>
      </c>
      <c r="AA197" s="211">
        <f>ROUND(Z197*MasterData!$D$7,2)</f>
        <v>6605.04</v>
      </c>
      <c r="AB197" s="215">
        <f t="shared" si="27"/>
        <v>9743.76</v>
      </c>
      <c r="AC197" s="216">
        <f>MasterData!$M$28</f>
        <v>15472.178595890411</v>
      </c>
      <c r="AD197" s="211">
        <f>MasterData!$D$30</f>
        <v>992.8</v>
      </c>
      <c r="AE197" s="211">
        <f>MasterData!$E$30</f>
        <v>2876.2</v>
      </c>
      <c r="AF197" s="211">
        <f>MasterData!$F$30</f>
        <v>0</v>
      </c>
      <c r="AG197" s="215">
        <f t="shared" si="28"/>
        <v>715243.8885958906</v>
      </c>
      <c r="AH197" s="211">
        <f>ROUND(AG197*MasterData!$G$29,2)</f>
        <v>85829.27</v>
      </c>
      <c r="AI197" s="200">
        <f>((AG197+AH197)*MasterData!$I$29)-'Model Calculator'!W197*MasterData!$I$29</f>
        <v>2045.4729130068499</v>
      </c>
      <c r="AJ197" s="201">
        <f t="shared" si="29"/>
        <v>805194.33150889748</v>
      </c>
      <c r="AK197" s="201">
        <f t="shared" si="31"/>
        <v>2320.44</v>
      </c>
    </row>
    <row r="198" spans="1:37" hidden="1">
      <c r="A198" s="197" t="s">
        <v>109</v>
      </c>
      <c r="B198" s="197" t="str">
        <f t="shared" si="24"/>
        <v>I214.0</v>
      </c>
      <c r="C198" s="197" t="s">
        <v>109</v>
      </c>
      <c r="D198" s="226" t="s">
        <v>301</v>
      </c>
      <c r="E198" s="213">
        <f>VLOOKUP($A198,MasterData!$N$62:$X$111,2,FALSE)</f>
        <v>0.18</v>
      </c>
      <c r="F198" s="214">
        <f>ROUND(E198*MasterData!$C$4,2)</f>
        <v>9297.2999999999993</v>
      </c>
      <c r="G198" s="212">
        <f>VLOOKUP($A198,MasterData!$N$62:$X$111,3,FALSE)</f>
        <v>0.66</v>
      </c>
      <c r="H198" s="214">
        <f>ROUND(G198*MasterData!$D$4,2)</f>
        <v>27401.09</v>
      </c>
      <c r="I198" s="212">
        <f t="shared" si="25"/>
        <v>14</v>
      </c>
      <c r="J198" s="212">
        <f>VLOOKUP($A198,MasterData!$N$62:$X$111,4,FALSE)</f>
        <v>12.6</v>
      </c>
      <c r="K198" s="214">
        <f>ROUND(J198*MasterData!$E$4,2)</f>
        <v>419781.6</v>
      </c>
      <c r="L198" s="212">
        <f>VLOOKUP($A198,MasterData!$N$62:$X$111,5,FALSE)</f>
        <v>1.4</v>
      </c>
      <c r="M198" s="211">
        <f>ROUND(L198*MasterData!$F$4,2)</f>
        <v>41496</v>
      </c>
      <c r="N198" s="212">
        <f>VLOOKUP($A198,MasterData!$N$62:$X$111,6,FALSE)</f>
        <v>2.16</v>
      </c>
      <c r="O198" s="211">
        <f>ROUND(N198*MasterData!$G$4,2)</f>
        <v>71962.559999999998</v>
      </c>
      <c r="P198" s="212">
        <f>VLOOKUP($A198,MasterData!$N$62:$X$111,7,FALSE)</f>
        <v>0.22</v>
      </c>
      <c r="Q198" s="214">
        <f>ROUND(P198*MasterData!$H$4,2)</f>
        <v>6520.8</v>
      </c>
      <c r="R198" s="212">
        <f>VLOOKUP($A198,MasterData!$N$62:$X$111,8,FALSE)</f>
        <v>0.12</v>
      </c>
      <c r="S198" s="211">
        <f>ROUND(R198*MasterData!$I$4,2)</f>
        <v>3863.81</v>
      </c>
      <c r="T198" s="215">
        <f t="shared" si="26"/>
        <v>580323.16000000015</v>
      </c>
      <c r="U198" s="211">
        <f>ROUND(T198*MasterData!$C$29,2)</f>
        <v>129470.1</v>
      </c>
      <c r="V198" s="211">
        <f>ROUND(T198*MasterData!$J$29,2)</f>
        <v>2147.1999999999998</v>
      </c>
      <c r="W198" s="201">
        <f t="shared" si="30"/>
        <v>709793.26000000013</v>
      </c>
      <c r="X198" s="212">
        <f>VLOOKUP($A198,MasterData!$N$62:$X$111,10,FALSE)*52</f>
        <v>52</v>
      </c>
      <c r="Y198" s="211">
        <f>ROUND(X198*MasterData!$C$7,2)</f>
        <v>3138.72</v>
      </c>
      <c r="Z198" s="212">
        <f>VLOOKUP($A198,MasterData!$N$62:$X$111,11,FALSE)*52</f>
        <v>156</v>
      </c>
      <c r="AA198" s="211">
        <f>ROUND(Z198*MasterData!$D$7,2)</f>
        <v>6605.04</v>
      </c>
      <c r="AB198" s="215">
        <f t="shared" si="27"/>
        <v>9743.76</v>
      </c>
      <c r="AC198" s="216">
        <f>MasterData!$M$28</f>
        <v>15472.178595890411</v>
      </c>
      <c r="AD198" s="211">
        <f>MasterData!$D$30</f>
        <v>992.8</v>
      </c>
      <c r="AE198" s="211">
        <f>MasterData!$E$30</f>
        <v>2876.2</v>
      </c>
      <c r="AF198" s="211">
        <f>MasterData!$F$30</f>
        <v>0</v>
      </c>
      <c r="AG198" s="215">
        <f t="shared" si="28"/>
        <v>738878.19859589054</v>
      </c>
      <c r="AH198" s="211">
        <f>ROUND(AG198*MasterData!$G$29,2)</f>
        <v>88665.38</v>
      </c>
      <c r="AI198" s="200">
        <f>((AG198+AH198)*MasterData!$I$29)-'Model Calculator'!W198*MasterData!$I$29</f>
        <v>2095.95567100685</v>
      </c>
      <c r="AJ198" s="201">
        <f t="shared" si="29"/>
        <v>831786.73426689731</v>
      </c>
      <c r="AK198" s="201">
        <f t="shared" si="31"/>
        <v>2397.08</v>
      </c>
    </row>
    <row r="199" spans="1:37" hidden="1">
      <c r="A199" s="197" t="s">
        <v>110</v>
      </c>
      <c r="B199" s="197" t="str">
        <f t="shared" si="24"/>
        <v>I214.5</v>
      </c>
      <c r="C199" s="197" t="s">
        <v>110</v>
      </c>
      <c r="D199" s="226" t="s">
        <v>301</v>
      </c>
      <c r="E199" s="213">
        <f>VLOOKUP($A199,MasterData!$N$62:$X$111,2,FALSE)</f>
        <v>0.18</v>
      </c>
      <c r="F199" s="214">
        <f>ROUND(E199*MasterData!$C$4,2)</f>
        <v>9297.2999999999993</v>
      </c>
      <c r="G199" s="212">
        <f>VLOOKUP($A199,MasterData!$N$62:$X$111,3,FALSE)</f>
        <v>0.66</v>
      </c>
      <c r="H199" s="214">
        <f>ROUND(G199*MasterData!$D$4,2)</f>
        <v>27401.09</v>
      </c>
      <c r="I199" s="212">
        <f t="shared" si="25"/>
        <v>14.5</v>
      </c>
      <c r="J199" s="212">
        <f>VLOOKUP($A199,MasterData!$N$62:$X$111,4,FALSE)</f>
        <v>13.1</v>
      </c>
      <c r="K199" s="214">
        <f>ROUND(J199*MasterData!$E$4,2)</f>
        <v>436439.6</v>
      </c>
      <c r="L199" s="212">
        <f>VLOOKUP($A199,MasterData!$N$62:$X$111,5,FALSE)</f>
        <v>1.4</v>
      </c>
      <c r="M199" s="211">
        <f>ROUND(L199*MasterData!$F$4,2)</f>
        <v>41496</v>
      </c>
      <c r="N199" s="212">
        <f>VLOOKUP($A199,MasterData!$N$62:$X$111,6,FALSE)</f>
        <v>2.23</v>
      </c>
      <c r="O199" s="211">
        <f>ROUND(N199*MasterData!$G$4,2)</f>
        <v>74294.679999999993</v>
      </c>
      <c r="P199" s="212">
        <f>VLOOKUP($A199,MasterData!$N$62:$X$111,7,FALSE)</f>
        <v>0.22</v>
      </c>
      <c r="Q199" s="214">
        <f>ROUND(P199*MasterData!$H$4,2)</f>
        <v>6520.8</v>
      </c>
      <c r="R199" s="212">
        <f>VLOOKUP($A199,MasterData!$N$62:$X$111,8,FALSE)</f>
        <v>0.12</v>
      </c>
      <c r="S199" s="211">
        <f>ROUND(R199*MasterData!$I$4,2)</f>
        <v>3863.81</v>
      </c>
      <c r="T199" s="215">
        <f t="shared" si="26"/>
        <v>599313.28</v>
      </c>
      <c r="U199" s="211">
        <f>ROUND(T199*MasterData!$C$29,2)</f>
        <v>133706.79</v>
      </c>
      <c r="V199" s="211">
        <f>ROUND(T199*MasterData!$J$29,2)</f>
        <v>2217.46</v>
      </c>
      <c r="W199" s="201">
        <f t="shared" si="30"/>
        <v>733020.07000000007</v>
      </c>
      <c r="X199" s="212">
        <f>VLOOKUP($A199,MasterData!$N$62:$X$111,10,FALSE)*52</f>
        <v>52</v>
      </c>
      <c r="Y199" s="211">
        <f>ROUND(X199*MasterData!$C$7,2)</f>
        <v>3138.72</v>
      </c>
      <c r="Z199" s="212">
        <f>VLOOKUP($A199,MasterData!$N$62:$X$111,11,FALSE)*52</f>
        <v>156</v>
      </c>
      <c r="AA199" s="211">
        <f>ROUND(Z199*MasterData!$D$7,2)</f>
        <v>6605.04</v>
      </c>
      <c r="AB199" s="215">
        <f t="shared" si="27"/>
        <v>9743.76</v>
      </c>
      <c r="AC199" s="216">
        <f>MasterData!$M$28</f>
        <v>15472.178595890411</v>
      </c>
      <c r="AD199" s="211">
        <f>MasterData!$D$30</f>
        <v>992.8</v>
      </c>
      <c r="AE199" s="211">
        <f>MasterData!$E$30</f>
        <v>2876.2</v>
      </c>
      <c r="AF199" s="211">
        <f>MasterData!$F$30</f>
        <v>0</v>
      </c>
      <c r="AG199" s="215">
        <f t="shared" si="28"/>
        <v>762105.00859589048</v>
      </c>
      <c r="AH199" s="211">
        <f>ROUND(AG199*MasterData!$G$29,2)</f>
        <v>91452.6</v>
      </c>
      <c r="AI199" s="200">
        <f>((AG199+AH199)*MasterData!$I$29)-'Model Calculator'!W199*MasterData!$I$29</f>
        <v>2145.5681870068493</v>
      </c>
      <c r="AJ199" s="201">
        <f t="shared" si="29"/>
        <v>857920.63678289729</v>
      </c>
      <c r="AK199" s="201">
        <f t="shared" si="31"/>
        <v>2472.39</v>
      </c>
    </row>
    <row r="200" spans="1:37" hidden="1">
      <c r="A200" s="197" t="s">
        <v>111</v>
      </c>
      <c r="B200" s="197" t="str">
        <f t="shared" si="24"/>
        <v>I215.0</v>
      </c>
      <c r="C200" s="197" t="s">
        <v>111</v>
      </c>
      <c r="D200" s="226" t="s">
        <v>301</v>
      </c>
      <c r="E200" s="213">
        <f>VLOOKUP($A200,MasterData!$N$62:$X$111,2,FALSE)</f>
        <v>0.18</v>
      </c>
      <c r="F200" s="214">
        <f>ROUND(E200*MasterData!$C$4,2)</f>
        <v>9297.2999999999993</v>
      </c>
      <c r="G200" s="212">
        <f>VLOOKUP($A200,MasterData!$N$62:$X$111,3,FALSE)</f>
        <v>0.66</v>
      </c>
      <c r="H200" s="214">
        <f>ROUND(G200*MasterData!$D$4,2)</f>
        <v>27401.09</v>
      </c>
      <c r="I200" s="212">
        <f t="shared" si="25"/>
        <v>15</v>
      </c>
      <c r="J200" s="212">
        <f>VLOOKUP($A200,MasterData!$N$62:$X$111,4,FALSE)</f>
        <v>13.6</v>
      </c>
      <c r="K200" s="214">
        <f>ROUND(J200*MasterData!$E$4,2)</f>
        <v>453097.6</v>
      </c>
      <c r="L200" s="212">
        <f>VLOOKUP($A200,MasterData!$N$62:$X$111,5,FALSE)</f>
        <v>1.4</v>
      </c>
      <c r="M200" s="211">
        <f>ROUND(L200*MasterData!$F$4,2)</f>
        <v>41496</v>
      </c>
      <c r="N200" s="212">
        <f>VLOOKUP($A200,MasterData!$N$62:$X$111,6,FALSE)</f>
        <v>2.31</v>
      </c>
      <c r="O200" s="211">
        <f>ROUND(N200*MasterData!$G$4,2)</f>
        <v>76959.960000000006</v>
      </c>
      <c r="P200" s="212">
        <f>VLOOKUP($A200,MasterData!$N$62:$X$111,7,FALSE)</f>
        <v>0.22</v>
      </c>
      <c r="Q200" s="214">
        <f>ROUND(P200*MasterData!$H$4,2)</f>
        <v>6520.8</v>
      </c>
      <c r="R200" s="212">
        <f>VLOOKUP($A200,MasterData!$N$62:$X$111,8,FALSE)</f>
        <v>0.12</v>
      </c>
      <c r="S200" s="211">
        <f>ROUND(R200*MasterData!$I$4,2)</f>
        <v>3863.81</v>
      </c>
      <c r="T200" s="215">
        <f t="shared" si="26"/>
        <v>618636.56000000006</v>
      </c>
      <c r="U200" s="211">
        <f>ROUND(T200*MasterData!$C$29,2)</f>
        <v>138017.82</v>
      </c>
      <c r="V200" s="211">
        <f>ROUND(T200*MasterData!$J$29,2)</f>
        <v>2288.96</v>
      </c>
      <c r="W200" s="201">
        <f t="shared" si="30"/>
        <v>756654.38000000012</v>
      </c>
      <c r="X200" s="212">
        <f>VLOOKUP($A200,MasterData!$N$62:$X$111,10,FALSE)*52</f>
        <v>52</v>
      </c>
      <c r="Y200" s="211">
        <f>ROUND(X200*MasterData!$C$7,2)</f>
        <v>3138.72</v>
      </c>
      <c r="Z200" s="212">
        <f>VLOOKUP($A200,MasterData!$N$62:$X$111,11,FALSE)*52</f>
        <v>156</v>
      </c>
      <c r="AA200" s="211">
        <f>ROUND(Z200*MasterData!$D$7,2)</f>
        <v>6605.04</v>
      </c>
      <c r="AB200" s="215">
        <f t="shared" si="27"/>
        <v>9743.76</v>
      </c>
      <c r="AC200" s="216">
        <f>MasterData!$M$28</f>
        <v>15472.178595890411</v>
      </c>
      <c r="AD200" s="211">
        <f>MasterData!$D$30</f>
        <v>992.8</v>
      </c>
      <c r="AE200" s="211">
        <f>MasterData!$E$30</f>
        <v>2876.2</v>
      </c>
      <c r="AF200" s="211">
        <f>MasterData!$F$30</f>
        <v>0</v>
      </c>
      <c r="AG200" s="215">
        <f t="shared" si="28"/>
        <v>785739.31859589054</v>
      </c>
      <c r="AH200" s="211">
        <f>ROUND(AG200*MasterData!$G$29,2)</f>
        <v>94288.72</v>
      </c>
      <c r="AI200" s="200">
        <f>((AG200+AH200)*MasterData!$I$29)-'Model Calculator'!W200*MasterData!$I$29</f>
        <v>2196.0511230068478</v>
      </c>
      <c r="AJ200" s="201">
        <f t="shared" si="29"/>
        <v>884513.04971889732</v>
      </c>
      <c r="AK200" s="201">
        <f t="shared" si="31"/>
        <v>2549.0300000000002</v>
      </c>
    </row>
    <row r="201" spans="1:37" s="210" customFormat="1" hidden="1">
      <c r="A201" s="204" t="s">
        <v>112</v>
      </c>
      <c r="B201" s="197" t="str">
        <f t="shared" si="24"/>
        <v>I215.5</v>
      </c>
      <c r="C201" s="204" t="s">
        <v>112</v>
      </c>
      <c r="D201" s="227" t="s">
        <v>301</v>
      </c>
      <c r="E201" s="204">
        <f>VLOOKUP($A201,MasterData!$N$62:$X$111,2,FALSE)</f>
        <v>0.18</v>
      </c>
      <c r="F201" s="205">
        <f>ROUND(E201*MasterData!$C$4,2)</f>
        <v>9297.2999999999993</v>
      </c>
      <c r="G201" s="206">
        <f>VLOOKUP($A201,MasterData!$N$62:$X$111,3,FALSE)</f>
        <v>0.66</v>
      </c>
      <c r="H201" s="205">
        <f>ROUND(G201*MasterData!$D$4,2)</f>
        <v>27401.09</v>
      </c>
      <c r="I201" s="206">
        <f t="shared" si="25"/>
        <v>15.5</v>
      </c>
      <c r="J201" s="206">
        <f>VLOOKUP($A201,MasterData!$N$62:$X$111,4,FALSE)</f>
        <v>14.1</v>
      </c>
      <c r="K201" s="205">
        <f>ROUND(J201*MasterData!$E$4,2)</f>
        <v>469755.6</v>
      </c>
      <c r="L201" s="206">
        <f>VLOOKUP($A201,MasterData!$N$62:$X$111,5,FALSE)</f>
        <v>1.4</v>
      </c>
      <c r="M201" s="207">
        <f>ROUND(L201*MasterData!$F$4,2)</f>
        <v>41496</v>
      </c>
      <c r="N201" s="206">
        <f>VLOOKUP($A201,MasterData!$N$62:$X$111,6,FALSE)</f>
        <v>2.39</v>
      </c>
      <c r="O201" s="207">
        <f>ROUND(N201*MasterData!$G$4,2)</f>
        <v>79625.240000000005</v>
      </c>
      <c r="P201" s="206">
        <f>VLOOKUP($A201,MasterData!$N$62:$X$111,7,FALSE)</f>
        <v>0.22</v>
      </c>
      <c r="Q201" s="205">
        <f>ROUND(P201*MasterData!$H$4,2)</f>
        <v>6520.8</v>
      </c>
      <c r="R201" s="206">
        <f>VLOOKUP($A201,MasterData!$N$62:$X$111,8,FALSE)</f>
        <v>0.12</v>
      </c>
      <c r="S201" s="207">
        <f>ROUND(R201*MasterData!$I$4,2)</f>
        <v>3863.81</v>
      </c>
      <c r="T201" s="208">
        <f t="shared" si="26"/>
        <v>637959.84000000008</v>
      </c>
      <c r="U201" s="207">
        <f>ROUND(T201*MasterData!$C$29,2)</f>
        <v>142328.84</v>
      </c>
      <c r="V201" s="207">
        <f>ROUND(T201*MasterData!$J$29,2)</f>
        <v>2360.4499999999998</v>
      </c>
      <c r="W201" s="201">
        <f t="shared" si="30"/>
        <v>780288.68</v>
      </c>
      <c r="X201" s="206">
        <f>VLOOKUP($A201,MasterData!$N$62:$X$111,10,FALSE)*52</f>
        <v>52</v>
      </c>
      <c r="Y201" s="207">
        <f>ROUND(X201*MasterData!$C$7,2)</f>
        <v>3138.72</v>
      </c>
      <c r="Z201" s="206">
        <f>VLOOKUP($A201,MasterData!$N$62:$X$111,11,FALSE)*52</f>
        <v>156</v>
      </c>
      <c r="AA201" s="207">
        <f>ROUND(Z201*MasterData!$D$7,2)</f>
        <v>6605.04</v>
      </c>
      <c r="AB201" s="208">
        <f t="shared" si="27"/>
        <v>9743.76</v>
      </c>
      <c r="AC201" s="209">
        <f>MasterData!$M$28</f>
        <v>15472.178595890411</v>
      </c>
      <c r="AD201" s="207">
        <f>MasterData!$D$30</f>
        <v>992.8</v>
      </c>
      <c r="AE201" s="207">
        <f>MasterData!$E$30</f>
        <v>2876.2</v>
      </c>
      <c r="AF201" s="207">
        <f>MasterData!$F$30</f>
        <v>0</v>
      </c>
      <c r="AG201" s="208">
        <f t="shared" si="28"/>
        <v>809373.61859589047</v>
      </c>
      <c r="AH201" s="207">
        <f>ROUND(AG201*MasterData!$G$29,2)</f>
        <v>97124.83</v>
      </c>
      <c r="AI201" s="200">
        <f>((AG201+AH201)*MasterData!$I$29)-'Model Calculator'!W201*MasterData!$I$29</f>
        <v>2246.5338810068497</v>
      </c>
      <c r="AJ201" s="201">
        <f t="shared" si="29"/>
        <v>911105.43247689726</v>
      </c>
      <c r="AK201" s="201">
        <f t="shared" si="31"/>
        <v>2625.66</v>
      </c>
    </row>
    <row r="202" spans="1:37">
      <c r="A202" s="197" t="s">
        <v>89</v>
      </c>
      <c r="B202" s="197" t="str">
        <f t="shared" ref="B202:B265" si="32">CONCATENATE(LEFT(C202,1),LEFT(D202,1),MID(C202,2,4),RIGHT(C202,1))</f>
        <v>M203.51</v>
      </c>
      <c r="C202" s="197" t="s">
        <v>113</v>
      </c>
      <c r="D202" s="226" t="s">
        <v>301</v>
      </c>
      <c r="E202" s="213">
        <f>VLOOKUP($A202,MasterData!$N$62:$X$111,2,FALSE)</f>
        <v>0.18</v>
      </c>
      <c r="F202" s="214">
        <f>ROUND(E202*MasterData!$C$4,2)</f>
        <v>9297.2999999999993</v>
      </c>
      <c r="G202" s="212">
        <f>VLOOKUP($A202,MasterData!$N$62:$X$111,3,FALSE)</f>
        <v>0.66</v>
      </c>
      <c r="H202" s="214">
        <f>ROUND(G202*MasterData!$D$4,2)</f>
        <v>27401.09</v>
      </c>
      <c r="I202" s="212">
        <f t="shared" si="25"/>
        <v>3.5</v>
      </c>
      <c r="J202" s="212">
        <f>VLOOKUP($A202,MasterData!$N$62:$X$111,4,FALSE)</f>
        <v>2.1</v>
      </c>
      <c r="K202" s="214">
        <f>ROUND(J202*MasterData!$B$26,2)</f>
        <v>83187.89</v>
      </c>
      <c r="L202" s="212">
        <f>VLOOKUP($A202,MasterData!$N$62:$X$111,5,FALSE)</f>
        <v>1.4</v>
      </c>
      <c r="M202" s="211">
        <f>ROUND(L202*MasterData!$F$4,2)</f>
        <v>41496</v>
      </c>
      <c r="N202" s="212">
        <f>VLOOKUP($A202,MasterData!$N$62:$X$111,6,FALSE)</f>
        <v>0.54</v>
      </c>
      <c r="O202" s="211">
        <f>ROUND(N202*MasterData!$C$26,2)</f>
        <v>18674.490000000002</v>
      </c>
      <c r="P202" s="212">
        <f>VLOOKUP($A202,MasterData!$N$62:$X$111,7,FALSE)</f>
        <v>0.22</v>
      </c>
      <c r="Q202" s="214">
        <f>ROUND(P202*MasterData!$H$4,2)</f>
        <v>6520.8</v>
      </c>
      <c r="R202" s="212">
        <f>VLOOKUP($A202,MasterData!$N$62:$X$111,8,FALSE)</f>
        <v>0.12</v>
      </c>
      <c r="S202" s="211">
        <f>ROUND(R202*MasterData!$I$4,2)</f>
        <v>3863.81</v>
      </c>
      <c r="T202" s="215">
        <f t="shared" si="26"/>
        <v>190441.37999999998</v>
      </c>
      <c r="U202" s="211">
        <f>ROUND(T202*MasterData!$C$29,2)</f>
        <v>42487.47</v>
      </c>
      <c r="V202" s="211">
        <f>ROUND(T202*MasterData!$J$29,2)</f>
        <v>704.63</v>
      </c>
      <c r="W202" s="201">
        <f t="shared" si="30"/>
        <v>232928.84999999998</v>
      </c>
      <c r="X202" s="212">
        <f>VLOOKUP($A202,MasterData!$N$62:$X$111,10,FALSE)*52</f>
        <v>52</v>
      </c>
      <c r="Y202" s="211">
        <f>ROUND(X202*MasterData!$C$7,2)</f>
        <v>3138.72</v>
      </c>
      <c r="Z202" s="212">
        <f>VLOOKUP($A202,MasterData!$N$62:$X$111,11,FALSE)*52</f>
        <v>156</v>
      </c>
      <c r="AA202" s="211">
        <f>ROUND(Z202*MasterData!$D$7,2)</f>
        <v>6605.04</v>
      </c>
      <c r="AB202" s="215">
        <f t="shared" si="27"/>
        <v>9743.76</v>
      </c>
      <c r="AC202" s="216">
        <f>MasterData!$M$28</f>
        <v>15472.178595890411</v>
      </c>
      <c r="AD202" s="211">
        <f>MasterData!$D$30</f>
        <v>992.8</v>
      </c>
      <c r="AE202" s="211">
        <f>MasterData!$E$30</f>
        <v>2876.2</v>
      </c>
      <c r="AF202" s="211">
        <f>MasterData!$F$30</f>
        <v>0</v>
      </c>
      <c r="AG202" s="215">
        <f t="shared" si="28"/>
        <v>262013.78859589039</v>
      </c>
      <c r="AH202" s="211">
        <f>ROUND(AG202*MasterData!$G$29,2)</f>
        <v>31441.65</v>
      </c>
      <c r="AI202" s="200">
        <f>((AG202+AH202)*MasterData!$I$29)-'Model Calculator'!W202*MasterData!$I$29</f>
        <v>1077.37327700685</v>
      </c>
      <c r="AJ202" s="201">
        <f t="shared" si="29"/>
        <v>295237.44187289727</v>
      </c>
      <c r="AK202" s="201">
        <f t="shared" si="31"/>
        <v>850.83</v>
      </c>
    </row>
    <row r="203" spans="1:37">
      <c r="A203" s="197" t="s">
        <v>90</v>
      </c>
      <c r="B203" s="197" t="str">
        <f t="shared" si="32"/>
        <v>M204.01</v>
      </c>
      <c r="C203" s="197" t="s">
        <v>114</v>
      </c>
      <c r="D203" s="226" t="s">
        <v>301</v>
      </c>
      <c r="E203" s="213">
        <f>VLOOKUP($A203,MasterData!$N$62:$X$111,2,FALSE)</f>
        <v>0.18</v>
      </c>
      <c r="F203" s="214">
        <f>ROUND(E203*MasterData!$C$4,2)</f>
        <v>9297.2999999999993</v>
      </c>
      <c r="G203" s="212">
        <f>VLOOKUP($A203,MasterData!$N$62:$X$111,3,FALSE)</f>
        <v>0.66</v>
      </c>
      <c r="H203" s="214">
        <f>ROUND(G203*MasterData!$D$4,2)</f>
        <v>27401.09</v>
      </c>
      <c r="I203" s="212">
        <f t="shared" si="25"/>
        <v>4</v>
      </c>
      <c r="J203" s="212">
        <f>VLOOKUP($A203,MasterData!$N$62:$X$111,4,FALSE)</f>
        <v>2.6</v>
      </c>
      <c r="K203" s="214">
        <f>ROUND(J203*MasterData!$B$26,2)</f>
        <v>102994.53</v>
      </c>
      <c r="L203" s="212">
        <f>VLOOKUP($A203,MasterData!$N$62:$X$111,5,FALSE)</f>
        <v>1.4</v>
      </c>
      <c r="M203" s="211">
        <f>ROUND(L203*MasterData!$F$4,2)</f>
        <v>41496</v>
      </c>
      <c r="N203" s="212">
        <f>VLOOKUP($A203,MasterData!$N$62:$X$111,6,FALSE)</f>
        <v>0.62</v>
      </c>
      <c r="O203" s="211">
        <f>ROUND(N203*MasterData!$C$26,2)</f>
        <v>21441.08</v>
      </c>
      <c r="P203" s="212">
        <f>VLOOKUP($A203,MasterData!$N$62:$X$111,7,FALSE)</f>
        <v>0.22</v>
      </c>
      <c r="Q203" s="214">
        <f>ROUND(P203*MasterData!$H$4,2)</f>
        <v>6520.8</v>
      </c>
      <c r="R203" s="212">
        <f>VLOOKUP($A203,MasterData!$N$62:$X$111,8,FALSE)</f>
        <v>0.12</v>
      </c>
      <c r="S203" s="211">
        <f>ROUND(R203*MasterData!$I$4,2)</f>
        <v>3863.81</v>
      </c>
      <c r="T203" s="215">
        <f t="shared" si="26"/>
        <v>213014.61</v>
      </c>
      <c r="U203" s="211">
        <f>ROUND(T203*MasterData!$C$29,2)</f>
        <v>47523.56</v>
      </c>
      <c r="V203" s="211">
        <f>ROUND(T203*MasterData!$J$29,2)</f>
        <v>788.15</v>
      </c>
      <c r="W203" s="201">
        <f t="shared" si="30"/>
        <v>260538.16999999998</v>
      </c>
      <c r="X203" s="212">
        <f>VLOOKUP($A203,MasterData!$N$62:$X$111,10,FALSE)*52</f>
        <v>52</v>
      </c>
      <c r="Y203" s="211">
        <f>ROUND(X203*MasterData!$C$7,2)</f>
        <v>3138.72</v>
      </c>
      <c r="Z203" s="212">
        <f>VLOOKUP($A203,MasterData!$N$62:$X$111,11,FALSE)*52</f>
        <v>156</v>
      </c>
      <c r="AA203" s="211">
        <f>ROUND(Z203*MasterData!$D$7,2)</f>
        <v>6605.04</v>
      </c>
      <c r="AB203" s="215">
        <f t="shared" si="27"/>
        <v>9743.76</v>
      </c>
      <c r="AC203" s="216">
        <f>MasterData!$M$28</f>
        <v>15472.178595890411</v>
      </c>
      <c r="AD203" s="211">
        <f>MasterData!$D$30</f>
        <v>992.8</v>
      </c>
      <c r="AE203" s="211">
        <f>MasterData!$E$30</f>
        <v>2876.2</v>
      </c>
      <c r="AF203" s="211">
        <f>MasterData!$F$30</f>
        <v>0</v>
      </c>
      <c r="AG203" s="215">
        <f t="shared" si="28"/>
        <v>289623.1085958904</v>
      </c>
      <c r="AH203" s="211">
        <f>ROUND(AG203*MasterData!$G$29,2)</f>
        <v>34754.769999999997</v>
      </c>
      <c r="AI203" s="200">
        <f>((AG203+AH203)*MasterData!$I$29)-'Model Calculator'!W203*MasterData!$I$29</f>
        <v>1136.3468130068504</v>
      </c>
      <c r="AJ203" s="201">
        <f t="shared" si="29"/>
        <v>326302.37540889729</v>
      </c>
      <c r="AK203" s="201">
        <f t="shared" si="31"/>
        <v>940.35</v>
      </c>
    </row>
    <row r="204" spans="1:37">
      <c r="A204" s="197" t="s">
        <v>91</v>
      </c>
      <c r="B204" s="197" t="str">
        <f t="shared" si="32"/>
        <v>M204.51</v>
      </c>
      <c r="C204" s="197" t="s">
        <v>115</v>
      </c>
      <c r="D204" s="226" t="s">
        <v>301</v>
      </c>
      <c r="E204" s="213">
        <f>VLOOKUP($A204,MasterData!$N$62:$X$111,2,FALSE)</f>
        <v>0.18</v>
      </c>
      <c r="F204" s="214">
        <f>ROUND(E204*MasterData!$C$4,2)</f>
        <v>9297.2999999999993</v>
      </c>
      <c r="G204" s="212">
        <f>VLOOKUP($A204,MasterData!$N$62:$X$111,3,FALSE)</f>
        <v>0.66</v>
      </c>
      <c r="H204" s="214">
        <f>ROUND(G204*MasterData!$D$4,2)</f>
        <v>27401.09</v>
      </c>
      <c r="I204" s="212">
        <f t="shared" si="25"/>
        <v>4.5</v>
      </c>
      <c r="J204" s="212">
        <f>VLOOKUP($A204,MasterData!$N$62:$X$111,4,FALSE)</f>
        <v>3.1</v>
      </c>
      <c r="K204" s="214">
        <f>ROUND(J204*MasterData!$B$26,2)</f>
        <v>122801.17</v>
      </c>
      <c r="L204" s="212">
        <f>VLOOKUP($A204,MasterData!$N$62:$X$111,5,FALSE)</f>
        <v>1.4</v>
      </c>
      <c r="M204" s="211">
        <f>ROUND(L204*MasterData!$F$4,2)</f>
        <v>41496</v>
      </c>
      <c r="N204" s="212">
        <f>VLOOKUP($A204,MasterData!$N$62:$X$111,6,FALSE)</f>
        <v>0.69</v>
      </c>
      <c r="O204" s="211">
        <f>ROUND(N204*MasterData!$C$26,2)</f>
        <v>23861.85</v>
      </c>
      <c r="P204" s="212">
        <f>VLOOKUP($A204,MasterData!$N$62:$X$111,7,FALSE)</f>
        <v>0.22</v>
      </c>
      <c r="Q204" s="214">
        <f>ROUND(P204*MasterData!$H$4,2)</f>
        <v>6520.8</v>
      </c>
      <c r="R204" s="212">
        <f>VLOOKUP($A204,MasterData!$N$62:$X$111,8,FALSE)</f>
        <v>0.12</v>
      </c>
      <c r="S204" s="211">
        <f>ROUND(R204*MasterData!$I$4,2)</f>
        <v>3863.81</v>
      </c>
      <c r="T204" s="215">
        <f t="shared" si="26"/>
        <v>235242.02</v>
      </c>
      <c r="U204" s="211">
        <f>ROUND(T204*MasterData!$C$29,2)</f>
        <v>52482.49</v>
      </c>
      <c r="V204" s="211">
        <f>ROUND(T204*MasterData!$J$29,2)</f>
        <v>870.4</v>
      </c>
      <c r="W204" s="201">
        <f t="shared" si="30"/>
        <v>287724.51</v>
      </c>
      <c r="X204" s="212">
        <f>VLOOKUP($A204,MasterData!$N$62:$X$111,10,FALSE)*52</f>
        <v>52</v>
      </c>
      <c r="Y204" s="211">
        <f>ROUND(X204*MasterData!$C$7,2)</f>
        <v>3138.72</v>
      </c>
      <c r="Z204" s="212">
        <f>VLOOKUP($A204,MasterData!$N$62:$X$111,11,FALSE)*52</f>
        <v>156</v>
      </c>
      <c r="AA204" s="211">
        <f>ROUND(Z204*MasterData!$D$7,2)</f>
        <v>6605.04</v>
      </c>
      <c r="AB204" s="215">
        <f t="shared" si="27"/>
        <v>9743.76</v>
      </c>
      <c r="AC204" s="216">
        <f>MasterData!$M$28</f>
        <v>15472.178595890411</v>
      </c>
      <c r="AD204" s="211">
        <f>MasterData!$D$30</f>
        <v>992.8</v>
      </c>
      <c r="AE204" s="211">
        <f>MasterData!$E$30</f>
        <v>2876.2</v>
      </c>
      <c r="AF204" s="211">
        <f>MasterData!$F$30</f>
        <v>0</v>
      </c>
      <c r="AG204" s="215">
        <f t="shared" si="28"/>
        <v>316809.44859589043</v>
      </c>
      <c r="AH204" s="211">
        <f>ROUND(AG204*MasterData!$G$29,2)</f>
        <v>38017.129999999997</v>
      </c>
      <c r="AI204" s="200">
        <f>((AG204+AH204)*MasterData!$I$29)-'Model Calculator'!W204*MasterData!$I$29</f>
        <v>1194.4168210068492</v>
      </c>
      <c r="AJ204" s="201">
        <f t="shared" si="29"/>
        <v>356891.39541689731</v>
      </c>
      <c r="AK204" s="201">
        <f t="shared" si="31"/>
        <v>1028.51</v>
      </c>
    </row>
    <row r="205" spans="1:37">
      <c r="A205" s="197" t="s">
        <v>92</v>
      </c>
      <c r="B205" s="197" t="str">
        <f t="shared" si="32"/>
        <v>M205.01</v>
      </c>
      <c r="C205" s="197" t="s">
        <v>116</v>
      </c>
      <c r="D205" s="226" t="s">
        <v>301</v>
      </c>
      <c r="E205" s="213">
        <f>VLOOKUP($A205,MasterData!$N$62:$X$111,2,FALSE)</f>
        <v>0.18</v>
      </c>
      <c r="F205" s="214">
        <f>ROUND(E205*MasterData!$C$4,2)</f>
        <v>9297.2999999999993</v>
      </c>
      <c r="G205" s="212">
        <f>VLOOKUP($A205,MasterData!$N$62:$X$111,3,FALSE)</f>
        <v>0.66</v>
      </c>
      <c r="H205" s="214">
        <f>ROUND(G205*MasterData!$D$4,2)</f>
        <v>27401.09</v>
      </c>
      <c r="I205" s="212">
        <f t="shared" si="25"/>
        <v>5</v>
      </c>
      <c r="J205" s="212">
        <f>VLOOKUP($A205,MasterData!$N$62:$X$111,4,FALSE)</f>
        <v>3.6</v>
      </c>
      <c r="K205" s="214">
        <f>ROUND(J205*MasterData!$B$26,2)</f>
        <v>142607.81</v>
      </c>
      <c r="L205" s="212">
        <f>VLOOKUP($A205,MasterData!$N$62:$X$111,5,FALSE)</f>
        <v>1.4</v>
      </c>
      <c r="M205" s="211">
        <f>ROUND(L205*MasterData!$F$4,2)</f>
        <v>41496</v>
      </c>
      <c r="N205" s="212">
        <f>VLOOKUP($A205,MasterData!$N$62:$X$111,6,FALSE)</f>
        <v>0.77</v>
      </c>
      <c r="O205" s="211">
        <f>ROUND(N205*MasterData!$C$26,2)</f>
        <v>26628.44</v>
      </c>
      <c r="P205" s="212">
        <f>VLOOKUP($A205,MasterData!$N$62:$X$111,7,FALSE)</f>
        <v>0.22</v>
      </c>
      <c r="Q205" s="214">
        <f>ROUND(P205*MasterData!$H$4,2)</f>
        <v>6520.8</v>
      </c>
      <c r="R205" s="212">
        <f>VLOOKUP($A205,MasterData!$N$62:$X$111,8,FALSE)</f>
        <v>0.12</v>
      </c>
      <c r="S205" s="211">
        <f>ROUND(R205*MasterData!$I$4,2)</f>
        <v>3863.81</v>
      </c>
      <c r="T205" s="215">
        <f t="shared" si="26"/>
        <v>257815.25</v>
      </c>
      <c r="U205" s="211">
        <f>ROUND(T205*MasterData!$C$29,2)</f>
        <v>57518.58</v>
      </c>
      <c r="V205" s="211">
        <f>ROUND(T205*MasterData!$J$29,2)</f>
        <v>953.92</v>
      </c>
      <c r="W205" s="201">
        <f t="shared" si="30"/>
        <v>315333.83</v>
      </c>
      <c r="X205" s="212">
        <f>VLOOKUP($A205,MasterData!$N$62:$X$111,10,FALSE)*52</f>
        <v>52</v>
      </c>
      <c r="Y205" s="211">
        <f>ROUND(X205*MasterData!$C$7,2)</f>
        <v>3138.72</v>
      </c>
      <c r="Z205" s="212">
        <f>VLOOKUP($A205,MasterData!$N$62:$X$111,11,FALSE)*52</f>
        <v>156</v>
      </c>
      <c r="AA205" s="211">
        <f>ROUND(Z205*MasterData!$D$7,2)</f>
        <v>6605.04</v>
      </c>
      <c r="AB205" s="215">
        <f t="shared" si="27"/>
        <v>9743.76</v>
      </c>
      <c r="AC205" s="216">
        <f>MasterData!$M$28</f>
        <v>15472.178595890411</v>
      </c>
      <c r="AD205" s="211">
        <f>MasterData!$D$30</f>
        <v>992.8</v>
      </c>
      <c r="AE205" s="211">
        <f>MasterData!$E$30</f>
        <v>2876.2</v>
      </c>
      <c r="AF205" s="211">
        <f>MasterData!$F$30</f>
        <v>0</v>
      </c>
      <c r="AG205" s="215">
        <f t="shared" si="28"/>
        <v>344418.76859589043</v>
      </c>
      <c r="AH205" s="211">
        <f>ROUND(AG205*MasterData!$G$29,2)</f>
        <v>41330.25</v>
      </c>
      <c r="AI205" s="200">
        <f>((AG205+AH205)*MasterData!$I$29)-'Model Calculator'!W205*MasterData!$I$29</f>
        <v>1253.3903570068496</v>
      </c>
      <c r="AJ205" s="201">
        <f t="shared" si="29"/>
        <v>387956.32895289728</v>
      </c>
      <c r="AK205" s="201">
        <f t="shared" si="31"/>
        <v>1118.03</v>
      </c>
    </row>
    <row r="206" spans="1:37">
      <c r="A206" s="197" t="s">
        <v>93</v>
      </c>
      <c r="B206" s="197" t="str">
        <f t="shared" si="32"/>
        <v>M205.51</v>
      </c>
      <c r="C206" s="197" t="s">
        <v>117</v>
      </c>
      <c r="D206" s="226" t="s">
        <v>301</v>
      </c>
      <c r="E206" s="213">
        <f>VLOOKUP($A206,MasterData!$N$62:$X$111,2,FALSE)</f>
        <v>0.18</v>
      </c>
      <c r="F206" s="214">
        <f>ROUND(E206*MasterData!$C$4,2)</f>
        <v>9297.2999999999993</v>
      </c>
      <c r="G206" s="212">
        <f>VLOOKUP($A206,MasterData!$N$62:$X$111,3,FALSE)</f>
        <v>0.66</v>
      </c>
      <c r="H206" s="214">
        <f>ROUND(G206*MasterData!$D$4,2)</f>
        <v>27401.09</v>
      </c>
      <c r="I206" s="212">
        <f t="shared" si="25"/>
        <v>5.5</v>
      </c>
      <c r="J206" s="212">
        <f>VLOOKUP($A206,MasterData!$N$62:$X$111,4,FALSE)</f>
        <v>4.0999999999999996</v>
      </c>
      <c r="K206" s="214">
        <f>ROUND(J206*MasterData!$B$26,2)</f>
        <v>162414.45000000001</v>
      </c>
      <c r="L206" s="212">
        <f>VLOOKUP($A206,MasterData!$N$62:$X$111,5,FALSE)</f>
        <v>1.4</v>
      </c>
      <c r="M206" s="211">
        <f>ROUND(L206*MasterData!$F$4,2)</f>
        <v>41496</v>
      </c>
      <c r="N206" s="212">
        <f>VLOOKUP($A206,MasterData!$N$62:$X$111,6,FALSE)</f>
        <v>0.85</v>
      </c>
      <c r="O206" s="211">
        <f>ROUND(N206*MasterData!$C$26,2)</f>
        <v>29395.03</v>
      </c>
      <c r="P206" s="212">
        <f>VLOOKUP($A206,MasterData!$N$62:$X$111,7,FALSE)</f>
        <v>0.22</v>
      </c>
      <c r="Q206" s="214">
        <f>ROUND(P206*MasterData!$H$4,2)</f>
        <v>6520.8</v>
      </c>
      <c r="R206" s="212">
        <f>VLOOKUP($A206,MasterData!$N$62:$X$111,8,FALSE)</f>
        <v>0.12</v>
      </c>
      <c r="S206" s="211">
        <f>ROUND(R206*MasterData!$I$4,2)</f>
        <v>3863.81</v>
      </c>
      <c r="T206" s="215">
        <f t="shared" si="26"/>
        <v>280388.47999999998</v>
      </c>
      <c r="U206" s="211">
        <f>ROUND(T206*MasterData!$C$29,2)</f>
        <v>62554.67</v>
      </c>
      <c r="V206" s="211">
        <f>ROUND(T206*MasterData!$J$29,2)</f>
        <v>1037.44</v>
      </c>
      <c r="W206" s="201">
        <f t="shared" si="30"/>
        <v>342943.14999999997</v>
      </c>
      <c r="X206" s="212">
        <f>VLOOKUP($A206,MasterData!$N$62:$X$111,10,FALSE)*52</f>
        <v>52</v>
      </c>
      <c r="Y206" s="211">
        <f>ROUND(X206*MasterData!$C$7,2)</f>
        <v>3138.72</v>
      </c>
      <c r="Z206" s="212">
        <f>VLOOKUP($A206,MasterData!$N$62:$X$111,11,FALSE)*52</f>
        <v>156</v>
      </c>
      <c r="AA206" s="211">
        <f>ROUND(Z206*MasterData!$D$7,2)</f>
        <v>6605.04</v>
      </c>
      <c r="AB206" s="215">
        <f t="shared" si="27"/>
        <v>9743.76</v>
      </c>
      <c r="AC206" s="216">
        <f>MasterData!$M$28</f>
        <v>15472.178595890411</v>
      </c>
      <c r="AD206" s="211">
        <f>MasterData!$D$30</f>
        <v>992.8</v>
      </c>
      <c r="AE206" s="211">
        <f>MasterData!$E$30</f>
        <v>2876.2</v>
      </c>
      <c r="AF206" s="211">
        <f>MasterData!$F$30</f>
        <v>0</v>
      </c>
      <c r="AG206" s="215">
        <f t="shared" si="28"/>
        <v>372028.08859589038</v>
      </c>
      <c r="AH206" s="211">
        <f>ROUND(AG206*MasterData!$G$29,2)</f>
        <v>44643.37</v>
      </c>
      <c r="AI206" s="200">
        <f>((AG206+AH206)*MasterData!$I$29)-'Model Calculator'!W206*MasterData!$I$29</f>
        <v>1312.3638930068491</v>
      </c>
      <c r="AJ206" s="201">
        <f t="shared" si="29"/>
        <v>419021.26248889725</v>
      </c>
      <c r="AK206" s="201">
        <f t="shared" si="31"/>
        <v>1207.55</v>
      </c>
    </row>
    <row r="207" spans="1:37">
      <c r="A207" s="197" t="s">
        <v>213</v>
      </c>
      <c r="B207" s="197" t="str">
        <f t="shared" si="32"/>
        <v>M206.01</v>
      </c>
      <c r="C207" s="197" t="s">
        <v>214</v>
      </c>
      <c r="D207" s="226" t="s">
        <v>301</v>
      </c>
      <c r="E207" s="213">
        <f>VLOOKUP($A207,MasterData!$N$62:$X$111,2,FALSE)</f>
        <v>0.18</v>
      </c>
      <c r="F207" s="214">
        <f>ROUND(E207*MasterData!$C$4,2)</f>
        <v>9297.2999999999993</v>
      </c>
      <c r="G207" s="212">
        <f>VLOOKUP($A207,MasterData!$N$62:$X$111,3,FALSE)</f>
        <v>0.66</v>
      </c>
      <c r="H207" s="214">
        <f>ROUND(G207*MasterData!$D$4,2)</f>
        <v>27401.09</v>
      </c>
      <c r="I207" s="212">
        <f t="shared" si="25"/>
        <v>6</v>
      </c>
      <c r="J207" s="212">
        <f>VLOOKUP($A207,MasterData!$N$62:$X$111,4,FALSE)</f>
        <v>4.5999999999999996</v>
      </c>
      <c r="K207" s="214">
        <f>ROUND(J207*MasterData!$B$26,2)</f>
        <v>182221.09</v>
      </c>
      <c r="L207" s="212">
        <f>VLOOKUP($A207,MasterData!$N$62:$X$111,5,FALSE)</f>
        <v>1.4</v>
      </c>
      <c r="M207" s="211">
        <f>ROUND(L207*MasterData!$F$4,2)</f>
        <v>41496</v>
      </c>
      <c r="N207" s="212">
        <f>VLOOKUP($A207,MasterData!$N$62:$X$111,6,FALSE)</f>
        <v>0.92</v>
      </c>
      <c r="O207" s="211">
        <f>ROUND(N207*MasterData!$C$26,2)</f>
        <v>31815.8</v>
      </c>
      <c r="P207" s="212">
        <f>VLOOKUP($A207,MasterData!$N$62:$X$111,7,FALSE)</f>
        <v>0.22</v>
      </c>
      <c r="Q207" s="214">
        <f>ROUND(P207*MasterData!$H$4,2)</f>
        <v>6520.8</v>
      </c>
      <c r="R207" s="212">
        <f>VLOOKUP($A207,MasterData!$N$62:$X$111,8,FALSE)</f>
        <v>0.12</v>
      </c>
      <c r="S207" s="211">
        <f>ROUND(R207*MasterData!$I$4,2)</f>
        <v>3863.81</v>
      </c>
      <c r="T207" s="215">
        <f t="shared" si="26"/>
        <v>302615.88999999996</v>
      </c>
      <c r="U207" s="211">
        <f>ROUND(T207*MasterData!$C$29,2)</f>
        <v>67513.61</v>
      </c>
      <c r="V207" s="211">
        <f>ROUND(T207*MasterData!$J$29,2)</f>
        <v>1119.68</v>
      </c>
      <c r="W207" s="201">
        <f t="shared" si="30"/>
        <v>370129.49999999994</v>
      </c>
      <c r="X207" s="212">
        <f>VLOOKUP($A207,MasterData!$N$62:$X$111,10,FALSE)*52</f>
        <v>52</v>
      </c>
      <c r="Y207" s="211">
        <f>ROUND(X207*MasterData!$C$7,2)</f>
        <v>3138.72</v>
      </c>
      <c r="Z207" s="212">
        <f>VLOOKUP($A207,MasterData!$N$62:$X$111,11,FALSE)*52</f>
        <v>156</v>
      </c>
      <c r="AA207" s="211">
        <f>ROUND(Z207*MasterData!$D$7,2)</f>
        <v>6605.04</v>
      </c>
      <c r="AB207" s="215">
        <f t="shared" si="27"/>
        <v>9743.76</v>
      </c>
      <c r="AC207" s="216">
        <f>MasterData!$M$28</f>
        <v>15472.178595890411</v>
      </c>
      <c r="AD207" s="211">
        <f>MasterData!$D$30</f>
        <v>992.8</v>
      </c>
      <c r="AE207" s="211">
        <f>MasterData!$E$30</f>
        <v>2876.2</v>
      </c>
      <c r="AF207" s="211">
        <f>MasterData!$F$30</f>
        <v>0</v>
      </c>
      <c r="AG207" s="215">
        <f t="shared" si="28"/>
        <v>399214.43859589036</v>
      </c>
      <c r="AH207" s="211">
        <f>ROUND(AG207*MasterData!$G$29,2)</f>
        <v>47905.73</v>
      </c>
      <c r="AI207" s="200">
        <f>((AG207+AH207)*MasterData!$I$29)-'Model Calculator'!W207*MasterData!$I$29</f>
        <v>1370.4339010068497</v>
      </c>
      <c r="AJ207" s="201">
        <f t="shared" si="29"/>
        <v>449610.28249689715</v>
      </c>
      <c r="AK207" s="201">
        <f t="shared" si="31"/>
        <v>1295.71</v>
      </c>
    </row>
    <row r="208" spans="1:37">
      <c r="A208" s="197" t="s">
        <v>94</v>
      </c>
      <c r="B208" s="197" t="str">
        <f t="shared" si="32"/>
        <v>M206.51</v>
      </c>
      <c r="C208" s="197" t="s">
        <v>118</v>
      </c>
      <c r="D208" s="226" t="s">
        <v>301</v>
      </c>
      <c r="E208" s="213">
        <f>VLOOKUP($A208,MasterData!$N$62:$X$111,2,FALSE)</f>
        <v>0.18</v>
      </c>
      <c r="F208" s="214">
        <f>ROUND(E208*MasterData!$C$4,2)</f>
        <v>9297.2999999999993</v>
      </c>
      <c r="G208" s="212">
        <f>VLOOKUP($A208,MasterData!$N$62:$X$111,3,FALSE)</f>
        <v>0.66</v>
      </c>
      <c r="H208" s="214">
        <f>ROUND(G208*MasterData!$D$4,2)</f>
        <v>27401.09</v>
      </c>
      <c r="I208" s="212">
        <f t="shared" si="25"/>
        <v>6.5</v>
      </c>
      <c r="J208" s="212">
        <f>VLOOKUP($A208,MasterData!$N$62:$X$111,4,FALSE)</f>
        <v>5.0999999999999996</v>
      </c>
      <c r="K208" s="214">
        <f>ROUND(J208*MasterData!$B$26,2)</f>
        <v>202027.73</v>
      </c>
      <c r="L208" s="212">
        <f>VLOOKUP($A208,MasterData!$N$62:$X$111,5,FALSE)</f>
        <v>1.4</v>
      </c>
      <c r="M208" s="211">
        <f>ROUND(L208*MasterData!$F$4,2)</f>
        <v>41496</v>
      </c>
      <c r="N208" s="212">
        <f>VLOOKUP($A208,MasterData!$N$62:$X$111,6,FALSE)</f>
        <v>1</v>
      </c>
      <c r="O208" s="211">
        <f>ROUND(N208*MasterData!$C$26,2)</f>
        <v>34582.39</v>
      </c>
      <c r="P208" s="212">
        <f>VLOOKUP($A208,MasterData!$N$62:$X$111,7,FALSE)</f>
        <v>0.22</v>
      </c>
      <c r="Q208" s="214">
        <f>ROUND(P208*MasterData!$H$4,2)</f>
        <v>6520.8</v>
      </c>
      <c r="R208" s="212">
        <f>VLOOKUP($A208,MasterData!$N$62:$X$111,8,FALSE)</f>
        <v>0.12</v>
      </c>
      <c r="S208" s="211">
        <f>ROUND(R208*MasterData!$I$4,2)</f>
        <v>3863.81</v>
      </c>
      <c r="T208" s="215">
        <f t="shared" si="26"/>
        <v>325189.12</v>
      </c>
      <c r="U208" s="211">
        <f>ROUND(T208*MasterData!$C$29,2)</f>
        <v>72549.69</v>
      </c>
      <c r="V208" s="211">
        <f>ROUND(T208*MasterData!$J$29,2)</f>
        <v>1203.2</v>
      </c>
      <c r="W208" s="201">
        <f t="shared" si="30"/>
        <v>397738.81</v>
      </c>
      <c r="X208" s="212">
        <f>VLOOKUP($A208,MasterData!$N$62:$X$111,10,FALSE)*52</f>
        <v>52</v>
      </c>
      <c r="Y208" s="211">
        <f>ROUND(X208*MasterData!$C$7,2)</f>
        <v>3138.72</v>
      </c>
      <c r="Z208" s="212">
        <f>VLOOKUP($A208,MasterData!$N$62:$X$111,11,FALSE)*52</f>
        <v>156</v>
      </c>
      <c r="AA208" s="211">
        <f>ROUND(Z208*MasterData!$D$7,2)</f>
        <v>6605.04</v>
      </c>
      <c r="AB208" s="215">
        <f t="shared" si="27"/>
        <v>9743.76</v>
      </c>
      <c r="AC208" s="216">
        <f>MasterData!$M$28</f>
        <v>15472.178595890411</v>
      </c>
      <c r="AD208" s="211">
        <f>MasterData!$D$30</f>
        <v>992.8</v>
      </c>
      <c r="AE208" s="211">
        <f>MasterData!$E$30</f>
        <v>2876.2</v>
      </c>
      <c r="AF208" s="211">
        <f>MasterData!$F$30</f>
        <v>0</v>
      </c>
      <c r="AG208" s="215">
        <f t="shared" si="28"/>
        <v>426823.74859589041</v>
      </c>
      <c r="AH208" s="211">
        <f>ROUND(AG208*MasterData!$G$29,2)</f>
        <v>51218.85</v>
      </c>
      <c r="AI208" s="200">
        <f>((AG208+AH208)*MasterData!$I$29)-'Model Calculator'!W208*MasterData!$I$29</f>
        <v>1429.4074370068492</v>
      </c>
      <c r="AJ208" s="201">
        <f t="shared" si="29"/>
        <v>480675.20603289723</v>
      </c>
      <c r="AK208" s="201">
        <f t="shared" si="31"/>
        <v>1385.23</v>
      </c>
    </row>
    <row r="209" spans="1:37">
      <c r="A209" s="197" t="s">
        <v>95</v>
      </c>
      <c r="B209" s="197" t="str">
        <f t="shared" si="32"/>
        <v>M207.01</v>
      </c>
      <c r="C209" s="197" t="s">
        <v>119</v>
      </c>
      <c r="D209" s="226" t="s">
        <v>301</v>
      </c>
      <c r="E209" s="213">
        <f>VLOOKUP($A209,MasterData!$N$62:$X$111,2,FALSE)</f>
        <v>0.18</v>
      </c>
      <c r="F209" s="214">
        <f>ROUND(E209*MasterData!$C$4,2)</f>
        <v>9297.2999999999993</v>
      </c>
      <c r="G209" s="212">
        <f>VLOOKUP($A209,MasterData!$N$62:$X$111,3,FALSE)</f>
        <v>0.66</v>
      </c>
      <c r="H209" s="214">
        <f>ROUND(G209*MasterData!$D$4,2)</f>
        <v>27401.09</v>
      </c>
      <c r="I209" s="212">
        <f t="shared" si="25"/>
        <v>7</v>
      </c>
      <c r="J209" s="212">
        <f>VLOOKUP($A209,MasterData!$N$62:$X$111,4,FALSE)</f>
        <v>5.6</v>
      </c>
      <c r="K209" s="214">
        <f>ROUND(J209*MasterData!$B$26,2)</f>
        <v>221834.37</v>
      </c>
      <c r="L209" s="212">
        <f>VLOOKUP($A209,MasterData!$N$62:$X$111,5,FALSE)</f>
        <v>1.4</v>
      </c>
      <c r="M209" s="211">
        <f>ROUND(L209*MasterData!$F$4,2)</f>
        <v>41496</v>
      </c>
      <c r="N209" s="212">
        <f>VLOOKUP($A209,MasterData!$N$62:$X$111,6,FALSE)</f>
        <v>1.08</v>
      </c>
      <c r="O209" s="211">
        <f>ROUND(N209*MasterData!$C$26,2)</f>
        <v>37348.980000000003</v>
      </c>
      <c r="P209" s="212">
        <f>VLOOKUP($A209,MasterData!$N$62:$X$111,7,FALSE)</f>
        <v>0.22</v>
      </c>
      <c r="Q209" s="214">
        <f>ROUND(P209*MasterData!$H$4,2)</f>
        <v>6520.8</v>
      </c>
      <c r="R209" s="212">
        <f>VLOOKUP($A209,MasterData!$N$62:$X$111,8,FALSE)</f>
        <v>0.12</v>
      </c>
      <c r="S209" s="211">
        <f>ROUND(R209*MasterData!$I$4,2)</f>
        <v>3863.81</v>
      </c>
      <c r="T209" s="215">
        <f t="shared" si="26"/>
        <v>347762.35</v>
      </c>
      <c r="U209" s="211">
        <f>ROUND(T209*MasterData!$C$29,2)</f>
        <v>77585.78</v>
      </c>
      <c r="V209" s="211">
        <f>ROUND(T209*MasterData!$J$29,2)</f>
        <v>1286.72</v>
      </c>
      <c r="W209" s="201">
        <f t="shared" si="30"/>
        <v>425348.13</v>
      </c>
      <c r="X209" s="212">
        <f>VLOOKUP($A209,MasterData!$N$62:$X$111,10,FALSE)*52</f>
        <v>52</v>
      </c>
      <c r="Y209" s="211">
        <f>ROUND(X209*MasterData!$C$7,2)</f>
        <v>3138.72</v>
      </c>
      <c r="Z209" s="212">
        <f>VLOOKUP($A209,MasterData!$N$62:$X$111,11,FALSE)*52</f>
        <v>156</v>
      </c>
      <c r="AA209" s="211">
        <f>ROUND(Z209*MasterData!$D$7,2)</f>
        <v>6605.04</v>
      </c>
      <c r="AB209" s="215">
        <f t="shared" si="27"/>
        <v>9743.76</v>
      </c>
      <c r="AC209" s="216">
        <f>MasterData!$M$28</f>
        <v>15472.178595890411</v>
      </c>
      <c r="AD209" s="211">
        <f>MasterData!$D$30</f>
        <v>992.8</v>
      </c>
      <c r="AE209" s="211">
        <f>MasterData!$E$30</f>
        <v>2876.2</v>
      </c>
      <c r="AF209" s="211">
        <f>MasterData!$F$30</f>
        <v>0</v>
      </c>
      <c r="AG209" s="215">
        <f t="shared" si="28"/>
        <v>454433.06859589042</v>
      </c>
      <c r="AH209" s="211">
        <f>ROUND(AG209*MasterData!$G$29,2)</f>
        <v>54531.97</v>
      </c>
      <c r="AI209" s="200">
        <f>((AG209+AH209)*MasterData!$I$29)-'Model Calculator'!W209*MasterData!$I$29</f>
        <v>1488.3809730068497</v>
      </c>
      <c r="AJ209" s="201">
        <f t="shared" si="29"/>
        <v>511740.1395688972</v>
      </c>
      <c r="AK209" s="201">
        <f t="shared" si="31"/>
        <v>1474.76</v>
      </c>
    </row>
    <row r="210" spans="1:37">
      <c r="A210" s="197" t="s">
        <v>96</v>
      </c>
      <c r="B210" s="197" t="str">
        <f t="shared" si="32"/>
        <v>M207.51</v>
      </c>
      <c r="C210" s="197" t="s">
        <v>120</v>
      </c>
      <c r="D210" s="226" t="s">
        <v>301</v>
      </c>
      <c r="E210" s="213">
        <f>VLOOKUP($A210,MasterData!$N$62:$X$111,2,FALSE)</f>
        <v>0.18</v>
      </c>
      <c r="F210" s="214">
        <f>ROUND(E210*MasterData!$C$4,2)</f>
        <v>9297.2999999999993</v>
      </c>
      <c r="G210" s="212">
        <f>VLOOKUP($A210,MasterData!$N$62:$X$111,3,FALSE)</f>
        <v>0.66</v>
      </c>
      <c r="H210" s="214">
        <f>ROUND(G210*MasterData!$D$4,2)</f>
        <v>27401.09</v>
      </c>
      <c r="I210" s="212">
        <f t="shared" si="25"/>
        <v>7.5</v>
      </c>
      <c r="J210" s="212">
        <f>VLOOKUP($A210,MasterData!$N$62:$X$111,4,FALSE)</f>
        <v>6.1</v>
      </c>
      <c r="K210" s="214">
        <f>ROUND(J210*MasterData!$B$26,2)</f>
        <v>241641.01</v>
      </c>
      <c r="L210" s="212">
        <f>VLOOKUP($A210,MasterData!$N$62:$X$111,5,FALSE)</f>
        <v>1.4</v>
      </c>
      <c r="M210" s="211">
        <f>ROUND(L210*MasterData!$F$4,2)</f>
        <v>41496</v>
      </c>
      <c r="N210" s="212">
        <f>VLOOKUP($A210,MasterData!$N$62:$X$111,6,FALSE)</f>
        <v>1.1599999999999999</v>
      </c>
      <c r="O210" s="211">
        <f>ROUND(N210*MasterData!$C$26,2)</f>
        <v>40115.58</v>
      </c>
      <c r="P210" s="212">
        <f>VLOOKUP($A210,MasterData!$N$62:$X$111,7,FALSE)</f>
        <v>0.22</v>
      </c>
      <c r="Q210" s="214">
        <f>ROUND(P210*MasterData!$H$4,2)</f>
        <v>6520.8</v>
      </c>
      <c r="R210" s="212">
        <f>VLOOKUP($A210,MasterData!$N$62:$X$111,8,FALSE)</f>
        <v>0.12</v>
      </c>
      <c r="S210" s="211">
        <f>ROUND(R210*MasterData!$I$4,2)</f>
        <v>3863.81</v>
      </c>
      <c r="T210" s="215">
        <f t="shared" si="26"/>
        <v>370335.59</v>
      </c>
      <c r="U210" s="211">
        <f>ROUND(T210*MasterData!$C$29,2)</f>
        <v>82621.87</v>
      </c>
      <c r="V210" s="211">
        <f>ROUND(T210*MasterData!$J$29,2)</f>
        <v>1370.24</v>
      </c>
      <c r="W210" s="201">
        <f t="shared" si="30"/>
        <v>452957.46</v>
      </c>
      <c r="X210" s="212">
        <f>VLOOKUP($A210,MasterData!$N$62:$X$111,10,FALSE)*52</f>
        <v>52</v>
      </c>
      <c r="Y210" s="211">
        <f>ROUND(X210*MasterData!$C$7,2)</f>
        <v>3138.72</v>
      </c>
      <c r="Z210" s="212">
        <f>VLOOKUP($A210,MasterData!$N$62:$X$111,11,FALSE)*52</f>
        <v>156</v>
      </c>
      <c r="AA210" s="211">
        <f>ROUND(Z210*MasterData!$D$7,2)</f>
        <v>6605.04</v>
      </c>
      <c r="AB210" s="215">
        <f t="shared" si="27"/>
        <v>9743.76</v>
      </c>
      <c r="AC210" s="216">
        <f>MasterData!$M$28</f>
        <v>15472.178595890411</v>
      </c>
      <c r="AD210" s="211">
        <f>MasterData!$D$30</f>
        <v>992.8</v>
      </c>
      <c r="AE210" s="211">
        <f>MasterData!$E$30</f>
        <v>2876.2</v>
      </c>
      <c r="AF210" s="211">
        <f>MasterData!$F$30</f>
        <v>0</v>
      </c>
      <c r="AG210" s="215">
        <f t="shared" si="28"/>
        <v>482042.39859589044</v>
      </c>
      <c r="AH210" s="211">
        <f>ROUND(AG210*MasterData!$G$29,2)</f>
        <v>57845.09</v>
      </c>
      <c r="AI210" s="200">
        <f>((AG210+AH210)*MasterData!$I$29)-'Model Calculator'!W210*MasterData!$I$29</f>
        <v>1547.3545090068501</v>
      </c>
      <c r="AJ210" s="201">
        <f t="shared" si="29"/>
        <v>542805.08310489729</v>
      </c>
      <c r="AK210" s="201">
        <f t="shared" si="31"/>
        <v>1564.28</v>
      </c>
    </row>
    <row r="211" spans="1:37">
      <c r="A211" s="197" t="s">
        <v>97</v>
      </c>
      <c r="B211" s="197" t="str">
        <f t="shared" si="32"/>
        <v>M208.01</v>
      </c>
      <c r="C211" s="197" t="s">
        <v>121</v>
      </c>
      <c r="D211" s="226" t="s">
        <v>301</v>
      </c>
      <c r="E211" s="213">
        <f>VLOOKUP($A211,MasterData!$N$62:$X$111,2,FALSE)</f>
        <v>0.18</v>
      </c>
      <c r="F211" s="214">
        <f>ROUND(E211*MasterData!$C$4,2)</f>
        <v>9297.2999999999993</v>
      </c>
      <c r="G211" s="212">
        <f>VLOOKUP($A211,MasterData!$N$62:$X$111,3,FALSE)</f>
        <v>0.66</v>
      </c>
      <c r="H211" s="214">
        <f>ROUND(G211*MasterData!$D$4,2)</f>
        <v>27401.09</v>
      </c>
      <c r="I211" s="212">
        <f t="shared" si="25"/>
        <v>8</v>
      </c>
      <c r="J211" s="212">
        <f>VLOOKUP($A211,MasterData!$N$62:$X$111,4,FALSE)</f>
        <v>6.6</v>
      </c>
      <c r="K211" s="214">
        <f>ROUND(J211*MasterData!$B$26,2)</f>
        <v>261447.65</v>
      </c>
      <c r="L211" s="212">
        <f>VLOOKUP($A211,MasterData!$N$62:$X$111,5,FALSE)</f>
        <v>1.4</v>
      </c>
      <c r="M211" s="211">
        <f>ROUND(L211*MasterData!$F$4,2)</f>
        <v>41496</v>
      </c>
      <c r="N211" s="212">
        <f>VLOOKUP($A211,MasterData!$N$62:$X$111,6,FALSE)</f>
        <v>1.23</v>
      </c>
      <c r="O211" s="211">
        <f>ROUND(N211*MasterData!$C$26,2)</f>
        <v>42536.34</v>
      </c>
      <c r="P211" s="212">
        <f>VLOOKUP($A211,MasterData!$N$62:$X$111,7,FALSE)</f>
        <v>0.22</v>
      </c>
      <c r="Q211" s="214">
        <f>ROUND(P211*MasterData!$H$4,2)</f>
        <v>6520.8</v>
      </c>
      <c r="R211" s="212">
        <f>VLOOKUP($A211,MasterData!$N$62:$X$111,8,FALSE)</f>
        <v>0.12</v>
      </c>
      <c r="S211" s="211">
        <f>ROUND(R211*MasterData!$I$4,2)</f>
        <v>3863.81</v>
      </c>
      <c r="T211" s="215">
        <f t="shared" si="26"/>
        <v>392562.99</v>
      </c>
      <c r="U211" s="211">
        <f>ROUND(T211*MasterData!$C$29,2)</f>
        <v>87580.800000000003</v>
      </c>
      <c r="V211" s="211">
        <f>ROUND(T211*MasterData!$J$29,2)</f>
        <v>1452.48</v>
      </c>
      <c r="W211" s="201">
        <f t="shared" si="30"/>
        <v>480143.79</v>
      </c>
      <c r="X211" s="212">
        <f>VLOOKUP($A211,MasterData!$N$62:$X$111,10,FALSE)*52</f>
        <v>52</v>
      </c>
      <c r="Y211" s="211">
        <f>ROUND(X211*MasterData!$C$7,2)</f>
        <v>3138.72</v>
      </c>
      <c r="Z211" s="212">
        <f>VLOOKUP($A211,MasterData!$N$62:$X$111,11,FALSE)*52</f>
        <v>156</v>
      </c>
      <c r="AA211" s="211">
        <f>ROUND(Z211*MasterData!$D$7,2)</f>
        <v>6605.04</v>
      </c>
      <c r="AB211" s="215">
        <f t="shared" si="27"/>
        <v>9743.76</v>
      </c>
      <c r="AC211" s="216">
        <f>MasterData!$M$28</f>
        <v>15472.178595890411</v>
      </c>
      <c r="AD211" s="211">
        <f>MasterData!$D$30</f>
        <v>992.8</v>
      </c>
      <c r="AE211" s="211">
        <f>MasterData!$E$30</f>
        <v>2876.2</v>
      </c>
      <c r="AF211" s="211">
        <f>MasterData!$F$30</f>
        <v>0</v>
      </c>
      <c r="AG211" s="215">
        <f t="shared" si="28"/>
        <v>509228.7285958904</v>
      </c>
      <c r="AH211" s="211">
        <f>ROUND(AG211*MasterData!$G$29,2)</f>
        <v>61107.45</v>
      </c>
      <c r="AI211" s="200">
        <f>((AG211+AH211)*MasterData!$I$29)-'Model Calculator'!W211*MasterData!$I$29</f>
        <v>1605.4245170068498</v>
      </c>
      <c r="AJ211" s="201">
        <f t="shared" si="29"/>
        <v>573394.08311289723</v>
      </c>
      <c r="AK211" s="201">
        <f t="shared" si="31"/>
        <v>1652.43</v>
      </c>
    </row>
    <row r="212" spans="1:37">
      <c r="A212" s="197" t="s">
        <v>98</v>
      </c>
      <c r="B212" s="197" t="str">
        <f t="shared" si="32"/>
        <v>M208.51</v>
      </c>
      <c r="C212" s="197" t="s">
        <v>122</v>
      </c>
      <c r="D212" s="226" t="s">
        <v>301</v>
      </c>
      <c r="E212" s="213">
        <f>VLOOKUP($A212,MasterData!$N$62:$X$111,2,FALSE)</f>
        <v>0.18</v>
      </c>
      <c r="F212" s="214">
        <f>ROUND(E212*MasterData!$C$4,2)</f>
        <v>9297.2999999999993</v>
      </c>
      <c r="G212" s="212">
        <f>VLOOKUP($A212,MasterData!$N$62:$X$111,3,FALSE)</f>
        <v>0.66</v>
      </c>
      <c r="H212" s="214">
        <f>ROUND(G212*MasterData!$D$4,2)</f>
        <v>27401.09</v>
      </c>
      <c r="I212" s="212">
        <f t="shared" si="25"/>
        <v>8.5</v>
      </c>
      <c r="J212" s="212">
        <f>VLOOKUP($A212,MasterData!$N$62:$X$111,4,FALSE)</f>
        <v>7.1</v>
      </c>
      <c r="K212" s="214">
        <f>ROUND(J212*MasterData!$B$26,2)</f>
        <v>281254.28999999998</v>
      </c>
      <c r="L212" s="212">
        <f>VLOOKUP($A212,MasterData!$N$62:$X$111,5,FALSE)</f>
        <v>1.4</v>
      </c>
      <c r="M212" s="211">
        <f>ROUND(L212*MasterData!$F$4,2)</f>
        <v>41496</v>
      </c>
      <c r="N212" s="212">
        <f>VLOOKUP($A212,MasterData!$N$62:$X$111,6,FALSE)</f>
        <v>1.31</v>
      </c>
      <c r="O212" s="211">
        <f>ROUND(N212*MasterData!$C$26,2)</f>
        <v>45302.94</v>
      </c>
      <c r="P212" s="212">
        <f>VLOOKUP($A212,MasterData!$N$62:$X$111,7,FALSE)</f>
        <v>0.22</v>
      </c>
      <c r="Q212" s="214">
        <f>ROUND(P212*MasterData!$H$4,2)</f>
        <v>6520.8</v>
      </c>
      <c r="R212" s="212">
        <f>VLOOKUP($A212,MasterData!$N$62:$X$111,8,FALSE)</f>
        <v>0.12</v>
      </c>
      <c r="S212" s="211">
        <f>ROUND(R212*MasterData!$I$4,2)</f>
        <v>3863.81</v>
      </c>
      <c r="T212" s="215">
        <f t="shared" si="26"/>
        <v>415136.23</v>
      </c>
      <c r="U212" s="211">
        <f>ROUND(T212*MasterData!$C$29,2)</f>
        <v>92616.89</v>
      </c>
      <c r="V212" s="211">
        <f>ROUND(T212*MasterData!$J$29,2)</f>
        <v>1536</v>
      </c>
      <c r="W212" s="201">
        <f t="shared" si="30"/>
        <v>507753.12</v>
      </c>
      <c r="X212" s="212">
        <f>VLOOKUP($A212,MasterData!$N$62:$X$111,10,FALSE)*52</f>
        <v>52</v>
      </c>
      <c r="Y212" s="211">
        <f>ROUND(X212*MasterData!$C$7,2)</f>
        <v>3138.72</v>
      </c>
      <c r="Z212" s="212">
        <f>VLOOKUP($A212,MasterData!$N$62:$X$111,11,FALSE)*52</f>
        <v>156</v>
      </c>
      <c r="AA212" s="211">
        <f>ROUND(Z212*MasterData!$D$7,2)</f>
        <v>6605.04</v>
      </c>
      <c r="AB212" s="215">
        <f t="shared" si="27"/>
        <v>9743.76</v>
      </c>
      <c r="AC212" s="216">
        <f>MasterData!$M$28</f>
        <v>15472.178595890411</v>
      </c>
      <c r="AD212" s="211">
        <f>MasterData!$D$30</f>
        <v>992.8</v>
      </c>
      <c r="AE212" s="211">
        <f>MasterData!$E$30</f>
        <v>2876.2</v>
      </c>
      <c r="AF212" s="211">
        <f>MasterData!$F$30</f>
        <v>0</v>
      </c>
      <c r="AG212" s="215">
        <f t="shared" si="28"/>
        <v>536838.05859589041</v>
      </c>
      <c r="AH212" s="211">
        <f>ROUND(AG212*MasterData!$G$29,2)</f>
        <v>64420.57</v>
      </c>
      <c r="AI212" s="200">
        <f>((AG212+AH212)*MasterData!$I$29)-'Model Calculator'!W212*MasterData!$I$29</f>
        <v>1664.3980530068475</v>
      </c>
      <c r="AJ212" s="201">
        <f t="shared" si="29"/>
        <v>604459.02664889721</v>
      </c>
      <c r="AK212" s="201">
        <f t="shared" si="31"/>
        <v>1741.96</v>
      </c>
    </row>
    <row r="213" spans="1:37">
      <c r="A213" s="197" t="s">
        <v>99</v>
      </c>
      <c r="B213" s="197" t="str">
        <f t="shared" si="32"/>
        <v>M209.01</v>
      </c>
      <c r="C213" s="197" t="s">
        <v>123</v>
      </c>
      <c r="D213" s="226" t="s">
        <v>301</v>
      </c>
      <c r="E213" s="213">
        <f>VLOOKUP($A213,MasterData!$N$62:$X$111,2,FALSE)</f>
        <v>0.18</v>
      </c>
      <c r="F213" s="214">
        <f>ROUND(E213*MasterData!$C$4,2)</f>
        <v>9297.2999999999993</v>
      </c>
      <c r="G213" s="212">
        <f>VLOOKUP($A213,MasterData!$N$62:$X$111,3,FALSE)</f>
        <v>0.66</v>
      </c>
      <c r="H213" s="214">
        <f>ROUND(G213*MasterData!$D$4,2)</f>
        <v>27401.09</v>
      </c>
      <c r="I213" s="212">
        <f t="shared" si="25"/>
        <v>9</v>
      </c>
      <c r="J213" s="212">
        <f>VLOOKUP($A213,MasterData!$N$62:$X$111,4,FALSE)</f>
        <v>7.6</v>
      </c>
      <c r="K213" s="214">
        <f>ROUND(J213*MasterData!$B$26,2)</f>
        <v>301060.93</v>
      </c>
      <c r="L213" s="212">
        <f>VLOOKUP($A213,MasterData!$N$62:$X$111,5,FALSE)</f>
        <v>1.4</v>
      </c>
      <c r="M213" s="211">
        <f>ROUND(L213*MasterData!$F$4,2)</f>
        <v>41496</v>
      </c>
      <c r="N213" s="212">
        <f>VLOOKUP($A213,MasterData!$N$62:$X$111,6,FALSE)</f>
        <v>1.39</v>
      </c>
      <c r="O213" s="211">
        <f>ROUND(N213*MasterData!$C$26,2)</f>
        <v>48069.53</v>
      </c>
      <c r="P213" s="212">
        <f>VLOOKUP($A213,MasterData!$N$62:$X$111,7,FALSE)</f>
        <v>0.22</v>
      </c>
      <c r="Q213" s="214">
        <f>ROUND(P213*MasterData!$H$4,2)</f>
        <v>6520.8</v>
      </c>
      <c r="R213" s="212">
        <f>VLOOKUP($A213,MasterData!$N$62:$X$111,8,FALSE)</f>
        <v>0.12</v>
      </c>
      <c r="S213" s="211">
        <f>ROUND(R213*MasterData!$I$4,2)</f>
        <v>3863.81</v>
      </c>
      <c r="T213" s="215">
        <f t="shared" si="26"/>
        <v>437709.45999999996</v>
      </c>
      <c r="U213" s="211">
        <f>ROUND(T213*MasterData!$C$29,2)</f>
        <v>97652.98</v>
      </c>
      <c r="V213" s="211">
        <f>ROUND(T213*MasterData!$J$29,2)</f>
        <v>1619.53</v>
      </c>
      <c r="W213" s="201">
        <f t="shared" si="30"/>
        <v>535362.43999999994</v>
      </c>
      <c r="X213" s="212">
        <f>VLOOKUP($A213,MasterData!$N$62:$X$111,10,FALSE)*52</f>
        <v>52</v>
      </c>
      <c r="Y213" s="211">
        <f>ROUND(X213*MasterData!$C$7,2)</f>
        <v>3138.72</v>
      </c>
      <c r="Z213" s="212">
        <f>VLOOKUP($A213,MasterData!$N$62:$X$111,11,FALSE)*52</f>
        <v>156</v>
      </c>
      <c r="AA213" s="211">
        <f>ROUND(Z213*MasterData!$D$7,2)</f>
        <v>6605.04</v>
      </c>
      <c r="AB213" s="215">
        <f t="shared" si="27"/>
        <v>9743.76</v>
      </c>
      <c r="AC213" s="216">
        <f>MasterData!$M$28</f>
        <v>15472.178595890411</v>
      </c>
      <c r="AD213" s="211">
        <f>MasterData!$D$30</f>
        <v>992.8</v>
      </c>
      <c r="AE213" s="211">
        <f>MasterData!$E$30</f>
        <v>2876.2</v>
      </c>
      <c r="AF213" s="211">
        <f>MasterData!$F$30</f>
        <v>0</v>
      </c>
      <c r="AG213" s="215">
        <f t="shared" si="28"/>
        <v>564447.37859589036</v>
      </c>
      <c r="AH213" s="211">
        <f>ROUND(AG213*MasterData!$G$29,2)</f>
        <v>67733.69</v>
      </c>
      <c r="AI213" s="200">
        <f>((AG213+AH213)*MasterData!$I$29)-'Model Calculator'!W213*MasterData!$I$29</f>
        <v>1723.3715890068506</v>
      </c>
      <c r="AJ213" s="201">
        <f t="shared" si="29"/>
        <v>635523.97018489731</v>
      </c>
      <c r="AK213" s="201">
        <f t="shared" si="31"/>
        <v>1831.48</v>
      </c>
    </row>
    <row r="214" spans="1:37">
      <c r="A214" s="197" t="s">
        <v>100</v>
      </c>
      <c r="B214" s="197" t="str">
        <f t="shared" si="32"/>
        <v>M209.51</v>
      </c>
      <c r="C214" s="197" t="s">
        <v>124</v>
      </c>
      <c r="D214" s="226" t="s">
        <v>301</v>
      </c>
      <c r="E214" s="213">
        <f>VLOOKUP($A214,MasterData!$N$62:$X$111,2,FALSE)</f>
        <v>0.18</v>
      </c>
      <c r="F214" s="214">
        <f>ROUND(E214*MasterData!$C$4,2)</f>
        <v>9297.2999999999993</v>
      </c>
      <c r="G214" s="212">
        <f>VLOOKUP($A214,MasterData!$N$62:$X$111,3,FALSE)</f>
        <v>0.66</v>
      </c>
      <c r="H214" s="214">
        <f>ROUND(G214*MasterData!$D$4,2)</f>
        <v>27401.09</v>
      </c>
      <c r="I214" s="212">
        <f t="shared" si="25"/>
        <v>9.5</v>
      </c>
      <c r="J214" s="212">
        <f>VLOOKUP($A214,MasterData!$N$62:$X$111,4,FALSE)</f>
        <v>8.1</v>
      </c>
      <c r="K214" s="214">
        <f>ROUND(J214*MasterData!$B$26,2)</f>
        <v>320867.57</v>
      </c>
      <c r="L214" s="212">
        <f>VLOOKUP($A214,MasterData!$N$62:$X$111,5,FALSE)</f>
        <v>1.4</v>
      </c>
      <c r="M214" s="211">
        <f>ROUND(L214*MasterData!$F$4,2)</f>
        <v>41496</v>
      </c>
      <c r="N214" s="212">
        <f>VLOOKUP($A214,MasterData!$N$62:$X$111,6,FALSE)</f>
        <v>1.46</v>
      </c>
      <c r="O214" s="211">
        <f>ROUND(N214*MasterData!$C$26,2)</f>
        <v>50490.29</v>
      </c>
      <c r="P214" s="212">
        <f>VLOOKUP($A214,MasterData!$N$62:$X$111,7,FALSE)</f>
        <v>0.22</v>
      </c>
      <c r="Q214" s="214">
        <f>ROUND(P214*MasterData!$H$4,2)</f>
        <v>6520.8</v>
      </c>
      <c r="R214" s="212">
        <f>VLOOKUP($A214,MasterData!$N$62:$X$111,8,FALSE)</f>
        <v>0.12</v>
      </c>
      <c r="S214" s="211">
        <f>ROUND(R214*MasterData!$I$4,2)</f>
        <v>3863.81</v>
      </c>
      <c r="T214" s="215">
        <f t="shared" si="26"/>
        <v>459936.86</v>
      </c>
      <c r="U214" s="211">
        <f>ROUND(T214*MasterData!$C$29,2)</f>
        <v>102611.91</v>
      </c>
      <c r="V214" s="211">
        <f>ROUND(T214*MasterData!$J$29,2)</f>
        <v>1701.77</v>
      </c>
      <c r="W214" s="201">
        <f t="shared" si="30"/>
        <v>562548.77</v>
      </c>
      <c r="X214" s="212">
        <f>VLOOKUP($A214,MasterData!$N$62:$X$111,10,FALSE)*52</f>
        <v>52</v>
      </c>
      <c r="Y214" s="211">
        <f>ROUND(X214*MasterData!$C$7,2)</f>
        <v>3138.72</v>
      </c>
      <c r="Z214" s="212">
        <f>VLOOKUP($A214,MasterData!$N$62:$X$111,11,FALSE)*52</f>
        <v>156</v>
      </c>
      <c r="AA214" s="211">
        <f>ROUND(Z214*MasterData!$D$7,2)</f>
        <v>6605.04</v>
      </c>
      <c r="AB214" s="215">
        <f t="shared" si="27"/>
        <v>9743.76</v>
      </c>
      <c r="AC214" s="216">
        <f>MasterData!$M$28</f>
        <v>15472.178595890411</v>
      </c>
      <c r="AD214" s="211">
        <f>MasterData!$D$30</f>
        <v>992.8</v>
      </c>
      <c r="AE214" s="211">
        <f>MasterData!$E$30</f>
        <v>2876.2</v>
      </c>
      <c r="AF214" s="211">
        <f>MasterData!$F$30</f>
        <v>0</v>
      </c>
      <c r="AG214" s="215">
        <f t="shared" si="28"/>
        <v>591633.70859589044</v>
      </c>
      <c r="AH214" s="211">
        <f>ROUND(AG214*MasterData!$G$29,2)</f>
        <v>70996.05</v>
      </c>
      <c r="AI214" s="200">
        <f>((AG214+AH214)*MasterData!$I$29)-'Model Calculator'!W214*MasterData!$I$29</f>
        <v>1781.4415970068512</v>
      </c>
      <c r="AJ214" s="201">
        <f t="shared" si="29"/>
        <v>666112.97019289737</v>
      </c>
      <c r="AK214" s="201">
        <f t="shared" si="31"/>
        <v>1919.63</v>
      </c>
    </row>
    <row r="215" spans="1:37">
      <c r="A215" s="197" t="s">
        <v>101</v>
      </c>
      <c r="B215" s="197" t="str">
        <f t="shared" si="32"/>
        <v>M210.01</v>
      </c>
      <c r="C215" s="197" t="s">
        <v>125</v>
      </c>
      <c r="D215" s="226" t="s">
        <v>301</v>
      </c>
      <c r="E215" s="213">
        <f>VLOOKUP($A215,MasterData!$N$62:$X$111,2,FALSE)</f>
        <v>0.18</v>
      </c>
      <c r="F215" s="214">
        <f>ROUND(E215*MasterData!$C$4,2)</f>
        <v>9297.2999999999993</v>
      </c>
      <c r="G215" s="212">
        <f>VLOOKUP($A215,MasterData!$N$62:$X$111,3,FALSE)</f>
        <v>0.66</v>
      </c>
      <c r="H215" s="214">
        <f>ROUND(G215*MasterData!$D$4,2)</f>
        <v>27401.09</v>
      </c>
      <c r="I215" s="212">
        <f t="shared" si="25"/>
        <v>10</v>
      </c>
      <c r="J215" s="212">
        <f>VLOOKUP($A215,MasterData!$N$62:$X$111,4,FALSE)</f>
        <v>8.6</v>
      </c>
      <c r="K215" s="214">
        <f>ROUND(J215*MasterData!$B$26,2)</f>
        <v>340674.21</v>
      </c>
      <c r="L215" s="212">
        <f>VLOOKUP($A215,MasterData!$N$62:$X$111,5,FALSE)</f>
        <v>1.4</v>
      </c>
      <c r="M215" s="211">
        <f>ROUND(L215*MasterData!$F$4,2)</f>
        <v>41496</v>
      </c>
      <c r="N215" s="212">
        <f>VLOOKUP($A215,MasterData!$N$62:$X$111,6,FALSE)</f>
        <v>1.54</v>
      </c>
      <c r="O215" s="211">
        <f>ROUND(N215*MasterData!$C$26,2)</f>
        <v>53256.89</v>
      </c>
      <c r="P215" s="212">
        <f>VLOOKUP($A215,MasterData!$N$62:$X$111,7,FALSE)</f>
        <v>0.22</v>
      </c>
      <c r="Q215" s="214">
        <f>ROUND(P215*MasterData!$H$4,2)</f>
        <v>6520.8</v>
      </c>
      <c r="R215" s="212">
        <f>VLOOKUP($A215,MasterData!$N$62:$X$111,8,FALSE)</f>
        <v>0.12</v>
      </c>
      <c r="S215" s="211">
        <f>ROUND(R215*MasterData!$I$4,2)</f>
        <v>3863.81</v>
      </c>
      <c r="T215" s="215">
        <f t="shared" si="26"/>
        <v>482510.10000000003</v>
      </c>
      <c r="U215" s="211">
        <f>ROUND(T215*MasterData!$C$29,2)</f>
        <v>107648</v>
      </c>
      <c r="V215" s="211">
        <f>ROUND(T215*MasterData!$J$29,2)</f>
        <v>1785.29</v>
      </c>
      <c r="W215" s="201">
        <f t="shared" si="30"/>
        <v>590158.10000000009</v>
      </c>
      <c r="X215" s="212">
        <f>VLOOKUP($A215,MasterData!$N$62:$X$111,10,FALSE)*52</f>
        <v>52</v>
      </c>
      <c r="Y215" s="211">
        <f>ROUND(X215*MasterData!$C$7,2)</f>
        <v>3138.72</v>
      </c>
      <c r="Z215" s="212">
        <f>VLOOKUP($A215,MasterData!$N$62:$X$111,11,FALSE)*52</f>
        <v>156</v>
      </c>
      <c r="AA215" s="211">
        <f>ROUND(Z215*MasterData!$D$7,2)</f>
        <v>6605.04</v>
      </c>
      <c r="AB215" s="215">
        <f t="shared" si="27"/>
        <v>9743.76</v>
      </c>
      <c r="AC215" s="216">
        <f>MasterData!$M$28</f>
        <v>15472.178595890411</v>
      </c>
      <c r="AD215" s="211">
        <f>MasterData!$D$30</f>
        <v>992.8</v>
      </c>
      <c r="AE215" s="211">
        <f>MasterData!$E$30</f>
        <v>2876.2</v>
      </c>
      <c r="AF215" s="211">
        <f>MasterData!$F$30</f>
        <v>0</v>
      </c>
      <c r="AG215" s="215">
        <f t="shared" si="28"/>
        <v>619243.03859589051</v>
      </c>
      <c r="AH215" s="211">
        <f>ROUND(AG215*MasterData!$G$29,2)</f>
        <v>74309.16</v>
      </c>
      <c r="AI215" s="200">
        <f>((AG215+AH215)*MasterData!$I$29)-'Model Calculator'!W215*MasterData!$I$29</f>
        <v>1840.4149550068505</v>
      </c>
      <c r="AJ215" s="201">
        <f t="shared" si="29"/>
        <v>697177.90355089738</v>
      </c>
      <c r="AK215" s="201">
        <f t="shared" si="31"/>
        <v>2009.16</v>
      </c>
    </row>
    <row r="216" spans="1:37">
      <c r="A216" s="197" t="s">
        <v>102</v>
      </c>
      <c r="B216" s="197" t="str">
        <f t="shared" si="32"/>
        <v>M210.51</v>
      </c>
      <c r="C216" s="197" t="s">
        <v>126</v>
      </c>
      <c r="D216" s="226" t="s">
        <v>301</v>
      </c>
      <c r="E216" s="213">
        <f>VLOOKUP($A216,MasterData!$N$62:$X$111,2,FALSE)</f>
        <v>0.18</v>
      </c>
      <c r="F216" s="214">
        <f>ROUND(E216*MasterData!$C$4,2)</f>
        <v>9297.2999999999993</v>
      </c>
      <c r="G216" s="212">
        <f>VLOOKUP($A216,MasterData!$N$62:$X$111,3,FALSE)</f>
        <v>0.66</v>
      </c>
      <c r="H216" s="214">
        <f>ROUND(G216*MasterData!$D$4,2)</f>
        <v>27401.09</v>
      </c>
      <c r="I216" s="212">
        <f t="shared" si="25"/>
        <v>10.5</v>
      </c>
      <c r="J216" s="212">
        <f>VLOOKUP($A216,MasterData!$N$62:$X$111,4,FALSE)</f>
        <v>9.1</v>
      </c>
      <c r="K216" s="214">
        <f>ROUND(J216*MasterData!$B$26,2)</f>
        <v>360480.85</v>
      </c>
      <c r="L216" s="212">
        <f>VLOOKUP($A216,MasterData!$N$62:$X$111,5,FALSE)</f>
        <v>1.4</v>
      </c>
      <c r="M216" s="211">
        <f>ROUND(L216*MasterData!$F$4,2)</f>
        <v>41496</v>
      </c>
      <c r="N216" s="212">
        <f>VLOOKUP($A216,MasterData!$N$62:$X$111,6,FALSE)</f>
        <v>1.62</v>
      </c>
      <c r="O216" s="211">
        <f>ROUND(N216*MasterData!$C$26,2)</f>
        <v>56023.48</v>
      </c>
      <c r="P216" s="212">
        <f>VLOOKUP($A216,MasterData!$N$62:$X$111,7,FALSE)</f>
        <v>0.22</v>
      </c>
      <c r="Q216" s="214">
        <f>ROUND(P216*MasterData!$H$4,2)</f>
        <v>6520.8</v>
      </c>
      <c r="R216" s="212">
        <f>VLOOKUP($A216,MasterData!$N$62:$X$111,8,FALSE)</f>
        <v>0.12</v>
      </c>
      <c r="S216" s="211">
        <f>ROUND(R216*MasterData!$I$4,2)</f>
        <v>3863.81</v>
      </c>
      <c r="T216" s="215">
        <f t="shared" si="26"/>
        <v>505083.32999999996</v>
      </c>
      <c r="U216" s="211">
        <f>ROUND(T216*MasterData!$C$29,2)</f>
        <v>112684.09</v>
      </c>
      <c r="V216" s="211">
        <f>ROUND(T216*MasterData!$J$29,2)</f>
        <v>1868.81</v>
      </c>
      <c r="W216" s="201">
        <f t="shared" si="30"/>
        <v>617767.41999999993</v>
      </c>
      <c r="X216" s="212">
        <f>VLOOKUP($A216,MasterData!$N$62:$X$111,10,FALSE)*52</f>
        <v>52</v>
      </c>
      <c r="Y216" s="211">
        <f>ROUND(X216*MasterData!$C$7,2)</f>
        <v>3138.72</v>
      </c>
      <c r="Z216" s="212">
        <f>VLOOKUP($A216,MasterData!$N$62:$X$111,11,FALSE)*52</f>
        <v>156</v>
      </c>
      <c r="AA216" s="211">
        <f>ROUND(Z216*MasterData!$D$7,2)</f>
        <v>6605.04</v>
      </c>
      <c r="AB216" s="215">
        <f t="shared" si="27"/>
        <v>9743.76</v>
      </c>
      <c r="AC216" s="216">
        <f>MasterData!$M$28</f>
        <v>15472.178595890411</v>
      </c>
      <c r="AD216" s="211">
        <f>MasterData!$D$30</f>
        <v>992.8</v>
      </c>
      <c r="AE216" s="211">
        <f>MasterData!$E$30</f>
        <v>2876.2</v>
      </c>
      <c r="AF216" s="211">
        <f>MasterData!$F$30</f>
        <v>0</v>
      </c>
      <c r="AG216" s="215">
        <f t="shared" si="28"/>
        <v>646852.35859589034</v>
      </c>
      <c r="AH216" s="211">
        <f>ROUND(AG216*MasterData!$G$29,2)</f>
        <v>77622.28</v>
      </c>
      <c r="AI216" s="200">
        <f>((AG216+AH216)*MasterData!$I$29)-'Model Calculator'!W216*MasterData!$I$29</f>
        <v>1899.38849100685</v>
      </c>
      <c r="AJ216" s="201">
        <f t="shared" si="29"/>
        <v>728242.83708689723</v>
      </c>
      <c r="AK216" s="201">
        <f t="shared" si="31"/>
        <v>2098.6799999999998</v>
      </c>
    </row>
    <row r="217" spans="1:37">
      <c r="A217" s="197" t="s">
        <v>103</v>
      </c>
      <c r="B217" s="197" t="str">
        <f t="shared" si="32"/>
        <v>M211.01</v>
      </c>
      <c r="C217" s="197" t="s">
        <v>127</v>
      </c>
      <c r="D217" s="226" t="s">
        <v>301</v>
      </c>
      <c r="E217" s="213">
        <f>VLOOKUP($A217,MasterData!$N$62:$X$111,2,FALSE)</f>
        <v>0.18</v>
      </c>
      <c r="F217" s="214">
        <f>ROUND(E217*MasterData!$C$4,2)</f>
        <v>9297.2999999999993</v>
      </c>
      <c r="G217" s="212">
        <f>VLOOKUP($A217,MasterData!$N$62:$X$111,3,FALSE)</f>
        <v>0.66</v>
      </c>
      <c r="H217" s="214">
        <f>ROUND(G217*MasterData!$D$4,2)</f>
        <v>27401.09</v>
      </c>
      <c r="I217" s="212">
        <f t="shared" ref="I217:I280" si="33">J217+L217</f>
        <v>11</v>
      </c>
      <c r="J217" s="212">
        <f>VLOOKUP($A217,MasterData!$N$62:$X$111,4,FALSE)</f>
        <v>9.6</v>
      </c>
      <c r="K217" s="214">
        <f>ROUND(J217*MasterData!$B$26,2)</f>
        <v>380287.49</v>
      </c>
      <c r="L217" s="212">
        <f>VLOOKUP($A217,MasterData!$N$62:$X$111,5,FALSE)</f>
        <v>1.4</v>
      </c>
      <c r="M217" s="211">
        <f>ROUND(L217*MasterData!$F$4,2)</f>
        <v>41496</v>
      </c>
      <c r="N217" s="212">
        <f>VLOOKUP($A217,MasterData!$N$62:$X$111,6,FALSE)</f>
        <v>1.69</v>
      </c>
      <c r="O217" s="211">
        <f>ROUND(N217*MasterData!$C$26,2)</f>
        <v>58444.24</v>
      </c>
      <c r="P217" s="212">
        <f>VLOOKUP($A217,MasterData!$N$62:$X$111,7,FALSE)</f>
        <v>0.22</v>
      </c>
      <c r="Q217" s="214">
        <f>ROUND(P217*MasterData!$H$4,2)</f>
        <v>6520.8</v>
      </c>
      <c r="R217" s="212">
        <f>VLOOKUP($A217,MasterData!$N$62:$X$111,8,FALSE)</f>
        <v>0.12</v>
      </c>
      <c r="S217" s="211">
        <f>ROUND(R217*MasterData!$I$4,2)</f>
        <v>3863.81</v>
      </c>
      <c r="T217" s="215">
        <f t="shared" ref="T217:T280" si="34">F217+H217+K217+M217+O217+Q217+S217</f>
        <v>527310.73</v>
      </c>
      <c r="U217" s="211">
        <f>ROUND(T217*MasterData!$C$29,2)</f>
        <v>117643.02</v>
      </c>
      <c r="V217" s="211">
        <f>ROUND(T217*MasterData!$J$29,2)</f>
        <v>1951.05</v>
      </c>
      <c r="W217" s="201">
        <f t="shared" si="30"/>
        <v>644953.75</v>
      </c>
      <c r="X217" s="212">
        <f>VLOOKUP($A217,MasterData!$N$62:$X$111,10,FALSE)*52</f>
        <v>52</v>
      </c>
      <c r="Y217" s="211">
        <f>ROUND(X217*MasterData!$C$7,2)</f>
        <v>3138.72</v>
      </c>
      <c r="Z217" s="212">
        <f>VLOOKUP($A217,MasterData!$N$62:$X$111,11,FALSE)*52</f>
        <v>156</v>
      </c>
      <c r="AA217" s="211">
        <f>ROUND(Z217*MasterData!$D$7,2)</f>
        <v>6605.04</v>
      </c>
      <c r="AB217" s="215">
        <f t="shared" ref="AB217:AB280" si="35">AA217+Y217</f>
        <v>9743.76</v>
      </c>
      <c r="AC217" s="216">
        <f>MasterData!$M$28</f>
        <v>15472.178595890411</v>
      </c>
      <c r="AD217" s="211">
        <f>MasterData!$D$30</f>
        <v>992.8</v>
      </c>
      <c r="AE217" s="211">
        <f>MasterData!$E$30</f>
        <v>2876.2</v>
      </c>
      <c r="AF217" s="211">
        <f>MasterData!$F$30</f>
        <v>0</v>
      </c>
      <c r="AG217" s="215">
        <f t="shared" si="28"/>
        <v>674038.68859589042</v>
      </c>
      <c r="AH217" s="211">
        <f>ROUND(AG217*MasterData!$G$29,2)</f>
        <v>80884.639999999999</v>
      </c>
      <c r="AI217" s="200">
        <f>((AG217+AH217)*MasterData!$I$29)-'Model Calculator'!W217*MasterData!$I$29</f>
        <v>1957.4584990068488</v>
      </c>
      <c r="AJ217" s="201">
        <f t="shared" si="29"/>
        <v>758831.83709489729</v>
      </c>
      <c r="AK217" s="201">
        <f t="shared" si="31"/>
        <v>2186.84</v>
      </c>
    </row>
    <row r="218" spans="1:37" hidden="1">
      <c r="A218" s="197" t="s">
        <v>104</v>
      </c>
      <c r="B218" s="197" t="str">
        <f t="shared" si="32"/>
        <v>M211.51</v>
      </c>
      <c r="C218" s="197" t="s">
        <v>128</v>
      </c>
      <c r="D218" s="226" t="s">
        <v>301</v>
      </c>
      <c r="E218" s="213">
        <f>VLOOKUP($A218,MasterData!$N$62:$X$111,2,FALSE)</f>
        <v>0.18</v>
      </c>
      <c r="F218" s="214">
        <f>ROUND(E218*MasterData!$C$4,2)</f>
        <v>9297.2999999999993</v>
      </c>
      <c r="G218" s="212">
        <f>VLOOKUP($A218,MasterData!$N$62:$X$111,3,FALSE)</f>
        <v>0.66</v>
      </c>
      <c r="H218" s="214">
        <f>ROUND(G218*MasterData!$D$4,2)</f>
        <v>27401.09</v>
      </c>
      <c r="I218" s="212">
        <f t="shared" si="33"/>
        <v>11.5</v>
      </c>
      <c r="J218" s="212">
        <f>VLOOKUP($A218,MasterData!$N$62:$X$111,4,FALSE)</f>
        <v>10.1</v>
      </c>
      <c r="K218" s="214">
        <f>ROUND(J218*MasterData!$B$26,2)</f>
        <v>400094.13</v>
      </c>
      <c r="L218" s="212">
        <f>VLOOKUP($A218,MasterData!$N$62:$X$111,5,FALSE)</f>
        <v>1.4</v>
      </c>
      <c r="M218" s="211">
        <f>ROUND(L218*MasterData!$F$4,2)</f>
        <v>41496</v>
      </c>
      <c r="N218" s="212">
        <f>VLOOKUP($A218,MasterData!$N$62:$X$111,6,FALSE)</f>
        <v>1.77</v>
      </c>
      <c r="O218" s="211">
        <f>ROUND(N218*MasterData!$C$26,2)</f>
        <v>61210.84</v>
      </c>
      <c r="P218" s="212">
        <f>VLOOKUP($A218,MasterData!$N$62:$X$111,7,FALSE)</f>
        <v>0.22</v>
      </c>
      <c r="Q218" s="214">
        <f>ROUND(P218*MasterData!$H$4,2)</f>
        <v>6520.8</v>
      </c>
      <c r="R218" s="212">
        <f>VLOOKUP($A218,MasterData!$N$62:$X$111,8,FALSE)</f>
        <v>0.12</v>
      </c>
      <c r="S218" s="211">
        <f>ROUND(R218*MasterData!$I$4,2)</f>
        <v>3863.81</v>
      </c>
      <c r="T218" s="215">
        <f t="shared" si="34"/>
        <v>549883.97000000009</v>
      </c>
      <c r="U218" s="211">
        <f>ROUND(T218*MasterData!$C$29,2)</f>
        <v>122679.11</v>
      </c>
      <c r="V218" s="211">
        <f>ROUND(T218*MasterData!$J$29,2)</f>
        <v>2034.57</v>
      </c>
      <c r="W218" s="201">
        <f t="shared" si="30"/>
        <v>672563.08000000007</v>
      </c>
      <c r="X218" s="212">
        <f>VLOOKUP($A218,MasterData!$N$62:$X$111,10,FALSE)*52</f>
        <v>52</v>
      </c>
      <c r="Y218" s="211">
        <f>ROUND(X218*MasterData!$C$7,2)</f>
        <v>3138.72</v>
      </c>
      <c r="Z218" s="212">
        <f>VLOOKUP($A218,MasterData!$N$62:$X$111,11,FALSE)*52</f>
        <v>156</v>
      </c>
      <c r="AA218" s="211">
        <f>ROUND(Z218*MasterData!$D$7,2)</f>
        <v>6605.04</v>
      </c>
      <c r="AB218" s="215">
        <f t="shared" si="35"/>
        <v>9743.76</v>
      </c>
      <c r="AC218" s="216">
        <f>MasterData!$M$28</f>
        <v>15472.178595890411</v>
      </c>
      <c r="AD218" s="211">
        <f>MasterData!$D$30</f>
        <v>992.8</v>
      </c>
      <c r="AE218" s="211">
        <f>MasterData!$E$30</f>
        <v>2876.2</v>
      </c>
      <c r="AF218" s="211">
        <f>MasterData!$F$30</f>
        <v>0</v>
      </c>
      <c r="AG218" s="215">
        <f t="shared" si="28"/>
        <v>701648.01859589049</v>
      </c>
      <c r="AH218" s="211">
        <f>ROUND(AG218*MasterData!$G$29,2)</f>
        <v>84197.759999999995</v>
      </c>
      <c r="AI218" s="200">
        <f>((AG218+AH218)*MasterData!$I$29)-'Model Calculator'!W218*MasterData!$I$29</f>
        <v>2016.4320350068483</v>
      </c>
      <c r="AJ218" s="201">
        <f t="shared" si="29"/>
        <v>789896.78063089726</v>
      </c>
      <c r="AK218" s="201">
        <f t="shared" si="31"/>
        <v>2276.36</v>
      </c>
    </row>
    <row r="219" spans="1:37" hidden="1">
      <c r="A219" s="197" t="s">
        <v>105</v>
      </c>
      <c r="B219" s="197" t="str">
        <f t="shared" si="32"/>
        <v>M212.01</v>
      </c>
      <c r="C219" s="197" t="s">
        <v>129</v>
      </c>
      <c r="D219" s="226" t="s">
        <v>301</v>
      </c>
      <c r="E219" s="213">
        <f>VLOOKUP($A219,MasterData!$N$62:$X$111,2,FALSE)</f>
        <v>0.18</v>
      </c>
      <c r="F219" s="214">
        <f>ROUND(E219*MasterData!$C$4,2)</f>
        <v>9297.2999999999993</v>
      </c>
      <c r="G219" s="212">
        <f>VLOOKUP($A219,MasterData!$N$62:$X$111,3,FALSE)</f>
        <v>0.66</v>
      </c>
      <c r="H219" s="214">
        <f>ROUND(G219*MasterData!$D$4,2)</f>
        <v>27401.09</v>
      </c>
      <c r="I219" s="212">
        <f t="shared" si="33"/>
        <v>12</v>
      </c>
      <c r="J219" s="212">
        <f>VLOOKUP($A219,MasterData!$N$62:$X$111,4,FALSE)</f>
        <v>10.6</v>
      </c>
      <c r="K219" s="214">
        <f>ROUND(J219*MasterData!$B$26,2)</f>
        <v>419900.77</v>
      </c>
      <c r="L219" s="212">
        <f>VLOOKUP($A219,MasterData!$N$62:$X$111,5,FALSE)</f>
        <v>1.4</v>
      </c>
      <c r="M219" s="211">
        <f>ROUND(L219*MasterData!$F$4,2)</f>
        <v>41496</v>
      </c>
      <c r="N219" s="212">
        <f>VLOOKUP($A219,MasterData!$N$62:$X$111,6,FALSE)</f>
        <v>1.85</v>
      </c>
      <c r="O219" s="211">
        <f>ROUND(N219*MasterData!$C$26,2)</f>
        <v>63977.43</v>
      </c>
      <c r="P219" s="212">
        <f>VLOOKUP($A219,MasterData!$N$62:$X$111,7,FALSE)</f>
        <v>0.22</v>
      </c>
      <c r="Q219" s="214">
        <f>ROUND(P219*MasterData!$H$4,2)</f>
        <v>6520.8</v>
      </c>
      <c r="R219" s="212">
        <f>VLOOKUP($A219,MasterData!$N$62:$X$111,8,FALSE)</f>
        <v>0.12</v>
      </c>
      <c r="S219" s="211">
        <f>ROUND(R219*MasterData!$I$4,2)</f>
        <v>3863.81</v>
      </c>
      <c r="T219" s="215">
        <f t="shared" si="34"/>
        <v>572457.20000000019</v>
      </c>
      <c r="U219" s="211">
        <f>ROUND(T219*MasterData!$C$29,2)</f>
        <v>127715.2</v>
      </c>
      <c r="V219" s="211">
        <f>ROUND(T219*MasterData!$J$29,2)</f>
        <v>2118.09</v>
      </c>
      <c r="W219" s="201">
        <f t="shared" si="30"/>
        <v>700172.40000000014</v>
      </c>
      <c r="X219" s="212">
        <f>VLOOKUP($A219,MasterData!$N$62:$X$111,10,FALSE)*52</f>
        <v>52</v>
      </c>
      <c r="Y219" s="211">
        <f>ROUND(X219*MasterData!$C$7,2)</f>
        <v>3138.72</v>
      </c>
      <c r="Z219" s="212">
        <f>VLOOKUP($A219,MasterData!$N$62:$X$111,11,FALSE)*52</f>
        <v>156</v>
      </c>
      <c r="AA219" s="211">
        <f>ROUND(Z219*MasterData!$D$7,2)</f>
        <v>6605.04</v>
      </c>
      <c r="AB219" s="215">
        <f t="shared" si="35"/>
        <v>9743.76</v>
      </c>
      <c r="AC219" s="216">
        <f>MasterData!$M$28</f>
        <v>15472.178595890411</v>
      </c>
      <c r="AD219" s="211">
        <f>MasterData!$D$30</f>
        <v>992.8</v>
      </c>
      <c r="AE219" s="211">
        <f>MasterData!$E$30</f>
        <v>2876.2</v>
      </c>
      <c r="AF219" s="211">
        <f>MasterData!$F$30</f>
        <v>0</v>
      </c>
      <c r="AG219" s="215">
        <f t="shared" si="28"/>
        <v>729257.33859589056</v>
      </c>
      <c r="AH219" s="211">
        <f>ROUND(AG219*MasterData!$G$29,2)</f>
        <v>87510.88</v>
      </c>
      <c r="AI219" s="200">
        <f>((AG219+AH219)*MasterData!$I$29)-'Model Calculator'!W219*MasterData!$I$29</f>
        <v>2075.4055710068496</v>
      </c>
      <c r="AJ219" s="201">
        <f t="shared" si="29"/>
        <v>820961.71416689735</v>
      </c>
      <c r="AK219" s="201">
        <f t="shared" si="31"/>
        <v>2365.88</v>
      </c>
    </row>
    <row r="220" spans="1:37" hidden="1">
      <c r="A220" s="197" t="s">
        <v>106</v>
      </c>
      <c r="B220" s="197" t="str">
        <f t="shared" si="32"/>
        <v>M212.51</v>
      </c>
      <c r="C220" s="197" t="s">
        <v>130</v>
      </c>
      <c r="D220" s="226" t="s">
        <v>301</v>
      </c>
      <c r="E220" s="213">
        <f>VLOOKUP($A220,MasterData!$N$62:$X$111,2,FALSE)</f>
        <v>0.18</v>
      </c>
      <c r="F220" s="214">
        <f>ROUND(E220*MasterData!$C$4,2)</f>
        <v>9297.2999999999993</v>
      </c>
      <c r="G220" s="212">
        <f>VLOOKUP($A220,MasterData!$N$62:$X$111,3,FALSE)</f>
        <v>0.66</v>
      </c>
      <c r="H220" s="214">
        <f>ROUND(G220*MasterData!$D$4,2)</f>
        <v>27401.09</v>
      </c>
      <c r="I220" s="212">
        <f t="shared" si="33"/>
        <v>12.5</v>
      </c>
      <c r="J220" s="212">
        <f>VLOOKUP($A220,MasterData!$N$62:$X$111,4,FALSE)</f>
        <v>11.1</v>
      </c>
      <c r="K220" s="214">
        <f>ROUND(J220*MasterData!$B$26,2)</f>
        <v>439707.41</v>
      </c>
      <c r="L220" s="212">
        <f>VLOOKUP($A220,MasterData!$N$62:$X$111,5,FALSE)</f>
        <v>1.4</v>
      </c>
      <c r="M220" s="211">
        <f>ROUND(L220*MasterData!$F$4,2)</f>
        <v>41496</v>
      </c>
      <c r="N220" s="212">
        <f>VLOOKUP($A220,MasterData!$N$62:$X$111,6,FALSE)</f>
        <v>1.93</v>
      </c>
      <c r="O220" s="211">
        <f>ROUND(N220*MasterData!$C$26,2)</f>
        <v>66744.02</v>
      </c>
      <c r="P220" s="212">
        <f>VLOOKUP($A220,MasterData!$N$62:$X$111,7,FALSE)</f>
        <v>0.22</v>
      </c>
      <c r="Q220" s="214">
        <f>ROUND(P220*MasterData!$H$4,2)</f>
        <v>6520.8</v>
      </c>
      <c r="R220" s="212">
        <f>VLOOKUP($A220,MasterData!$N$62:$X$111,8,FALSE)</f>
        <v>0.12</v>
      </c>
      <c r="S220" s="211">
        <f>ROUND(R220*MasterData!$I$4,2)</f>
        <v>3863.81</v>
      </c>
      <c r="T220" s="215">
        <f t="shared" si="34"/>
        <v>595030.43000000005</v>
      </c>
      <c r="U220" s="211">
        <f>ROUND(T220*MasterData!$C$29,2)</f>
        <v>132751.29</v>
      </c>
      <c r="V220" s="211">
        <f>ROUND(T220*MasterData!$J$29,2)</f>
        <v>2201.61</v>
      </c>
      <c r="W220" s="201">
        <f t="shared" si="30"/>
        <v>727781.72000000009</v>
      </c>
      <c r="X220" s="212">
        <f>VLOOKUP($A220,MasterData!$N$62:$X$111,10,FALSE)*52</f>
        <v>52</v>
      </c>
      <c r="Y220" s="211">
        <f>ROUND(X220*MasterData!$C$7,2)</f>
        <v>3138.72</v>
      </c>
      <c r="Z220" s="212">
        <f>VLOOKUP($A220,MasterData!$N$62:$X$111,11,FALSE)*52</f>
        <v>156</v>
      </c>
      <c r="AA220" s="211">
        <f>ROUND(Z220*MasterData!$D$7,2)</f>
        <v>6605.04</v>
      </c>
      <c r="AB220" s="215">
        <f t="shared" si="35"/>
        <v>9743.76</v>
      </c>
      <c r="AC220" s="216">
        <f>MasterData!$M$28</f>
        <v>15472.178595890411</v>
      </c>
      <c r="AD220" s="211">
        <f>MasterData!$D$30</f>
        <v>992.8</v>
      </c>
      <c r="AE220" s="211">
        <f>MasterData!$E$30</f>
        <v>2876.2</v>
      </c>
      <c r="AF220" s="211">
        <f>MasterData!$F$30</f>
        <v>0</v>
      </c>
      <c r="AG220" s="215">
        <f t="shared" si="28"/>
        <v>756866.65859589051</v>
      </c>
      <c r="AH220" s="211">
        <f>ROUND(AG220*MasterData!$G$29,2)</f>
        <v>90824</v>
      </c>
      <c r="AI220" s="200">
        <f>((AG220+AH220)*MasterData!$I$29)-'Model Calculator'!W220*MasterData!$I$29</f>
        <v>2134.3791070068492</v>
      </c>
      <c r="AJ220" s="201">
        <f t="shared" si="29"/>
        <v>852026.64770289732</v>
      </c>
      <c r="AK220" s="201">
        <f t="shared" si="31"/>
        <v>2455.41</v>
      </c>
    </row>
    <row r="221" spans="1:37" hidden="1">
      <c r="A221" s="197" t="s">
        <v>107</v>
      </c>
      <c r="B221" s="197" t="str">
        <f t="shared" si="32"/>
        <v>M213.01</v>
      </c>
      <c r="C221" s="197" t="s">
        <v>131</v>
      </c>
      <c r="D221" s="226" t="s">
        <v>301</v>
      </c>
      <c r="E221" s="213">
        <f>VLOOKUP($A221,MasterData!$N$62:$X$111,2,FALSE)</f>
        <v>0.18</v>
      </c>
      <c r="F221" s="214">
        <f>ROUND(E221*MasterData!$C$4,2)</f>
        <v>9297.2999999999993</v>
      </c>
      <c r="G221" s="212">
        <f>VLOOKUP($A221,MasterData!$N$62:$X$111,3,FALSE)</f>
        <v>0.66</v>
      </c>
      <c r="H221" s="214">
        <f>ROUND(G221*MasterData!$D$4,2)</f>
        <v>27401.09</v>
      </c>
      <c r="I221" s="212">
        <f t="shared" si="33"/>
        <v>13</v>
      </c>
      <c r="J221" s="212">
        <f>VLOOKUP($A221,MasterData!$N$62:$X$111,4,FALSE)</f>
        <v>11.6</v>
      </c>
      <c r="K221" s="214">
        <f>ROUND(J221*MasterData!$B$26,2)</f>
        <v>459514.05</v>
      </c>
      <c r="L221" s="212">
        <f>VLOOKUP($A221,MasterData!$N$62:$X$111,5,FALSE)</f>
        <v>1.4</v>
      </c>
      <c r="M221" s="211">
        <f>ROUND(L221*MasterData!$F$4,2)</f>
        <v>41496</v>
      </c>
      <c r="N221" s="212">
        <f>VLOOKUP($A221,MasterData!$N$62:$X$111,6,FALSE)</f>
        <v>2</v>
      </c>
      <c r="O221" s="211">
        <f>ROUND(N221*MasterData!$C$26,2)</f>
        <v>69164.789999999994</v>
      </c>
      <c r="P221" s="212">
        <f>VLOOKUP($A221,MasterData!$N$62:$X$111,7,FALSE)</f>
        <v>0.22</v>
      </c>
      <c r="Q221" s="214">
        <f>ROUND(P221*MasterData!$H$4,2)</f>
        <v>6520.8</v>
      </c>
      <c r="R221" s="212">
        <f>VLOOKUP($A221,MasterData!$N$62:$X$111,8,FALSE)</f>
        <v>0.12</v>
      </c>
      <c r="S221" s="211">
        <f>ROUND(R221*MasterData!$I$4,2)</f>
        <v>3863.81</v>
      </c>
      <c r="T221" s="215">
        <f t="shared" si="34"/>
        <v>617257.84000000008</v>
      </c>
      <c r="U221" s="211">
        <f>ROUND(T221*MasterData!$C$29,2)</f>
        <v>137710.22</v>
      </c>
      <c r="V221" s="211">
        <f>ROUND(T221*MasterData!$J$29,2)</f>
        <v>2283.85</v>
      </c>
      <c r="W221" s="201">
        <f t="shared" si="30"/>
        <v>754968.06</v>
      </c>
      <c r="X221" s="212">
        <f>VLOOKUP($A221,MasterData!$N$62:$X$111,10,FALSE)*52</f>
        <v>52</v>
      </c>
      <c r="Y221" s="211">
        <f>ROUND(X221*MasterData!$C$7,2)</f>
        <v>3138.72</v>
      </c>
      <c r="Z221" s="212">
        <f>VLOOKUP($A221,MasterData!$N$62:$X$111,11,FALSE)*52</f>
        <v>156</v>
      </c>
      <c r="AA221" s="211">
        <f>ROUND(Z221*MasterData!$D$7,2)</f>
        <v>6605.04</v>
      </c>
      <c r="AB221" s="215">
        <f t="shared" si="35"/>
        <v>9743.76</v>
      </c>
      <c r="AC221" s="216">
        <f>MasterData!$M$28</f>
        <v>15472.178595890411</v>
      </c>
      <c r="AD221" s="211">
        <f>MasterData!$D$30</f>
        <v>992.8</v>
      </c>
      <c r="AE221" s="211">
        <f>MasterData!$E$30</f>
        <v>2876.2</v>
      </c>
      <c r="AF221" s="211">
        <f>MasterData!$F$30</f>
        <v>0</v>
      </c>
      <c r="AG221" s="215">
        <f t="shared" si="28"/>
        <v>784052.99859589047</v>
      </c>
      <c r="AH221" s="211">
        <f>ROUND(AG221*MasterData!$G$29,2)</f>
        <v>94086.36</v>
      </c>
      <c r="AI221" s="200">
        <f>((AG221+AH221)*MasterData!$I$29)-'Model Calculator'!W221*MasterData!$I$29</f>
        <v>2192.4491150068498</v>
      </c>
      <c r="AJ221" s="201">
        <f t="shared" si="29"/>
        <v>882615.65771089727</v>
      </c>
      <c r="AK221" s="201">
        <f t="shared" si="31"/>
        <v>2543.56</v>
      </c>
    </row>
    <row r="222" spans="1:37" hidden="1">
      <c r="A222" s="197" t="s">
        <v>108</v>
      </c>
      <c r="B222" s="197" t="str">
        <f t="shared" si="32"/>
        <v>M213.51</v>
      </c>
      <c r="C222" s="197" t="s">
        <v>132</v>
      </c>
      <c r="D222" s="226" t="s">
        <v>301</v>
      </c>
      <c r="E222" s="213">
        <f>VLOOKUP($A222,MasterData!$N$62:$X$111,2,FALSE)</f>
        <v>0.18</v>
      </c>
      <c r="F222" s="214">
        <f>ROUND(E222*MasterData!$C$4,2)</f>
        <v>9297.2999999999993</v>
      </c>
      <c r="G222" s="212">
        <f>VLOOKUP($A222,MasterData!$N$62:$X$111,3,FALSE)</f>
        <v>0.66</v>
      </c>
      <c r="H222" s="214">
        <f>ROUND(G222*MasterData!$D$4,2)</f>
        <v>27401.09</v>
      </c>
      <c r="I222" s="212">
        <f t="shared" si="33"/>
        <v>13.5</v>
      </c>
      <c r="J222" s="212">
        <f>VLOOKUP($A222,MasterData!$N$62:$X$111,4,FALSE)</f>
        <v>12.1</v>
      </c>
      <c r="K222" s="214">
        <f>ROUND(J222*MasterData!$B$26,2)</f>
        <v>479320.69</v>
      </c>
      <c r="L222" s="212">
        <f>VLOOKUP($A222,MasterData!$N$62:$X$111,5,FALSE)</f>
        <v>1.4</v>
      </c>
      <c r="M222" s="211">
        <f>ROUND(L222*MasterData!$F$4,2)</f>
        <v>41496</v>
      </c>
      <c r="N222" s="212">
        <f>VLOOKUP($A222,MasterData!$N$62:$X$111,6,FALSE)</f>
        <v>2.08</v>
      </c>
      <c r="O222" s="211">
        <f>ROUND(N222*MasterData!$C$26,2)</f>
        <v>71931.38</v>
      </c>
      <c r="P222" s="212">
        <f>VLOOKUP($A222,MasterData!$N$62:$X$111,7,FALSE)</f>
        <v>0.22</v>
      </c>
      <c r="Q222" s="214">
        <f>ROUND(P222*MasterData!$H$4,2)</f>
        <v>6520.8</v>
      </c>
      <c r="R222" s="212">
        <f>VLOOKUP($A222,MasterData!$N$62:$X$111,8,FALSE)</f>
        <v>0.12</v>
      </c>
      <c r="S222" s="211">
        <f>ROUND(R222*MasterData!$I$4,2)</f>
        <v>3863.81</v>
      </c>
      <c r="T222" s="215">
        <f t="shared" si="34"/>
        <v>639831.07000000018</v>
      </c>
      <c r="U222" s="211">
        <f>ROUND(T222*MasterData!$C$29,2)</f>
        <v>142746.31</v>
      </c>
      <c r="V222" s="211">
        <f>ROUND(T222*MasterData!$J$29,2)</f>
        <v>2367.37</v>
      </c>
      <c r="W222" s="201">
        <f t="shared" si="30"/>
        <v>782577.38000000012</v>
      </c>
      <c r="X222" s="212">
        <f>VLOOKUP($A222,MasterData!$N$62:$X$111,10,FALSE)*52</f>
        <v>52</v>
      </c>
      <c r="Y222" s="211">
        <f>ROUND(X222*MasterData!$C$7,2)</f>
        <v>3138.72</v>
      </c>
      <c r="Z222" s="212">
        <f>VLOOKUP($A222,MasterData!$N$62:$X$111,11,FALSE)*52</f>
        <v>156</v>
      </c>
      <c r="AA222" s="211">
        <f>ROUND(Z222*MasterData!$D$7,2)</f>
        <v>6605.04</v>
      </c>
      <c r="AB222" s="215">
        <f t="shared" si="35"/>
        <v>9743.76</v>
      </c>
      <c r="AC222" s="216">
        <f>MasterData!$M$28</f>
        <v>15472.178595890411</v>
      </c>
      <c r="AD222" s="211">
        <f>MasterData!$D$30</f>
        <v>992.8</v>
      </c>
      <c r="AE222" s="211">
        <f>MasterData!$E$30</f>
        <v>2876.2</v>
      </c>
      <c r="AF222" s="211">
        <f>MasterData!$F$30</f>
        <v>0</v>
      </c>
      <c r="AG222" s="215">
        <f t="shared" si="28"/>
        <v>811662.31859589054</v>
      </c>
      <c r="AH222" s="211">
        <f>ROUND(AG222*MasterData!$G$29,2)</f>
        <v>97399.48</v>
      </c>
      <c r="AI222" s="200">
        <f>((AG222+AH222)*MasterData!$I$29)-'Model Calculator'!W222*MasterData!$I$29</f>
        <v>2251.4226510068493</v>
      </c>
      <c r="AJ222" s="201">
        <f t="shared" si="29"/>
        <v>913680.59124689735</v>
      </c>
      <c r="AK222" s="201">
        <f t="shared" si="31"/>
        <v>2633.09</v>
      </c>
    </row>
    <row r="223" spans="1:37" hidden="1">
      <c r="A223" s="197" t="s">
        <v>109</v>
      </c>
      <c r="B223" s="197" t="str">
        <f t="shared" si="32"/>
        <v>M214.01</v>
      </c>
      <c r="C223" s="197" t="s">
        <v>133</v>
      </c>
      <c r="D223" s="226" t="s">
        <v>301</v>
      </c>
      <c r="E223" s="213">
        <f>VLOOKUP($A223,MasterData!$N$62:$X$111,2,FALSE)</f>
        <v>0.18</v>
      </c>
      <c r="F223" s="214">
        <f>ROUND(E223*MasterData!$C$4,2)</f>
        <v>9297.2999999999993</v>
      </c>
      <c r="G223" s="212">
        <f>VLOOKUP($A223,MasterData!$N$62:$X$111,3,FALSE)</f>
        <v>0.66</v>
      </c>
      <c r="H223" s="214">
        <f>ROUND(G223*MasterData!$D$4,2)</f>
        <v>27401.09</v>
      </c>
      <c r="I223" s="212">
        <f t="shared" si="33"/>
        <v>14</v>
      </c>
      <c r="J223" s="212">
        <f>VLOOKUP($A223,MasterData!$N$62:$X$111,4,FALSE)</f>
        <v>12.6</v>
      </c>
      <c r="K223" s="214">
        <f>ROUND(J223*MasterData!$B$26,2)</f>
        <v>499127.33</v>
      </c>
      <c r="L223" s="212">
        <f>VLOOKUP($A223,MasterData!$N$62:$X$111,5,FALSE)</f>
        <v>1.4</v>
      </c>
      <c r="M223" s="211">
        <f>ROUND(L223*MasterData!$F$4,2)</f>
        <v>41496</v>
      </c>
      <c r="N223" s="212">
        <f>VLOOKUP($A223,MasterData!$N$62:$X$111,6,FALSE)</f>
        <v>2.16</v>
      </c>
      <c r="O223" s="211">
        <f>ROUND(N223*MasterData!$C$26,2)</f>
        <v>74697.97</v>
      </c>
      <c r="P223" s="212">
        <f>VLOOKUP($A223,MasterData!$N$62:$X$111,7,FALSE)</f>
        <v>0.22</v>
      </c>
      <c r="Q223" s="214">
        <f>ROUND(P223*MasterData!$H$4,2)</f>
        <v>6520.8</v>
      </c>
      <c r="R223" s="212">
        <f>VLOOKUP($A223,MasterData!$N$62:$X$111,8,FALSE)</f>
        <v>0.12</v>
      </c>
      <c r="S223" s="211">
        <f>ROUND(R223*MasterData!$I$4,2)</f>
        <v>3863.81</v>
      </c>
      <c r="T223" s="215">
        <f t="shared" si="34"/>
        <v>662404.30000000005</v>
      </c>
      <c r="U223" s="211">
        <f>ROUND(T223*MasterData!$C$29,2)</f>
        <v>147782.39999999999</v>
      </c>
      <c r="V223" s="211">
        <f>ROUND(T223*MasterData!$J$29,2)</f>
        <v>2450.9</v>
      </c>
      <c r="W223" s="201">
        <f t="shared" si="30"/>
        <v>810186.70000000007</v>
      </c>
      <c r="X223" s="212">
        <f>VLOOKUP($A223,MasterData!$N$62:$X$111,10,FALSE)*52</f>
        <v>52</v>
      </c>
      <c r="Y223" s="211">
        <f>ROUND(X223*MasterData!$C$7,2)</f>
        <v>3138.72</v>
      </c>
      <c r="Z223" s="212">
        <f>VLOOKUP($A223,MasterData!$N$62:$X$111,11,FALSE)*52</f>
        <v>156</v>
      </c>
      <c r="AA223" s="211">
        <f>ROUND(Z223*MasterData!$D$7,2)</f>
        <v>6605.04</v>
      </c>
      <c r="AB223" s="215">
        <f t="shared" si="35"/>
        <v>9743.76</v>
      </c>
      <c r="AC223" s="216">
        <f>MasterData!$M$28</f>
        <v>15472.178595890411</v>
      </c>
      <c r="AD223" s="211">
        <f>MasterData!$D$30</f>
        <v>992.8</v>
      </c>
      <c r="AE223" s="211">
        <f>MasterData!$E$30</f>
        <v>2876.2</v>
      </c>
      <c r="AF223" s="211">
        <f>MasterData!$F$30</f>
        <v>0</v>
      </c>
      <c r="AG223" s="215">
        <f t="shared" si="28"/>
        <v>839271.63859589049</v>
      </c>
      <c r="AH223" s="211">
        <f>ROUND(AG223*MasterData!$G$29,2)</f>
        <v>100712.6</v>
      </c>
      <c r="AI223" s="200">
        <f>((AG223+AH223)*MasterData!$I$29)-'Model Calculator'!W223*MasterData!$I$29</f>
        <v>2310.3961870068488</v>
      </c>
      <c r="AJ223" s="201">
        <f t="shared" si="29"/>
        <v>944745.53478289733</v>
      </c>
      <c r="AK223" s="201">
        <f t="shared" si="31"/>
        <v>2722.61</v>
      </c>
    </row>
    <row r="224" spans="1:37" hidden="1">
      <c r="A224" s="197" t="s">
        <v>110</v>
      </c>
      <c r="B224" s="197" t="str">
        <f t="shared" si="32"/>
        <v>M214.51</v>
      </c>
      <c r="C224" s="197" t="s">
        <v>134</v>
      </c>
      <c r="D224" s="226" t="s">
        <v>301</v>
      </c>
      <c r="E224" s="213">
        <f>VLOOKUP($A224,MasterData!$N$62:$X$111,2,FALSE)</f>
        <v>0.18</v>
      </c>
      <c r="F224" s="214">
        <f>ROUND(E224*MasterData!$C$4,2)</f>
        <v>9297.2999999999993</v>
      </c>
      <c r="G224" s="212">
        <f>VLOOKUP($A224,MasterData!$N$62:$X$111,3,FALSE)</f>
        <v>0.66</v>
      </c>
      <c r="H224" s="214">
        <f>ROUND(G224*MasterData!$D$4,2)</f>
        <v>27401.09</v>
      </c>
      <c r="I224" s="212">
        <f t="shared" si="33"/>
        <v>14.5</v>
      </c>
      <c r="J224" s="212">
        <f>VLOOKUP($A224,MasterData!$N$62:$X$111,4,FALSE)</f>
        <v>13.1</v>
      </c>
      <c r="K224" s="214">
        <f>ROUND(J224*MasterData!$B$26,2)</f>
        <v>518933.97</v>
      </c>
      <c r="L224" s="212">
        <f>VLOOKUP($A224,MasterData!$N$62:$X$111,5,FALSE)</f>
        <v>1.4</v>
      </c>
      <c r="M224" s="211">
        <f>ROUND(L224*MasterData!$F$4,2)</f>
        <v>41496</v>
      </c>
      <c r="N224" s="212">
        <f>VLOOKUP($A224,MasterData!$N$62:$X$111,6,FALSE)</f>
        <v>2.23</v>
      </c>
      <c r="O224" s="211">
        <f>ROUND(N224*MasterData!$C$26,2)</f>
        <v>77118.740000000005</v>
      </c>
      <c r="P224" s="212">
        <f>VLOOKUP($A224,MasterData!$N$62:$X$111,7,FALSE)</f>
        <v>0.22</v>
      </c>
      <c r="Q224" s="214">
        <f>ROUND(P224*MasterData!$H$4,2)</f>
        <v>6520.8</v>
      </c>
      <c r="R224" s="212">
        <f>VLOOKUP($A224,MasterData!$N$62:$X$111,8,FALSE)</f>
        <v>0.12</v>
      </c>
      <c r="S224" s="211">
        <f>ROUND(R224*MasterData!$I$4,2)</f>
        <v>3863.81</v>
      </c>
      <c r="T224" s="215">
        <f t="shared" si="34"/>
        <v>684631.71000000008</v>
      </c>
      <c r="U224" s="211">
        <f>ROUND(T224*MasterData!$C$29,2)</f>
        <v>152741.32999999999</v>
      </c>
      <c r="V224" s="211">
        <f>ROUND(T224*MasterData!$J$29,2)</f>
        <v>2533.14</v>
      </c>
      <c r="W224" s="201">
        <f t="shared" si="30"/>
        <v>837373.04</v>
      </c>
      <c r="X224" s="212">
        <f>VLOOKUP($A224,MasterData!$N$62:$X$111,10,FALSE)*52</f>
        <v>52</v>
      </c>
      <c r="Y224" s="211">
        <f>ROUND(X224*MasterData!$C$7,2)</f>
        <v>3138.72</v>
      </c>
      <c r="Z224" s="212">
        <f>VLOOKUP($A224,MasterData!$N$62:$X$111,11,FALSE)*52</f>
        <v>156</v>
      </c>
      <c r="AA224" s="211">
        <f>ROUND(Z224*MasterData!$D$7,2)</f>
        <v>6605.04</v>
      </c>
      <c r="AB224" s="215">
        <f t="shared" si="35"/>
        <v>9743.76</v>
      </c>
      <c r="AC224" s="216">
        <f>MasterData!$M$28</f>
        <v>15472.178595890411</v>
      </c>
      <c r="AD224" s="211">
        <f>MasterData!$D$30</f>
        <v>992.8</v>
      </c>
      <c r="AE224" s="211">
        <f>MasterData!$E$30</f>
        <v>2876.2</v>
      </c>
      <c r="AF224" s="211">
        <f>MasterData!$F$30</f>
        <v>0</v>
      </c>
      <c r="AG224" s="215">
        <f t="shared" si="28"/>
        <v>866457.97859589045</v>
      </c>
      <c r="AH224" s="211">
        <f>ROUND(AG224*MasterData!$G$29,2)</f>
        <v>103974.96</v>
      </c>
      <c r="AI224" s="200">
        <f>((AG224+AH224)*MasterData!$I$29)-'Model Calculator'!W224*MasterData!$I$29</f>
        <v>2368.4661950068494</v>
      </c>
      <c r="AJ224" s="201">
        <f t="shared" si="29"/>
        <v>975334.54479089729</v>
      </c>
      <c r="AK224" s="201">
        <f t="shared" si="31"/>
        <v>2810.76</v>
      </c>
    </row>
    <row r="225" spans="1:37" hidden="1">
      <c r="A225" s="197" t="s">
        <v>111</v>
      </c>
      <c r="B225" s="197" t="str">
        <f t="shared" si="32"/>
        <v>M215.01</v>
      </c>
      <c r="C225" s="197" t="s">
        <v>135</v>
      </c>
      <c r="D225" s="226" t="s">
        <v>301</v>
      </c>
      <c r="E225" s="213">
        <f>VLOOKUP($A225,MasterData!$N$62:$X$111,2,FALSE)</f>
        <v>0.18</v>
      </c>
      <c r="F225" s="214">
        <f>ROUND(E225*MasterData!$C$4,2)</f>
        <v>9297.2999999999993</v>
      </c>
      <c r="G225" s="212">
        <f>VLOOKUP($A225,MasterData!$N$62:$X$111,3,FALSE)</f>
        <v>0.66</v>
      </c>
      <c r="H225" s="214">
        <f>ROUND(G225*MasterData!$D$4,2)</f>
        <v>27401.09</v>
      </c>
      <c r="I225" s="212">
        <f t="shared" si="33"/>
        <v>15</v>
      </c>
      <c r="J225" s="212">
        <f>VLOOKUP($A225,MasterData!$N$62:$X$111,4,FALSE)</f>
        <v>13.6</v>
      </c>
      <c r="K225" s="214">
        <f>ROUND(J225*MasterData!$B$26,2)</f>
        <v>538740.61</v>
      </c>
      <c r="L225" s="212">
        <f>VLOOKUP($A225,MasterData!$N$62:$X$111,5,FALSE)</f>
        <v>1.4</v>
      </c>
      <c r="M225" s="211">
        <f>ROUND(L225*MasterData!$F$4,2)</f>
        <v>41496</v>
      </c>
      <c r="N225" s="212">
        <f>VLOOKUP($A225,MasterData!$N$62:$X$111,6,FALSE)</f>
        <v>2.31</v>
      </c>
      <c r="O225" s="211">
        <f>ROUND(N225*MasterData!$C$26,2)</f>
        <v>79885.33</v>
      </c>
      <c r="P225" s="212">
        <f>VLOOKUP($A225,MasterData!$N$62:$X$111,7,FALSE)</f>
        <v>0.22</v>
      </c>
      <c r="Q225" s="214">
        <f>ROUND(P225*MasterData!$H$4,2)</f>
        <v>6520.8</v>
      </c>
      <c r="R225" s="212">
        <f>VLOOKUP($A225,MasterData!$N$62:$X$111,8,FALSE)</f>
        <v>0.12</v>
      </c>
      <c r="S225" s="211">
        <f>ROUND(R225*MasterData!$I$4,2)</f>
        <v>3863.81</v>
      </c>
      <c r="T225" s="215">
        <f t="shared" si="34"/>
        <v>707204.94000000006</v>
      </c>
      <c r="U225" s="211">
        <f>ROUND(T225*MasterData!$C$29,2)</f>
        <v>157777.42000000001</v>
      </c>
      <c r="V225" s="211">
        <f>ROUND(T225*MasterData!$J$29,2)</f>
        <v>2616.66</v>
      </c>
      <c r="W225" s="201">
        <f t="shared" si="30"/>
        <v>864982.3600000001</v>
      </c>
      <c r="X225" s="212">
        <f>VLOOKUP($A225,MasterData!$N$62:$X$111,10,FALSE)*52</f>
        <v>52</v>
      </c>
      <c r="Y225" s="211">
        <f>ROUND(X225*MasterData!$C$7,2)</f>
        <v>3138.72</v>
      </c>
      <c r="Z225" s="212">
        <f>VLOOKUP($A225,MasterData!$N$62:$X$111,11,FALSE)*52</f>
        <v>156</v>
      </c>
      <c r="AA225" s="211">
        <f>ROUND(Z225*MasterData!$D$7,2)</f>
        <v>6605.04</v>
      </c>
      <c r="AB225" s="215">
        <f t="shared" si="35"/>
        <v>9743.76</v>
      </c>
      <c r="AC225" s="216">
        <f>MasterData!$M$28</f>
        <v>15472.178595890411</v>
      </c>
      <c r="AD225" s="211">
        <f>MasterData!$D$30</f>
        <v>992.8</v>
      </c>
      <c r="AE225" s="211">
        <f>MasterData!$E$30</f>
        <v>2876.2</v>
      </c>
      <c r="AF225" s="211">
        <f>MasterData!$F$30</f>
        <v>0</v>
      </c>
      <c r="AG225" s="215">
        <f t="shared" si="28"/>
        <v>894067.29859589052</v>
      </c>
      <c r="AH225" s="211">
        <f>ROUND(AG225*MasterData!$G$29,2)</f>
        <v>107288.08</v>
      </c>
      <c r="AI225" s="200">
        <f>((AG225+AH225)*MasterData!$I$29)-'Model Calculator'!W225*MasterData!$I$29</f>
        <v>2427.4397310068471</v>
      </c>
      <c r="AJ225" s="201">
        <f t="shared" si="29"/>
        <v>1006399.4783268974</v>
      </c>
      <c r="AK225" s="201">
        <f t="shared" si="31"/>
        <v>2900.29</v>
      </c>
    </row>
    <row r="226" spans="1:37" hidden="1">
      <c r="A226" s="197" t="s">
        <v>112</v>
      </c>
      <c r="B226" s="197" t="str">
        <f t="shared" si="32"/>
        <v>M215.51</v>
      </c>
      <c r="C226" s="197" t="s">
        <v>136</v>
      </c>
      <c r="D226" s="226" t="s">
        <v>301</v>
      </c>
      <c r="E226" s="213">
        <f>VLOOKUP($A226,MasterData!$N$62:$X$111,2,FALSE)</f>
        <v>0.18</v>
      </c>
      <c r="F226" s="214">
        <f>ROUND(E226*MasterData!$C$4,2)</f>
        <v>9297.2999999999993</v>
      </c>
      <c r="G226" s="212">
        <f>VLOOKUP($A226,MasterData!$N$62:$X$111,3,FALSE)</f>
        <v>0.66</v>
      </c>
      <c r="H226" s="214">
        <f>ROUND(G226*MasterData!$D$4,2)</f>
        <v>27401.09</v>
      </c>
      <c r="I226" s="212">
        <f t="shared" si="33"/>
        <v>15.5</v>
      </c>
      <c r="J226" s="212">
        <f>VLOOKUP($A226,MasterData!$N$62:$X$111,4,FALSE)</f>
        <v>14.1</v>
      </c>
      <c r="K226" s="214">
        <f>ROUND(J226*MasterData!$B$26,2)</f>
        <v>558547.25</v>
      </c>
      <c r="L226" s="212">
        <f>VLOOKUP($A226,MasterData!$N$62:$X$111,5,FALSE)</f>
        <v>1.4</v>
      </c>
      <c r="M226" s="211">
        <f>ROUND(L226*MasterData!$F$4,2)</f>
        <v>41496</v>
      </c>
      <c r="N226" s="212">
        <f>VLOOKUP($A226,MasterData!$N$62:$X$111,6,FALSE)</f>
        <v>2.39</v>
      </c>
      <c r="O226" s="211">
        <f>ROUND(N226*MasterData!$C$26,2)</f>
        <v>82651.92</v>
      </c>
      <c r="P226" s="212">
        <f>VLOOKUP($A226,MasterData!$N$62:$X$111,7,FALSE)</f>
        <v>0.22</v>
      </c>
      <c r="Q226" s="214">
        <f>ROUND(P226*MasterData!$H$4,2)</f>
        <v>6520.8</v>
      </c>
      <c r="R226" s="212">
        <f>VLOOKUP($A226,MasterData!$N$62:$X$111,8,FALSE)</f>
        <v>0.12</v>
      </c>
      <c r="S226" s="211">
        <f>ROUND(R226*MasterData!$I$4,2)</f>
        <v>3863.81</v>
      </c>
      <c r="T226" s="215">
        <f t="shared" si="34"/>
        <v>729778.17000000016</v>
      </c>
      <c r="U226" s="211">
        <f>ROUND(T226*MasterData!$C$29,2)</f>
        <v>162813.51</v>
      </c>
      <c r="V226" s="211">
        <f>ROUND(T226*MasterData!$J$29,2)</f>
        <v>2700.18</v>
      </c>
      <c r="W226" s="201">
        <f t="shared" si="30"/>
        <v>892591.68000000017</v>
      </c>
      <c r="X226" s="212">
        <f>VLOOKUP($A226,MasterData!$N$62:$X$111,10,FALSE)*52</f>
        <v>52</v>
      </c>
      <c r="Y226" s="211">
        <f>ROUND(X226*MasterData!$C$7,2)</f>
        <v>3138.72</v>
      </c>
      <c r="Z226" s="212">
        <f>VLOOKUP($A226,MasterData!$N$62:$X$111,11,FALSE)*52</f>
        <v>156</v>
      </c>
      <c r="AA226" s="211">
        <f>ROUND(Z226*MasterData!$D$7,2)</f>
        <v>6605.04</v>
      </c>
      <c r="AB226" s="215">
        <f t="shared" si="35"/>
        <v>9743.76</v>
      </c>
      <c r="AC226" s="216">
        <f>MasterData!$M$28</f>
        <v>15472.178595890411</v>
      </c>
      <c r="AD226" s="211">
        <f>MasterData!$D$30</f>
        <v>992.8</v>
      </c>
      <c r="AE226" s="211">
        <f>MasterData!$E$30</f>
        <v>2876.2</v>
      </c>
      <c r="AF226" s="211">
        <f>MasterData!$F$30</f>
        <v>0</v>
      </c>
      <c r="AG226" s="215">
        <f t="shared" si="28"/>
        <v>921676.61859589058</v>
      </c>
      <c r="AH226" s="211">
        <f>ROUND(AG226*MasterData!$G$29,2)</f>
        <v>110601.19</v>
      </c>
      <c r="AI226" s="200">
        <f>((AG226+AH226)*MasterData!$I$29)-'Model Calculator'!W226*MasterData!$I$29</f>
        <v>2486.41308900685</v>
      </c>
      <c r="AJ226" s="201">
        <f t="shared" si="29"/>
        <v>1037464.4016848976</v>
      </c>
      <c r="AK226" s="201">
        <f t="shared" si="31"/>
        <v>2989.81</v>
      </c>
    </row>
    <row r="227" spans="1:37">
      <c r="A227" s="197" t="s">
        <v>89</v>
      </c>
      <c r="B227" s="197" t="str">
        <f t="shared" si="32"/>
        <v>M203.52</v>
      </c>
      <c r="C227" s="197" t="s">
        <v>137</v>
      </c>
      <c r="D227" s="226" t="s">
        <v>301</v>
      </c>
      <c r="E227" s="213">
        <f>VLOOKUP($A227,MasterData!$N$62:$X$111,2,FALSE)</f>
        <v>0.18</v>
      </c>
      <c r="F227" s="214">
        <f>ROUND(E227*MasterData!$C$4,2)</f>
        <v>9297.2999999999993</v>
      </c>
      <c r="G227" s="212">
        <f>VLOOKUP($A227,MasterData!$N$62:$X$111,3,FALSE)</f>
        <v>0.66</v>
      </c>
      <c r="H227" s="214">
        <f>ROUND(G227*MasterData!$D$4,2)</f>
        <v>27401.09</v>
      </c>
      <c r="I227" s="212">
        <f t="shared" si="33"/>
        <v>3.5</v>
      </c>
      <c r="J227" s="212">
        <f>VLOOKUP($A227,MasterData!$N$62:$X$111,4,FALSE)</f>
        <v>2.1</v>
      </c>
      <c r="K227" s="214">
        <f>ROUND(J227*MasterData!$D$26,2)</f>
        <v>89967.02</v>
      </c>
      <c r="L227" s="212">
        <f>VLOOKUP($A227,MasterData!$N$62:$X$111,5,FALSE)</f>
        <v>1.4</v>
      </c>
      <c r="M227" s="211">
        <f>ROUND(L227*MasterData!$F$4,2)</f>
        <v>41496</v>
      </c>
      <c r="N227" s="212">
        <f>VLOOKUP($A227,MasterData!$N$62:$X$111,6,FALSE)</f>
        <v>0.54</v>
      </c>
      <c r="O227" s="211">
        <f>ROUND(N227*MasterData!$E$26,2)</f>
        <v>20196.310000000001</v>
      </c>
      <c r="P227" s="212">
        <f>VLOOKUP($A227,MasterData!$N$62:$X$111,7,FALSE)</f>
        <v>0.22</v>
      </c>
      <c r="Q227" s="214">
        <f>ROUND(P227*MasterData!$H$4,2)</f>
        <v>6520.8</v>
      </c>
      <c r="R227" s="212">
        <f>VLOOKUP($A227,MasterData!$N$62:$X$111,8,FALSE)</f>
        <v>0.12</v>
      </c>
      <c r="S227" s="211">
        <f>ROUND(R227*MasterData!$I$4,2)</f>
        <v>3863.81</v>
      </c>
      <c r="T227" s="215">
        <f t="shared" si="34"/>
        <v>198742.33</v>
      </c>
      <c r="U227" s="211">
        <f>ROUND(T227*MasterData!$C$29,2)</f>
        <v>44339.41</v>
      </c>
      <c r="V227" s="211">
        <f>ROUND(T227*MasterData!$J$29,2)</f>
        <v>735.35</v>
      </c>
      <c r="W227" s="201">
        <f t="shared" si="30"/>
        <v>243081.74</v>
      </c>
      <c r="X227" s="212">
        <f>VLOOKUP($A227,MasterData!$N$62:$X$111,10,FALSE)*52</f>
        <v>52</v>
      </c>
      <c r="Y227" s="211">
        <f>ROUND(X227*MasterData!$C$7,2)</f>
        <v>3138.72</v>
      </c>
      <c r="Z227" s="212">
        <f>VLOOKUP($A227,MasterData!$N$62:$X$111,11,FALSE)*52</f>
        <v>156</v>
      </c>
      <c r="AA227" s="211">
        <f>ROUND(Z227*MasterData!$D$7,2)</f>
        <v>6605.04</v>
      </c>
      <c r="AB227" s="215">
        <f t="shared" si="35"/>
        <v>9743.76</v>
      </c>
      <c r="AC227" s="216">
        <f>MasterData!$M$28</f>
        <v>15472.178595890411</v>
      </c>
      <c r="AD227" s="211">
        <f>MasterData!$D$30</f>
        <v>992.8</v>
      </c>
      <c r="AE227" s="211">
        <f>MasterData!$E$30</f>
        <v>2876.2</v>
      </c>
      <c r="AF227" s="211">
        <f>MasterData!$F$30</f>
        <v>0</v>
      </c>
      <c r="AG227" s="215">
        <f t="shared" si="28"/>
        <v>272166.67859589041</v>
      </c>
      <c r="AH227" s="211">
        <f>ROUND(AG227*MasterData!$G$29,2)</f>
        <v>32660</v>
      </c>
      <c r="AI227" s="200">
        <f>((AG227+AH227)*MasterData!$I$29)-'Model Calculator'!W227*MasterData!$I$29</f>
        <v>1099.0599070068492</v>
      </c>
      <c r="AJ227" s="201">
        <f t="shared" si="29"/>
        <v>306661.08850289724</v>
      </c>
      <c r="AK227" s="201">
        <f t="shared" si="31"/>
        <v>883.75</v>
      </c>
    </row>
    <row r="228" spans="1:37">
      <c r="A228" s="197" t="s">
        <v>90</v>
      </c>
      <c r="B228" s="197" t="str">
        <f t="shared" si="32"/>
        <v>M204.02</v>
      </c>
      <c r="C228" s="197" t="s">
        <v>138</v>
      </c>
      <c r="D228" s="226" t="s">
        <v>301</v>
      </c>
      <c r="E228" s="213">
        <f>VLOOKUP($A228,MasterData!$N$62:$X$111,2,FALSE)</f>
        <v>0.18</v>
      </c>
      <c r="F228" s="214">
        <f>ROUND(E228*MasterData!$C$4,2)</f>
        <v>9297.2999999999993</v>
      </c>
      <c r="G228" s="212">
        <f>VLOOKUP($A228,MasterData!$N$62:$X$111,3,FALSE)</f>
        <v>0.66</v>
      </c>
      <c r="H228" s="214">
        <f>ROUND(G228*MasterData!$D$4,2)</f>
        <v>27401.09</v>
      </c>
      <c r="I228" s="212">
        <f t="shared" si="33"/>
        <v>4</v>
      </c>
      <c r="J228" s="212">
        <f>VLOOKUP($A228,MasterData!$N$62:$X$111,4,FALSE)</f>
        <v>2.6</v>
      </c>
      <c r="K228" s="214">
        <f>ROUND(J228*MasterData!$D$26,2)</f>
        <v>111387.74</v>
      </c>
      <c r="L228" s="212">
        <f>VLOOKUP($A228,MasterData!$N$62:$X$111,5,FALSE)</f>
        <v>1.4</v>
      </c>
      <c r="M228" s="211">
        <f>ROUND(L228*MasterData!$F$4,2)</f>
        <v>41496</v>
      </c>
      <c r="N228" s="212">
        <f>VLOOKUP($A228,MasterData!$N$62:$X$111,6,FALSE)</f>
        <v>0.62</v>
      </c>
      <c r="O228" s="211">
        <f>ROUND(N228*MasterData!$E$26,2)</f>
        <v>23188.36</v>
      </c>
      <c r="P228" s="212">
        <f>VLOOKUP($A228,MasterData!$N$62:$X$111,7,FALSE)</f>
        <v>0.22</v>
      </c>
      <c r="Q228" s="214">
        <f>ROUND(P228*MasterData!$H$4,2)</f>
        <v>6520.8</v>
      </c>
      <c r="R228" s="212">
        <f>VLOOKUP($A228,MasterData!$N$62:$X$111,8,FALSE)</f>
        <v>0.12</v>
      </c>
      <c r="S228" s="211">
        <f>ROUND(R228*MasterData!$I$4,2)</f>
        <v>3863.81</v>
      </c>
      <c r="T228" s="215">
        <f t="shared" si="34"/>
        <v>223155.09999999998</v>
      </c>
      <c r="U228" s="211">
        <f>ROUND(T228*MasterData!$C$29,2)</f>
        <v>49785.9</v>
      </c>
      <c r="V228" s="211">
        <f>ROUND(T228*MasterData!$J$29,2)</f>
        <v>825.67</v>
      </c>
      <c r="W228" s="201">
        <f t="shared" si="30"/>
        <v>272941</v>
      </c>
      <c r="X228" s="212">
        <f>VLOOKUP($A228,MasterData!$N$62:$X$111,10,FALSE)*52</f>
        <v>52</v>
      </c>
      <c r="Y228" s="211">
        <f>ROUND(X228*MasterData!$C$7,2)</f>
        <v>3138.72</v>
      </c>
      <c r="Z228" s="212">
        <f>VLOOKUP($A228,MasterData!$N$62:$X$111,11,FALSE)*52</f>
        <v>156</v>
      </c>
      <c r="AA228" s="211">
        <f>ROUND(Z228*MasterData!$D$7,2)</f>
        <v>6605.04</v>
      </c>
      <c r="AB228" s="215">
        <f t="shared" si="35"/>
        <v>9743.76</v>
      </c>
      <c r="AC228" s="216">
        <f>MasterData!$M$28</f>
        <v>15472.178595890411</v>
      </c>
      <c r="AD228" s="211">
        <f>MasterData!$D$30</f>
        <v>992.8</v>
      </c>
      <c r="AE228" s="211">
        <f>MasterData!$E$30</f>
        <v>2876.2</v>
      </c>
      <c r="AF228" s="211">
        <f>MasterData!$F$30</f>
        <v>0</v>
      </c>
      <c r="AG228" s="215">
        <f t="shared" si="28"/>
        <v>302025.93859589042</v>
      </c>
      <c r="AH228" s="211">
        <f>ROUND(AG228*MasterData!$G$29,2)</f>
        <v>36243.11</v>
      </c>
      <c r="AI228" s="200">
        <f>((AG228+AH228)*MasterData!$I$29)-'Model Calculator'!W228*MasterData!$I$29</f>
        <v>1162.839265006849</v>
      </c>
      <c r="AJ228" s="201">
        <f t="shared" si="29"/>
        <v>340257.55786089721</v>
      </c>
      <c r="AK228" s="201">
        <f t="shared" si="31"/>
        <v>980.57</v>
      </c>
    </row>
    <row r="229" spans="1:37">
      <c r="A229" s="197" t="s">
        <v>91</v>
      </c>
      <c r="B229" s="197" t="str">
        <f t="shared" si="32"/>
        <v>M204.52</v>
      </c>
      <c r="C229" s="197" t="s">
        <v>139</v>
      </c>
      <c r="D229" s="226" t="s">
        <v>301</v>
      </c>
      <c r="E229" s="213">
        <f>VLOOKUP($A229,MasterData!$N$62:$X$111,2,FALSE)</f>
        <v>0.18</v>
      </c>
      <c r="F229" s="214">
        <f>ROUND(E229*MasterData!$C$4,2)</f>
        <v>9297.2999999999993</v>
      </c>
      <c r="G229" s="212">
        <f>VLOOKUP($A229,MasterData!$N$62:$X$111,3,FALSE)</f>
        <v>0.66</v>
      </c>
      <c r="H229" s="214">
        <f>ROUND(G229*MasterData!$D$4,2)</f>
        <v>27401.09</v>
      </c>
      <c r="I229" s="212">
        <f t="shared" si="33"/>
        <v>4.5</v>
      </c>
      <c r="J229" s="212">
        <f>VLOOKUP($A229,MasterData!$N$62:$X$111,4,FALSE)</f>
        <v>3.1</v>
      </c>
      <c r="K229" s="214">
        <f>ROUND(J229*MasterData!$D$26,2)</f>
        <v>132808.46</v>
      </c>
      <c r="L229" s="212">
        <f>VLOOKUP($A229,MasterData!$N$62:$X$111,5,FALSE)</f>
        <v>1.4</v>
      </c>
      <c r="M229" s="211">
        <f>ROUND(L229*MasterData!$F$4,2)</f>
        <v>41496</v>
      </c>
      <c r="N229" s="212">
        <f>VLOOKUP($A229,MasterData!$N$62:$X$111,6,FALSE)</f>
        <v>0.69</v>
      </c>
      <c r="O229" s="211">
        <f>ROUND(N229*MasterData!$E$26,2)</f>
        <v>25806.400000000001</v>
      </c>
      <c r="P229" s="212">
        <f>VLOOKUP($A229,MasterData!$N$62:$X$111,7,FALSE)</f>
        <v>0.22</v>
      </c>
      <c r="Q229" s="214">
        <f>ROUND(P229*MasterData!$H$4,2)</f>
        <v>6520.8</v>
      </c>
      <c r="R229" s="212">
        <f>VLOOKUP($A229,MasterData!$N$62:$X$111,8,FALSE)</f>
        <v>0.12</v>
      </c>
      <c r="S229" s="211">
        <f>ROUND(R229*MasterData!$I$4,2)</f>
        <v>3863.81</v>
      </c>
      <c r="T229" s="215">
        <f t="shared" si="34"/>
        <v>247193.85999999996</v>
      </c>
      <c r="U229" s="211">
        <f>ROUND(T229*MasterData!$C$29,2)</f>
        <v>55148.95</v>
      </c>
      <c r="V229" s="211">
        <f>ROUND(T229*MasterData!$J$29,2)</f>
        <v>914.62</v>
      </c>
      <c r="W229" s="201">
        <f t="shared" si="30"/>
        <v>302342.80999999994</v>
      </c>
      <c r="X229" s="212">
        <f>VLOOKUP($A229,MasterData!$N$62:$X$111,10,FALSE)*52</f>
        <v>52</v>
      </c>
      <c r="Y229" s="211">
        <f>ROUND(X229*MasterData!$C$7,2)</f>
        <v>3138.72</v>
      </c>
      <c r="Z229" s="212">
        <f>VLOOKUP($A229,MasterData!$N$62:$X$111,11,FALSE)*52</f>
        <v>156</v>
      </c>
      <c r="AA229" s="211">
        <f>ROUND(Z229*MasterData!$D$7,2)</f>
        <v>6605.04</v>
      </c>
      <c r="AB229" s="215">
        <f t="shared" si="35"/>
        <v>9743.76</v>
      </c>
      <c r="AC229" s="216">
        <f>MasterData!$M$28</f>
        <v>15472.178595890411</v>
      </c>
      <c r="AD229" s="211">
        <f>MasterData!$D$30</f>
        <v>992.8</v>
      </c>
      <c r="AE229" s="211">
        <f>MasterData!$E$30</f>
        <v>2876.2</v>
      </c>
      <c r="AF229" s="211">
        <f>MasterData!$F$30</f>
        <v>0</v>
      </c>
      <c r="AG229" s="215">
        <f t="shared" si="28"/>
        <v>331427.74859589036</v>
      </c>
      <c r="AH229" s="211">
        <f>ROUND(AG229*MasterData!$G$29,2)</f>
        <v>39771.33</v>
      </c>
      <c r="AI229" s="200">
        <f>((AG229+AH229)*MasterData!$I$29)-'Model Calculator'!W229*MasterData!$I$29</f>
        <v>1225.6415810068493</v>
      </c>
      <c r="AJ229" s="201">
        <f t="shared" si="29"/>
        <v>373339.34017689724</v>
      </c>
      <c r="AK229" s="201">
        <f t="shared" si="31"/>
        <v>1075.9100000000001</v>
      </c>
    </row>
    <row r="230" spans="1:37">
      <c r="A230" s="197" t="s">
        <v>92</v>
      </c>
      <c r="B230" s="197" t="str">
        <f t="shared" si="32"/>
        <v>M205.02</v>
      </c>
      <c r="C230" s="197" t="s">
        <v>140</v>
      </c>
      <c r="D230" s="226" t="s">
        <v>301</v>
      </c>
      <c r="E230" s="213">
        <f>VLOOKUP($A230,MasterData!$N$62:$X$111,2,FALSE)</f>
        <v>0.18</v>
      </c>
      <c r="F230" s="214">
        <f>ROUND(E230*MasterData!$C$4,2)</f>
        <v>9297.2999999999993</v>
      </c>
      <c r="G230" s="212">
        <f>VLOOKUP($A230,MasterData!$N$62:$X$111,3,FALSE)</f>
        <v>0.66</v>
      </c>
      <c r="H230" s="214">
        <f>ROUND(G230*MasterData!$D$4,2)</f>
        <v>27401.09</v>
      </c>
      <c r="I230" s="212">
        <f t="shared" si="33"/>
        <v>5</v>
      </c>
      <c r="J230" s="212">
        <f>VLOOKUP($A230,MasterData!$N$62:$X$111,4,FALSE)</f>
        <v>3.6</v>
      </c>
      <c r="K230" s="214">
        <f>ROUND(J230*MasterData!$D$26,2)</f>
        <v>154229.18</v>
      </c>
      <c r="L230" s="212">
        <f>VLOOKUP($A230,MasterData!$N$62:$X$111,5,FALSE)</f>
        <v>1.4</v>
      </c>
      <c r="M230" s="211">
        <f>ROUND(L230*MasterData!$F$4,2)</f>
        <v>41496</v>
      </c>
      <c r="N230" s="212">
        <f>VLOOKUP($A230,MasterData!$N$62:$X$111,6,FALSE)</f>
        <v>0.77</v>
      </c>
      <c r="O230" s="211">
        <f>ROUND(N230*MasterData!$E$26,2)</f>
        <v>28798.44</v>
      </c>
      <c r="P230" s="212">
        <f>VLOOKUP($A230,MasterData!$N$62:$X$111,7,FALSE)</f>
        <v>0.22</v>
      </c>
      <c r="Q230" s="214">
        <f>ROUND(P230*MasterData!$H$4,2)</f>
        <v>6520.8</v>
      </c>
      <c r="R230" s="212">
        <f>VLOOKUP($A230,MasterData!$N$62:$X$111,8,FALSE)</f>
        <v>0.12</v>
      </c>
      <c r="S230" s="211">
        <f>ROUND(R230*MasterData!$I$4,2)</f>
        <v>3863.81</v>
      </c>
      <c r="T230" s="215">
        <f t="shared" si="34"/>
        <v>271606.62</v>
      </c>
      <c r="U230" s="211">
        <f>ROUND(T230*MasterData!$C$29,2)</f>
        <v>60595.44</v>
      </c>
      <c r="V230" s="211">
        <f>ROUND(T230*MasterData!$J$29,2)</f>
        <v>1004.94</v>
      </c>
      <c r="W230" s="201">
        <f t="shared" si="30"/>
        <v>332202.06</v>
      </c>
      <c r="X230" s="212">
        <f>VLOOKUP($A230,MasterData!$N$62:$X$111,10,FALSE)*52</f>
        <v>52</v>
      </c>
      <c r="Y230" s="211">
        <f>ROUND(X230*MasterData!$C$7,2)</f>
        <v>3138.72</v>
      </c>
      <c r="Z230" s="212">
        <f>VLOOKUP($A230,MasterData!$N$62:$X$111,11,FALSE)*52</f>
        <v>156</v>
      </c>
      <c r="AA230" s="211">
        <f>ROUND(Z230*MasterData!$D$7,2)</f>
        <v>6605.04</v>
      </c>
      <c r="AB230" s="215">
        <f t="shared" si="35"/>
        <v>9743.76</v>
      </c>
      <c r="AC230" s="216">
        <f>MasterData!$M$28</f>
        <v>15472.178595890411</v>
      </c>
      <c r="AD230" s="211">
        <f>MasterData!$D$30</f>
        <v>992.8</v>
      </c>
      <c r="AE230" s="211">
        <f>MasterData!$E$30</f>
        <v>2876.2</v>
      </c>
      <c r="AF230" s="211">
        <f>MasterData!$F$30</f>
        <v>0</v>
      </c>
      <c r="AG230" s="215">
        <f t="shared" si="28"/>
        <v>361286.99859589041</v>
      </c>
      <c r="AH230" s="211">
        <f>ROUND(AG230*MasterData!$G$29,2)</f>
        <v>43354.44</v>
      </c>
      <c r="AI230" s="200">
        <f>((AG230+AH230)*MasterData!$I$29)-'Model Calculator'!W230*MasterData!$I$29</f>
        <v>1289.4209390068499</v>
      </c>
      <c r="AJ230" s="201">
        <f t="shared" si="29"/>
        <v>406935.79953489726</v>
      </c>
      <c r="AK230" s="201">
        <f t="shared" si="31"/>
        <v>1172.73</v>
      </c>
    </row>
    <row r="231" spans="1:37">
      <c r="A231" s="197" t="s">
        <v>93</v>
      </c>
      <c r="B231" s="197" t="str">
        <f t="shared" si="32"/>
        <v>M205.52</v>
      </c>
      <c r="C231" s="197" t="s">
        <v>141</v>
      </c>
      <c r="D231" s="226" t="s">
        <v>301</v>
      </c>
      <c r="E231" s="213">
        <f>VLOOKUP($A231,MasterData!$N$62:$X$111,2,FALSE)</f>
        <v>0.18</v>
      </c>
      <c r="F231" s="214">
        <f>ROUND(E231*MasterData!$C$4,2)</f>
        <v>9297.2999999999993</v>
      </c>
      <c r="G231" s="212">
        <f>VLOOKUP($A231,MasterData!$N$62:$X$111,3,FALSE)</f>
        <v>0.66</v>
      </c>
      <c r="H231" s="214">
        <f>ROUND(G231*MasterData!$D$4,2)</f>
        <v>27401.09</v>
      </c>
      <c r="I231" s="212">
        <f t="shared" si="33"/>
        <v>5.5</v>
      </c>
      <c r="J231" s="212">
        <f>VLOOKUP($A231,MasterData!$N$62:$X$111,4,FALSE)</f>
        <v>4.0999999999999996</v>
      </c>
      <c r="K231" s="214">
        <f>ROUND(J231*MasterData!$D$26,2)</f>
        <v>175649.9</v>
      </c>
      <c r="L231" s="212">
        <f>VLOOKUP($A231,MasterData!$N$62:$X$111,5,FALSE)</f>
        <v>1.4</v>
      </c>
      <c r="M231" s="211">
        <f>ROUND(L231*MasterData!$F$4,2)</f>
        <v>41496</v>
      </c>
      <c r="N231" s="212">
        <f>VLOOKUP($A231,MasterData!$N$62:$X$111,6,FALSE)</f>
        <v>0.85</v>
      </c>
      <c r="O231" s="211">
        <f>ROUND(N231*MasterData!$E$26,2)</f>
        <v>31790.49</v>
      </c>
      <c r="P231" s="212">
        <f>VLOOKUP($A231,MasterData!$N$62:$X$111,7,FALSE)</f>
        <v>0.22</v>
      </c>
      <c r="Q231" s="214">
        <f>ROUND(P231*MasterData!$H$4,2)</f>
        <v>6520.8</v>
      </c>
      <c r="R231" s="212">
        <f>VLOOKUP($A231,MasterData!$N$62:$X$111,8,FALSE)</f>
        <v>0.12</v>
      </c>
      <c r="S231" s="211">
        <f>ROUND(R231*MasterData!$I$4,2)</f>
        <v>3863.81</v>
      </c>
      <c r="T231" s="215">
        <f t="shared" si="34"/>
        <v>296019.38999999996</v>
      </c>
      <c r="U231" s="211">
        <f>ROUND(T231*MasterData!$C$29,2)</f>
        <v>66041.929999999993</v>
      </c>
      <c r="V231" s="211">
        <f>ROUND(T231*MasterData!$J$29,2)</f>
        <v>1095.27</v>
      </c>
      <c r="W231" s="201">
        <f t="shared" si="30"/>
        <v>362061.31999999995</v>
      </c>
      <c r="X231" s="212">
        <f>VLOOKUP($A231,MasterData!$N$62:$X$111,10,FALSE)*52</f>
        <v>52</v>
      </c>
      <c r="Y231" s="211">
        <f>ROUND(X231*MasterData!$C$7,2)</f>
        <v>3138.72</v>
      </c>
      <c r="Z231" s="212">
        <f>VLOOKUP($A231,MasterData!$N$62:$X$111,11,FALSE)*52</f>
        <v>156</v>
      </c>
      <c r="AA231" s="211">
        <f>ROUND(Z231*MasterData!$D$7,2)</f>
        <v>6605.04</v>
      </c>
      <c r="AB231" s="215">
        <f t="shared" si="35"/>
        <v>9743.76</v>
      </c>
      <c r="AC231" s="216">
        <f>MasterData!$M$28</f>
        <v>15472.178595890411</v>
      </c>
      <c r="AD231" s="211">
        <f>MasterData!$D$30</f>
        <v>992.8</v>
      </c>
      <c r="AE231" s="211">
        <f>MasterData!$E$30</f>
        <v>2876.2</v>
      </c>
      <c r="AF231" s="211">
        <f>MasterData!$F$30</f>
        <v>0</v>
      </c>
      <c r="AG231" s="215">
        <f t="shared" si="28"/>
        <v>391146.25859589037</v>
      </c>
      <c r="AH231" s="211">
        <f>ROUND(AG231*MasterData!$G$29,2)</f>
        <v>46937.55</v>
      </c>
      <c r="AI231" s="200">
        <f>((AG231+AH231)*MasterData!$I$29)-'Model Calculator'!W231*MasterData!$I$29</f>
        <v>1353.2002970068488</v>
      </c>
      <c r="AJ231" s="201">
        <f t="shared" si="29"/>
        <v>440532.27889289724</v>
      </c>
      <c r="AK231" s="201">
        <f t="shared" si="31"/>
        <v>1269.55</v>
      </c>
    </row>
    <row r="232" spans="1:37">
      <c r="A232" s="197" t="s">
        <v>213</v>
      </c>
      <c r="B232" s="197" t="str">
        <f t="shared" si="32"/>
        <v>M206.02</v>
      </c>
      <c r="C232" s="197" t="s">
        <v>215</v>
      </c>
      <c r="D232" s="226" t="s">
        <v>301</v>
      </c>
      <c r="E232" s="213">
        <f>VLOOKUP($A232,MasterData!$N$62:$X$111,2,FALSE)</f>
        <v>0.18</v>
      </c>
      <c r="F232" s="214">
        <f>ROUND(E232*MasterData!$C$4,2)</f>
        <v>9297.2999999999993</v>
      </c>
      <c r="G232" s="212">
        <f>VLOOKUP($A232,MasterData!$N$62:$X$111,3,FALSE)</f>
        <v>0.66</v>
      </c>
      <c r="H232" s="214">
        <f>ROUND(G232*MasterData!$D$4,2)</f>
        <v>27401.09</v>
      </c>
      <c r="I232" s="212">
        <f t="shared" si="33"/>
        <v>6</v>
      </c>
      <c r="J232" s="212">
        <f>VLOOKUP($A232,MasterData!$N$62:$X$111,4,FALSE)</f>
        <v>4.5999999999999996</v>
      </c>
      <c r="K232" s="214">
        <f>ROUND(J232*MasterData!$D$26,2)</f>
        <v>197070.62</v>
      </c>
      <c r="L232" s="212">
        <f>VLOOKUP($A232,MasterData!$N$62:$X$111,5,FALSE)</f>
        <v>1.4</v>
      </c>
      <c r="M232" s="211">
        <f>ROUND(L232*MasterData!$F$4,2)</f>
        <v>41496</v>
      </c>
      <c r="N232" s="212">
        <f>VLOOKUP($A232,MasterData!$N$62:$X$111,6,FALSE)</f>
        <v>0.92</v>
      </c>
      <c r="O232" s="211">
        <f>ROUND(N232*MasterData!$E$26,2)</f>
        <v>34408.53</v>
      </c>
      <c r="P232" s="212">
        <f>VLOOKUP($A232,MasterData!$N$62:$X$111,7,FALSE)</f>
        <v>0.22</v>
      </c>
      <c r="Q232" s="214">
        <f>ROUND(P232*MasterData!$H$4,2)</f>
        <v>6520.8</v>
      </c>
      <c r="R232" s="212">
        <f>VLOOKUP($A232,MasterData!$N$62:$X$111,8,FALSE)</f>
        <v>0.12</v>
      </c>
      <c r="S232" s="211">
        <f>ROUND(R232*MasterData!$I$4,2)</f>
        <v>3863.81</v>
      </c>
      <c r="T232" s="215">
        <f t="shared" si="34"/>
        <v>320058.15000000002</v>
      </c>
      <c r="U232" s="211">
        <f>ROUND(T232*MasterData!$C$29,2)</f>
        <v>71404.97</v>
      </c>
      <c r="V232" s="211">
        <f>ROUND(T232*MasterData!$J$29,2)</f>
        <v>1184.22</v>
      </c>
      <c r="W232" s="201">
        <f t="shared" si="30"/>
        <v>391463.12</v>
      </c>
      <c r="X232" s="212">
        <f>VLOOKUP($A232,MasterData!$N$62:$X$111,10,FALSE)*52</f>
        <v>52</v>
      </c>
      <c r="Y232" s="211">
        <f>ROUND(X232*MasterData!$C$7,2)</f>
        <v>3138.72</v>
      </c>
      <c r="Z232" s="212">
        <f>VLOOKUP($A232,MasterData!$N$62:$X$111,11,FALSE)*52</f>
        <v>156</v>
      </c>
      <c r="AA232" s="211">
        <f>ROUND(Z232*MasterData!$D$7,2)</f>
        <v>6605.04</v>
      </c>
      <c r="AB232" s="215">
        <f t="shared" si="35"/>
        <v>9743.76</v>
      </c>
      <c r="AC232" s="216">
        <f>MasterData!$M$28</f>
        <v>15472.178595890411</v>
      </c>
      <c r="AD232" s="211">
        <f>MasterData!$D$30</f>
        <v>992.8</v>
      </c>
      <c r="AE232" s="211">
        <f>MasterData!$E$30</f>
        <v>2876.2</v>
      </c>
      <c r="AF232" s="211">
        <f>MasterData!$F$30</f>
        <v>0</v>
      </c>
      <c r="AG232" s="215">
        <f t="shared" si="28"/>
        <v>420548.05859589041</v>
      </c>
      <c r="AH232" s="211">
        <f>ROUND(AG232*MasterData!$G$29,2)</f>
        <v>50465.77</v>
      </c>
      <c r="AI232" s="200">
        <f>((AG232+AH232)*MasterData!$I$29)-'Model Calculator'!W232*MasterData!$I$29</f>
        <v>1416.00261300685</v>
      </c>
      <c r="AJ232" s="201">
        <f t="shared" si="29"/>
        <v>473614.05120889726</v>
      </c>
      <c r="AK232" s="201">
        <f t="shared" si="31"/>
        <v>1364.88</v>
      </c>
    </row>
    <row r="233" spans="1:37">
      <c r="A233" s="197" t="s">
        <v>94</v>
      </c>
      <c r="B233" s="197" t="str">
        <f t="shared" si="32"/>
        <v>M206.52</v>
      </c>
      <c r="C233" s="197" t="s">
        <v>142</v>
      </c>
      <c r="D233" s="226" t="s">
        <v>301</v>
      </c>
      <c r="E233" s="213">
        <f>VLOOKUP($A233,MasterData!$N$62:$X$111,2,FALSE)</f>
        <v>0.18</v>
      </c>
      <c r="F233" s="214">
        <f>ROUND(E233*MasterData!$C$4,2)</f>
        <v>9297.2999999999993</v>
      </c>
      <c r="G233" s="212">
        <f>VLOOKUP($A233,MasterData!$N$62:$X$111,3,FALSE)</f>
        <v>0.66</v>
      </c>
      <c r="H233" s="214">
        <f>ROUND(G233*MasterData!$D$4,2)</f>
        <v>27401.09</v>
      </c>
      <c r="I233" s="212">
        <f t="shared" si="33"/>
        <v>6.5</v>
      </c>
      <c r="J233" s="212">
        <f>VLOOKUP($A233,MasterData!$N$62:$X$111,4,FALSE)</f>
        <v>5.0999999999999996</v>
      </c>
      <c r="K233" s="214">
        <f>ROUND(J233*MasterData!$D$26,2)</f>
        <v>218491.34</v>
      </c>
      <c r="L233" s="212">
        <f>VLOOKUP($A233,MasterData!$N$62:$X$111,5,FALSE)</f>
        <v>1.4</v>
      </c>
      <c r="M233" s="211">
        <f>ROUND(L233*MasterData!$F$4,2)</f>
        <v>41496</v>
      </c>
      <c r="N233" s="212">
        <f>VLOOKUP($A233,MasterData!$N$62:$X$111,6,FALSE)</f>
        <v>1</v>
      </c>
      <c r="O233" s="211">
        <f>ROUND(N233*MasterData!$E$26,2)</f>
        <v>37400.58</v>
      </c>
      <c r="P233" s="212">
        <f>VLOOKUP($A233,MasterData!$N$62:$X$111,7,FALSE)</f>
        <v>0.22</v>
      </c>
      <c r="Q233" s="214">
        <f>ROUND(P233*MasterData!$H$4,2)</f>
        <v>6520.8</v>
      </c>
      <c r="R233" s="212">
        <f>VLOOKUP($A233,MasterData!$N$62:$X$111,8,FALSE)</f>
        <v>0.12</v>
      </c>
      <c r="S233" s="211">
        <f>ROUND(R233*MasterData!$I$4,2)</f>
        <v>3863.81</v>
      </c>
      <c r="T233" s="215">
        <f t="shared" si="34"/>
        <v>344470.92</v>
      </c>
      <c r="U233" s="211">
        <f>ROUND(T233*MasterData!$C$29,2)</f>
        <v>76851.460000000006</v>
      </c>
      <c r="V233" s="211">
        <f>ROUND(T233*MasterData!$J$29,2)</f>
        <v>1274.54</v>
      </c>
      <c r="W233" s="201">
        <f t="shared" si="30"/>
        <v>421322.38</v>
      </c>
      <c r="X233" s="212">
        <f>VLOOKUP($A233,MasterData!$N$62:$X$111,10,FALSE)*52</f>
        <v>52</v>
      </c>
      <c r="Y233" s="211">
        <f>ROUND(X233*MasterData!$C$7,2)</f>
        <v>3138.72</v>
      </c>
      <c r="Z233" s="212">
        <f>VLOOKUP($A233,MasterData!$N$62:$X$111,11,FALSE)*52</f>
        <v>156</v>
      </c>
      <c r="AA233" s="211">
        <f>ROUND(Z233*MasterData!$D$7,2)</f>
        <v>6605.04</v>
      </c>
      <c r="AB233" s="215">
        <f t="shared" si="35"/>
        <v>9743.76</v>
      </c>
      <c r="AC233" s="216">
        <f>MasterData!$M$28</f>
        <v>15472.178595890411</v>
      </c>
      <c r="AD233" s="211">
        <f>MasterData!$D$30</f>
        <v>992.8</v>
      </c>
      <c r="AE233" s="211">
        <f>MasterData!$E$30</f>
        <v>2876.2</v>
      </c>
      <c r="AF233" s="211">
        <f>MasterData!$F$30</f>
        <v>0</v>
      </c>
      <c r="AG233" s="215">
        <f t="shared" si="28"/>
        <v>450407.31859589042</v>
      </c>
      <c r="AH233" s="211">
        <f>ROUND(AG233*MasterData!$G$29,2)</f>
        <v>54048.88</v>
      </c>
      <c r="AI233" s="200">
        <f>((AG233+AH233)*MasterData!$I$29)-'Model Calculator'!W233*MasterData!$I$29</f>
        <v>1479.7819710068488</v>
      </c>
      <c r="AJ233" s="201">
        <f t="shared" si="29"/>
        <v>507210.52056689723</v>
      </c>
      <c r="AK233" s="201">
        <f t="shared" si="31"/>
        <v>1461.7</v>
      </c>
    </row>
    <row r="234" spans="1:37">
      <c r="A234" s="197" t="s">
        <v>95</v>
      </c>
      <c r="B234" s="197" t="str">
        <f t="shared" si="32"/>
        <v>M207.02</v>
      </c>
      <c r="C234" s="197" t="s">
        <v>143</v>
      </c>
      <c r="D234" s="226" t="s">
        <v>301</v>
      </c>
      <c r="E234" s="213">
        <f>VLOOKUP($A234,MasterData!$N$62:$X$111,2,FALSE)</f>
        <v>0.18</v>
      </c>
      <c r="F234" s="214">
        <f>ROUND(E234*MasterData!$C$4,2)</f>
        <v>9297.2999999999993</v>
      </c>
      <c r="G234" s="212">
        <f>VLOOKUP($A234,MasterData!$N$62:$X$111,3,FALSE)</f>
        <v>0.66</v>
      </c>
      <c r="H234" s="214">
        <f>ROUND(G234*MasterData!$D$4,2)</f>
        <v>27401.09</v>
      </c>
      <c r="I234" s="212">
        <f t="shared" si="33"/>
        <v>7</v>
      </c>
      <c r="J234" s="212">
        <f>VLOOKUP($A234,MasterData!$N$62:$X$111,4,FALSE)</f>
        <v>5.6</v>
      </c>
      <c r="K234" s="214">
        <f>ROUND(J234*MasterData!$D$26,2)</f>
        <v>239912.06</v>
      </c>
      <c r="L234" s="212">
        <f>VLOOKUP($A234,MasterData!$N$62:$X$111,5,FALSE)</f>
        <v>1.4</v>
      </c>
      <c r="M234" s="211">
        <f>ROUND(L234*MasterData!$F$4,2)</f>
        <v>41496</v>
      </c>
      <c r="N234" s="212">
        <f>VLOOKUP($A234,MasterData!$N$62:$X$111,6,FALSE)</f>
        <v>1.08</v>
      </c>
      <c r="O234" s="211">
        <f>ROUND(N234*MasterData!$E$26,2)</f>
        <v>40392.620000000003</v>
      </c>
      <c r="P234" s="212">
        <f>VLOOKUP($A234,MasterData!$N$62:$X$111,7,FALSE)</f>
        <v>0.22</v>
      </c>
      <c r="Q234" s="214">
        <f>ROUND(P234*MasterData!$H$4,2)</f>
        <v>6520.8</v>
      </c>
      <c r="R234" s="212">
        <f>VLOOKUP($A234,MasterData!$N$62:$X$111,8,FALSE)</f>
        <v>0.12</v>
      </c>
      <c r="S234" s="211">
        <f>ROUND(R234*MasterData!$I$4,2)</f>
        <v>3863.81</v>
      </c>
      <c r="T234" s="215">
        <f t="shared" si="34"/>
        <v>368883.68</v>
      </c>
      <c r="U234" s="211">
        <f>ROUND(T234*MasterData!$C$29,2)</f>
        <v>82297.95</v>
      </c>
      <c r="V234" s="211">
        <f>ROUND(T234*MasterData!$J$29,2)</f>
        <v>1364.87</v>
      </c>
      <c r="W234" s="201">
        <f t="shared" si="30"/>
        <v>451181.63</v>
      </c>
      <c r="X234" s="212">
        <f>VLOOKUP($A234,MasterData!$N$62:$X$111,10,FALSE)*52</f>
        <v>52</v>
      </c>
      <c r="Y234" s="211">
        <f>ROUND(X234*MasterData!$C$7,2)</f>
        <v>3138.72</v>
      </c>
      <c r="Z234" s="212">
        <f>VLOOKUP($A234,MasterData!$N$62:$X$111,11,FALSE)*52</f>
        <v>156</v>
      </c>
      <c r="AA234" s="211">
        <f>ROUND(Z234*MasterData!$D$7,2)</f>
        <v>6605.04</v>
      </c>
      <c r="AB234" s="215">
        <f t="shared" si="35"/>
        <v>9743.76</v>
      </c>
      <c r="AC234" s="216">
        <f>MasterData!$M$28</f>
        <v>15472.178595890411</v>
      </c>
      <c r="AD234" s="211">
        <f>MasterData!$D$30</f>
        <v>992.8</v>
      </c>
      <c r="AE234" s="211">
        <f>MasterData!$E$30</f>
        <v>2876.2</v>
      </c>
      <c r="AF234" s="211">
        <f>MasterData!$F$30</f>
        <v>0</v>
      </c>
      <c r="AG234" s="215">
        <f t="shared" si="28"/>
        <v>480266.56859589042</v>
      </c>
      <c r="AH234" s="211">
        <f>ROUND(AG234*MasterData!$G$29,2)</f>
        <v>57631.99</v>
      </c>
      <c r="AI234" s="200">
        <f>((AG234+AH234)*MasterData!$I$29)-'Model Calculator'!W234*MasterData!$I$29</f>
        <v>1543.5613290068495</v>
      </c>
      <c r="AJ234" s="201">
        <f t="shared" si="29"/>
        <v>540806.98992489721</v>
      </c>
      <c r="AK234" s="201">
        <f t="shared" si="31"/>
        <v>1558.52</v>
      </c>
    </row>
    <row r="235" spans="1:37">
      <c r="A235" s="197" t="s">
        <v>96</v>
      </c>
      <c r="B235" s="197" t="str">
        <f t="shared" si="32"/>
        <v>M207.52</v>
      </c>
      <c r="C235" s="197" t="s">
        <v>144</v>
      </c>
      <c r="D235" s="226" t="s">
        <v>301</v>
      </c>
      <c r="E235" s="213">
        <f>VLOOKUP($A235,MasterData!$N$62:$X$111,2,FALSE)</f>
        <v>0.18</v>
      </c>
      <c r="F235" s="214">
        <f>ROUND(E235*MasterData!$C$4,2)</f>
        <v>9297.2999999999993</v>
      </c>
      <c r="G235" s="212">
        <f>VLOOKUP($A235,MasterData!$N$62:$X$111,3,FALSE)</f>
        <v>0.66</v>
      </c>
      <c r="H235" s="214">
        <f>ROUND(G235*MasterData!$D$4,2)</f>
        <v>27401.09</v>
      </c>
      <c r="I235" s="212">
        <f t="shared" si="33"/>
        <v>7.5</v>
      </c>
      <c r="J235" s="212">
        <f>VLOOKUP($A235,MasterData!$N$62:$X$111,4,FALSE)</f>
        <v>6.1</v>
      </c>
      <c r="K235" s="214">
        <f>ROUND(J235*MasterData!$D$26,2)</f>
        <v>261332.78</v>
      </c>
      <c r="L235" s="212">
        <f>VLOOKUP($A235,MasterData!$N$62:$X$111,5,FALSE)</f>
        <v>1.4</v>
      </c>
      <c r="M235" s="211">
        <f>ROUND(L235*MasterData!$F$4,2)</f>
        <v>41496</v>
      </c>
      <c r="N235" s="212">
        <f>VLOOKUP($A235,MasterData!$N$62:$X$111,6,FALSE)</f>
        <v>1.1599999999999999</v>
      </c>
      <c r="O235" s="211">
        <f>ROUND(N235*MasterData!$E$26,2)</f>
        <v>43384.67</v>
      </c>
      <c r="P235" s="212">
        <f>VLOOKUP($A235,MasterData!$N$62:$X$111,7,FALSE)</f>
        <v>0.22</v>
      </c>
      <c r="Q235" s="214">
        <f>ROUND(P235*MasterData!$H$4,2)</f>
        <v>6520.8</v>
      </c>
      <c r="R235" s="212">
        <f>VLOOKUP($A235,MasterData!$N$62:$X$111,8,FALSE)</f>
        <v>0.12</v>
      </c>
      <c r="S235" s="211">
        <f>ROUND(R235*MasterData!$I$4,2)</f>
        <v>3863.81</v>
      </c>
      <c r="T235" s="215">
        <f t="shared" si="34"/>
        <v>393296.44999999995</v>
      </c>
      <c r="U235" s="211">
        <f>ROUND(T235*MasterData!$C$29,2)</f>
        <v>87744.44</v>
      </c>
      <c r="V235" s="211">
        <f>ROUND(T235*MasterData!$J$29,2)</f>
        <v>1455.2</v>
      </c>
      <c r="W235" s="201">
        <f t="shared" si="30"/>
        <v>481040.88999999996</v>
      </c>
      <c r="X235" s="212">
        <f>VLOOKUP($A235,MasterData!$N$62:$X$111,10,FALSE)*52</f>
        <v>52</v>
      </c>
      <c r="Y235" s="211">
        <f>ROUND(X235*MasterData!$C$7,2)</f>
        <v>3138.72</v>
      </c>
      <c r="Z235" s="212">
        <f>VLOOKUP($A235,MasterData!$N$62:$X$111,11,FALSE)*52</f>
        <v>156</v>
      </c>
      <c r="AA235" s="211">
        <f>ROUND(Z235*MasterData!$D$7,2)</f>
        <v>6605.04</v>
      </c>
      <c r="AB235" s="215">
        <f t="shared" si="35"/>
        <v>9743.76</v>
      </c>
      <c r="AC235" s="216">
        <f>MasterData!$M$28</f>
        <v>15472.178595890411</v>
      </c>
      <c r="AD235" s="211">
        <f>MasterData!$D$30</f>
        <v>992.8</v>
      </c>
      <c r="AE235" s="211">
        <f>MasterData!$E$30</f>
        <v>2876.2</v>
      </c>
      <c r="AF235" s="211">
        <f>MasterData!$F$30</f>
        <v>0</v>
      </c>
      <c r="AG235" s="215">
        <f t="shared" si="28"/>
        <v>510125.82859589037</v>
      </c>
      <c r="AH235" s="211">
        <f>ROUND(AG235*MasterData!$G$29,2)</f>
        <v>61215.1</v>
      </c>
      <c r="AI235" s="200">
        <f>((AG235+AH235)*MasterData!$I$29)-'Model Calculator'!W235*MasterData!$I$29</f>
        <v>1607.3406870068502</v>
      </c>
      <c r="AJ235" s="201">
        <f t="shared" si="29"/>
        <v>574403.46928289719</v>
      </c>
      <c r="AK235" s="201">
        <f t="shared" si="31"/>
        <v>1655.34</v>
      </c>
    </row>
    <row r="236" spans="1:37">
      <c r="A236" s="197" t="s">
        <v>97</v>
      </c>
      <c r="B236" s="197" t="str">
        <f t="shared" si="32"/>
        <v>M208.02</v>
      </c>
      <c r="C236" s="197" t="s">
        <v>145</v>
      </c>
      <c r="D236" s="226" t="s">
        <v>301</v>
      </c>
      <c r="E236" s="213">
        <f>VLOOKUP($A236,MasterData!$N$62:$X$111,2,FALSE)</f>
        <v>0.18</v>
      </c>
      <c r="F236" s="214">
        <f>ROUND(E236*MasterData!$C$4,2)</f>
        <v>9297.2999999999993</v>
      </c>
      <c r="G236" s="212">
        <f>VLOOKUP($A236,MasterData!$N$62:$X$111,3,FALSE)</f>
        <v>0.66</v>
      </c>
      <c r="H236" s="214">
        <f>ROUND(G236*MasterData!$D$4,2)</f>
        <v>27401.09</v>
      </c>
      <c r="I236" s="212">
        <f t="shared" si="33"/>
        <v>8</v>
      </c>
      <c r="J236" s="212">
        <f>VLOOKUP($A236,MasterData!$N$62:$X$111,4,FALSE)</f>
        <v>6.6</v>
      </c>
      <c r="K236" s="214">
        <f>ROUND(J236*MasterData!$D$26,2)</f>
        <v>282753.5</v>
      </c>
      <c r="L236" s="212">
        <f>VLOOKUP($A236,MasterData!$N$62:$X$111,5,FALSE)</f>
        <v>1.4</v>
      </c>
      <c r="M236" s="211">
        <f>ROUND(L236*MasterData!$F$4,2)</f>
        <v>41496</v>
      </c>
      <c r="N236" s="212">
        <f>VLOOKUP($A236,MasterData!$N$62:$X$111,6,FALSE)</f>
        <v>1.23</v>
      </c>
      <c r="O236" s="211">
        <f>ROUND(N236*MasterData!$E$26,2)</f>
        <v>46002.71</v>
      </c>
      <c r="P236" s="212">
        <f>VLOOKUP($A236,MasterData!$N$62:$X$111,7,FALSE)</f>
        <v>0.22</v>
      </c>
      <c r="Q236" s="214">
        <f>ROUND(P236*MasterData!$H$4,2)</f>
        <v>6520.8</v>
      </c>
      <c r="R236" s="212">
        <f>VLOOKUP($A236,MasterData!$N$62:$X$111,8,FALSE)</f>
        <v>0.12</v>
      </c>
      <c r="S236" s="211">
        <f>ROUND(R236*MasterData!$I$4,2)</f>
        <v>3863.81</v>
      </c>
      <c r="T236" s="215">
        <f t="shared" si="34"/>
        <v>417335.21</v>
      </c>
      <c r="U236" s="211">
        <f>ROUND(T236*MasterData!$C$29,2)</f>
        <v>93107.49</v>
      </c>
      <c r="V236" s="211">
        <f>ROUND(T236*MasterData!$J$29,2)</f>
        <v>1544.14</v>
      </c>
      <c r="W236" s="201">
        <f t="shared" si="30"/>
        <v>510442.7</v>
      </c>
      <c r="X236" s="212">
        <f>VLOOKUP($A236,MasterData!$N$62:$X$111,10,FALSE)*52</f>
        <v>52</v>
      </c>
      <c r="Y236" s="211">
        <f>ROUND(X236*MasterData!$C$7,2)</f>
        <v>3138.72</v>
      </c>
      <c r="Z236" s="212">
        <f>VLOOKUP($A236,MasterData!$N$62:$X$111,11,FALSE)*52</f>
        <v>156</v>
      </c>
      <c r="AA236" s="211">
        <f>ROUND(Z236*MasterData!$D$7,2)</f>
        <v>6605.04</v>
      </c>
      <c r="AB236" s="215">
        <f t="shared" si="35"/>
        <v>9743.76</v>
      </c>
      <c r="AC236" s="216">
        <f>MasterData!$M$28</f>
        <v>15472.178595890411</v>
      </c>
      <c r="AD236" s="211">
        <f>MasterData!$D$30</f>
        <v>992.8</v>
      </c>
      <c r="AE236" s="211">
        <f>MasterData!$E$30</f>
        <v>2876.2</v>
      </c>
      <c r="AF236" s="211">
        <f>MasterData!$F$30</f>
        <v>0</v>
      </c>
      <c r="AG236" s="215">
        <f t="shared" si="28"/>
        <v>539527.63859589049</v>
      </c>
      <c r="AH236" s="211">
        <f>ROUND(AG236*MasterData!$G$29,2)</f>
        <v>64743.32</v>
      </c>
      <c r="AI236" s="200">
        <f>((AG236+AH236)*MasterData!$I$29)-'Model Calculator'!W236*MasterData!$I$29</f>
        <v>1670.1430030068495</v>
      </c>
      <c r="AJ236" s="201">
        <f t="shared" si="29"/>
        <v>607485.24159889726</v>
      </c>
      <c r="AK236" s="201">
        <f t="shared" si="31"/>
        <v>1750.68</v>
      </c>
    </row>
    <row r="237" spans="1:37">
      <c r="A237" s="197" t="s">
        <v>98</v>
      </c>
      <c r="B237" s="197" t="str">
        <f t="shared" si="32"/>
        <v>M208.52</v>
      </c>
      <c r="C237" s="197" t="s">
        <v>146</v>
      </c>
      <c r="D237" s="226" t="s">
        <v>301</v>
      </c>
      <c r="E237" s="213">
        <f>VLOOKUP($A237,MasterData!$N$62:$X$111,2,FALSE)</f>
        <v>0.18</v>
      </c>
      <c r="F237" s="214">
        <f>ROUND(E237*MasterData!$C$4,2)</f>
        <v>9297.2999999999993</v>
      </c>
      <c r="G237" s="212">
        <f>VLOOKUP($A237,MasterData!$N$62:$X$111,3,FALSE)</f>
        <v>0.66</v>
      </c>
      <c r="H237" s="214">
        <f>ROUND(G237*MasterData!$D$4,2)</f>
        <v>27401.09</v>
      </c>
      <c r="I237" s="212">
        <f t="shared" si="33"/>
        <v>8.5</v>
      </c>
      <c r="J237" s="212">
        <f>VLOOKUP($A237,MasterData!$N$62:$X$111,4,FALSE)</f>
        <v>7.1</v>
      </c>
      <c r="K237" s="214">
        <f>ROUND(J237*MasterData!$D$26,2)</f>
        <v>304174.21999999997</v>
      </c>
      <c r="L237" s="212">
        <f>VLOOKUP($A237,MasterData!$N$62:$X$111,5,FALSE)</f>
        <v>1.4</v>
      </c>
      <c r="M237" s="211">
        <f>ROUND(L237*MasterData!$F$4,2)</f>
        <v>41496</v>
      </c>
      <c r="N237" s="212">
        <f>VLOOKUP($A237,MasterData!$N$62:$X$111,6,FALSE)</f>
        <v>1.31</v>
      </c>
      <c r="O237" s="211">
        <f>ROUND(N237*MasterData!$E$26,2)</f>
        <v>48994.76</v>
      </c>
      <c r="P237" s="212">
        <f>VLOOKUP($A237,MasterData!$N$62:$X$111,7,FALSE)</f>
        <v>0.22</v>
      </c>
      <c r="Q237" s="214">
        <f>ROUND(P237*MasterData!$H$4,2)</f>
        <v>6520.8</v>
      </c>
      <c r="R237" s="212">
        <f>VLOOKUP($A237,MasterData!$N$62:$X$111,8,FALSE)</f>
        <v>0.12</v>
      </c>
      <c r="S237" s="211">
        <f>ROUND(R237*MasterData!$I$4,2)</f>
        <v>3863.81</v>
      </c>
      <c r="T237" s="215">
        <f t="shared" si="34"/>
        <v>441747.98</v>
      </c>
      <c r="U237" s="211">
        <f>ROUND(T237*MasterData!$C$29,2)</f>
        <v>98553.97</v>
      </c>
      <c r="V237" s="211">
        <f>ROUND(T237*MasterData!$J$29,2)</f>
        <v>1634.47</v>
      </c>
      <c r="W237" s="201">
        <f t="shared" si="30"/>
        <v>540301.94999999995</v>
      </c>
      <c r="X237" s="212">
        <f>VLOOKUP($A237,MasterData!$N$62:$X$111,10,FALSE)*52</f>
        <v>52</v>
      </c>
      <c r="Y237" s="211">
        <f>ROUND(X237*MasterData!$C$7,2)</f>
        <v>3138.72</v>
      </c>
      <c r="Z237" s="212">
        <f>VLOOKUP($A237,MasterData!$N$62:$X$111,11,FALSE)*52</f>
        <v>156</v>
      </c>
      <c r="AA237" s="211">
        <f>ROUND(Z237*MasterData!$D$7,2)</f>
        <v>6605.04</v>
      </c>
      <c r="AB237" s="215">
        <f t="shared" si="35"/>
        <v>9743.76</v>
      </c>
      <c r="AC237" s="216">
        <f>MasterData!$M$28</f>
        <v>15472.178595890411</v>
      </c>
      <c r="AD237" s="211">
        <f>MasterData!$D$30</f>
        <v>992.8</v>
      </c>
      <c r="AE237" s="211">
        <f>MasterData!$E$30</f>
        <v>2876.2</v>
      </c>
      <c r="AF237" s="211">
        <f>MasterData!$F$30</f>
        <v>0</v>
      </c>
      <c r="AG237" s="215">
        <f t="shared" si="28"/>
        <v>569386.88859589037</v>
      </c>
      <c r="AH237" s="211">
        <f>ROUND(AG237*MasterData!$G$29,2)</f>
        <v>68326.429999999993</v>
      </c>
      <c r="AI237" s="200">
        <f>((AG237+AH237)*MasterData!$I$29)-'Model Calculator'!W237*MasterData!$I$29</f>
        <v>1733.9223610068511</v>
      </c>
      <c r="AJ237" s="201">
        <f t="shared" si="29"/>
        <v>641081.71095689724</v>
      </c>
      <c r="AK237" s="201">
        <f t="shared" si="31"/>
        <v>1847.5</v>
      </c>
    </row>
    <row r="238" spans="1:37">
      <c r="A238" s="197" t="s">
        <v>99</v>
      </c>
      <c r="B238" s="197" t="str">
        <f t="shared" si="32"/>
        <v>M209.02</v>
      </c>
      <c r="C238" s="197" t="s">
        <v>147</v>
      </c>
      <c r="D238" s="226" t="s">
        <v>301</v>
      </c>
      <c r="E238" s="213">
        <f>VLOOKUP($A238,MasterData!$N$62:$X$111,2,FALSE)</f>
        <v>0.18</v>
      </c>
      <c r="F238" s="214">
        <f>ROUND(E238*MasterData!$C$4,2)</f>
        <v>9297.2999999999993</v>
      </c>
      <c r="G238" s="212">
        <f>VLOOKUP($A238,MasterData!$N$62:$X$111,3,FALSE)</f>
        <v>0.66</v>
      </c>
      <c r="H238" s="214">
        <f>ROUND(G238*MasterData!$D$4,2)</f>
        <v>27401.09</v>
      </c>
      <c r="I238" s="212">
        <f t="shared" si="33"/>
        <v>9</v>
      </c>
      <c r="J238" s="212">
        <f>VLOOKUP($A238,MasterData!$N$62:$X$111,4,FALSE)</f>
        <v>7.6</v>
      </c>
      <c r="K238" s="214">
        <f>ROUND(J238*MasterData!$D$26,2)</f>
        <v>325594.94</v>
      </c>
      <c r="L238" s="212">
        <f>VLOOKUP($A238,MasterData!$N$62:$X$111,5,FALSE)</f>
        <v>1.4</v>
      </c>
      <c r="M238" s="211">
        <f>ROUND(L238*MasterData!$F$4,2)</f>
        <v>41496</v>
      </c>
      <c r="N238" s="212">
        <f>VLOOKUP($A238,MasterData!$N$62:$X$111,6,FALSE)</f>
        <v>1.39</v>
      </c>
      <c r="O238" s="211">
        <f>ROUND(N238*MasterData!$E$26,2)</f>
        <v>51986.8</v>
      </c>
      <c r="P238" s="212">
        <f>VLOOKUP($A238,MasterData!$N$62:$X$111,7,FALSE)</f>
        <v>0.22</v>
      </c>
      <c r="Q238" s="214">
        <f>ROUND(P238*MasterData!$H$4,2)</f>
        <v>6520.8</v>
      </c>
      <c r="R238" s="212">
        <f>VLOOKUP($A238,MasterData!$N$62:$X$111,8,FALSE)</f>
        <v>0.12</v>
      </c>
      <c r="S238" s="211">
        <f>ROUND(R238*MasterData!$I$4,2)</f>
        <v>3863.81</v>
      </c>
      <c r="T238" s="215">
        <f t="shared" si="34"/>
        <v>466160.74</v>
      </c>
      <c r="U238" s="211">
        <f>ROUND(T238*MasterData!$C$29,2)</f>
        <v>104000.46</v>
      </c>
      <c r="V238" s="211">
        <f>ROUND(T238*MasterData!$J$29,2)</f>
        <v>1724.79</v>
      </c>
      <c r="W238" s="201">
        <f t="shared" si="30"/>
        <v>570161.19999999995</v>
      </c>
      <c r="X238" s="212">
        <f>VLOOKUP($A238,MasterData!$N$62:$X$111,10,FALSE)*52</f>
        <v>52</v>
      </c>
      <c r="Y238" s="211">
        <f>ROUND(X238*MasterData!$C$7,2)</f>
        <v>3138.72</v>
      </c>
      <c r="Z238" s="212">
        <f>VLOOKUP($A238,MasterData!$N$62:$X$111,11,FALSE)*52</f>
        <v>156</v>
      </c>
      <c r="AA238" s="211">
        <f>ROUND(Z238*MasterData!$D$7,2)</f>
        <v>6605.04</v>
      </c>
      <c r="AB238" s="215">
        <f t="shared" si="35"/>
        <v>9743.76</v>
      </c>
      <c r="AC238" s="216">
        <f>MasterData!$M$28</f>
        <v>15472.178595890411</v>
      </c>
      <c r="AD238" s="211">
        <f>MasterData!$D$30</f>
        <v>992.8</v>
      </c>
      <c r="AE238" s="211">
        <f>MasterData!$E$30</f>
        <v>2876.2</v>
      </c>
      <c r="AF238" s="211">
        <f>MasterData!$F$30</f>
        <v>0</v>
      </c>
      <c r="AG238" s="215">
        <f t="shared" si="28"/>
        <v>599246.13859589037</v>
      </c>
      <c r="AH238" s="211">
        <f>ROUND(AG238*MasterData!$G$29,2)</f>
        <v>71909.539999999994</v>
      </c>
      <c r="AI238" s="200">
        <f>((AG238+AH238)*MasterData!$I$29)-'Model Calculator'!W238*MasterData!$I$29</f>
        <v>1797.7017190068509</v>
      </c>
      <c r="AJ238" s="201">
        <f t="shared" si="29"/>
        <v>674678.17031489732</v>
      </c>
      <c r="AK238" s="201">
        <f t="shared" si="31"/>
        <v>1944.32</v>
      </c>
    </row>
    <row r="239" spans="1:37">
      <c r="A239" s="197" t="s">
        <v>100</v>
      </c>
      <c r="B239" s="197" t="str">
        <f t="shared" si="32"/>
        <v>M209.52</v>
      </c>
      <c r="C239" s="197" t="s">
        <v>148</v>
      </c>
      <c r="D239" s="226" t="s">
        <v>301</v>
      </c>
      <c r="E239" s="213">
        <f>VLOOKUP($A239,MasterData!$N$62:$X$111,2,FALSE)</f>
        <v>0.18</v>
      </c>
      <c r="F239" s="214">
        <f>ROUND(E239*MasterData!$C$4,2)</f>
        <v>9297.2999999999993</v>
      </c>
      <c r="G239" s="212">
        <f>VLOOKUP($A239,MasterData!$N$62:$X$111,3,FALSE)</f>
        <v>0.66</v>
      </c>
      <c r="H239" s="214">
        <f>ROUND(G239*MasterData!$D$4,2)</f>
        <v>27401.09</v>
      </c>
      <c r="I239" s="212">
        <f t="shared" si="33"/>
        <v>9.5</v>
      </c>
      <c r="J239" s="212">
        <f>VLOOKUP($A239,MasterData!$N$62:$X$111,4,FALSE)</f>
        <v>8.1</v>
      </c>
      <c r="K239" s="214">
        <f>ROUND(J239*MasterData!$D$26,2)</f>
        <v>347015.66</v>
      </c>
      <c r="L239" s="212">
        <f>VLOOKUP($A239,MasterData!$N$62:$X$111,5,FALSE)</f>
        <v>1.4</v>
      </c>
      <c r="M239" s="211">
        <f>ROUND(L239*MasterData!$F$4,2)</f>
        <v>41496</v>
      </c>
      <c r="N239" s="212">
        <f>VLOOKUP($A239,MasterData!$N$62:$X$111,6,FALSE)</f>
        <v>1.46</v>
      </c>
      <c r="O239" s="211">
        <f>ROUND(N239*MasterData!$E$26,2)</f>
        <v>54604.84</v>
      </c>
      <c r="P239" s="212">
        <f>VLOOKUP($A239,MasterData!$N$62:$X$111,7,FALSE)</f>
        <v>0.22</v>
      </c>
      <c r="Q239" s="214">
        <f>ROUND(P239*MasterData!$H$4,2)</f>
        <v>6520.8</v>
      </c>
      <c r="R239" s="212">
        <f>VLOOKUP($A239,MasterData!$N$62:$X$111,8,FALSE)</f>
        <v>0.12</v>
      </c>
      <c r="S239" s="211">
        <f>ROUND(R239*MasterData!$I$4,2)</f>
        <v>3863.81</v>
      </c>
      <c r="T239" s="215">
        <f t="shared" si="34"/>
        <v>490199.5</v>
      </c>
      <c r="U239" s="211">
        <f>ROUND(T239*MasterData!$C$29,2)</f>
        <v>109363.51</v>
      </c>
      <c r="V239" s="211">
        <f>ROUND(T239*MasterData!$J$29,2)</f>
        <v>1813.74</v>
      </c>
      <c r="W239" s="201">
        <f t="shared" si="30"/>
        <v>599563.01</v>
      </c>
      <c r="X239" s="212">
        <f>VLOOKUP($A239,MasterData!$N$62:$X$111,10,FALSE)*52</f>
        <v>52</v>
      </c>
      <c r="Y239" s="211">
        <f>ROUND(X239*MasterData!$C$7,2)</f>
        <v>3138.72</v>
      </c>
      <c r="Z239" s="212">
        <f>VLOOKUP($A239,MasterData!$N$62:$X$111,11,FALSE)*52</f>
        <v>156</v>
      </c>
      <c r="AA239" s="211">
        <f>ROUND(Z239*MasterData!$D$7,2)</f>
        <v>6605.04</v>
      </c>
      <c r="AB239" s="215">
        <f t="shared" si="35"/>
        <v>9743.76</v>
      </c>
      <c r="AC239" s="216">
        <f>MasterData!$M$28</f>
        <v>15472.178595890411</v>
      </c>
      <c r="AD239" s="211">
        <f>MasterData!$D$30</f>
        <v>992.8</v>
      </c>
      <c r="AE239" s="211">
        <f>MasterData!$E$30</f>
        <v>2876.2</v>
      </c>
      <c r="AF239" s="211">
        <f>MasterData!$F$30</f>
        <v>0</v>
      </c>
      <c r="AG239" s="215">
        <f t="shared" si="28"/>
        <v>628647.94859589043</v>
      </c>
      <c r="AH239" s="211">
        <f>ROUND(AG239*MasterData!$G$29,2)</f>
        <v>75437.75</v>
      </c>
      <c r="AI239" s="200">
        <f>((AG239+AH239)*MasterData!$I$29)-'Model Calculator'!W239*MasterData!$I$29</f>
        <v>1860.5038570068482</v>
      </c>
      <c r="AJ239" s="201">
        <f t="shared" si="29"/>
        <v>707759.94245289732</v>
      </c>
      <c r="AK239" s="201">
        <f t="shared" si="31"/>
        <v>2039.65</v>
      </c>
    </row>
    <row r="240" spans="1:37">
      <c r="A240" s="197" t="s">
        <v>101</v>
      </c>
      <c r="B240" s="197" t="str">
        <f t="shared" si="32"/>
        <v>M210.02</v>
      </c>
      <c r="C240" s="197" t="s">
        <v>149</v>
      </c>
      <c r="D240" s="226" t="s">
        <v>301</v>
      </c>
      <c r="E240" s="213">
        <f>VLOOKUP($A240,MasterData!$N$62:$X$111,2,FALSE)</f>
        <v>0.18</v>
      </c>
      <c r="F240" s="214">
        <f>ROUND(E240*MasterData!$C$4,2)</f>
        <v>9297.2999999999993</v>
      </c>
      <c r="G240" s="212">
        <f>VLOOKUP($A240,MasterData!$N$62:$X$111,3,FALSE)</f>
        <v>0.66</v>
      </c>
      <c r="H240" s="214">
        <f>ROUND(G240*MasterData!$D$4,2)</f>
        <v>27401.09</v>
      </c>
      <c r="I240" s="212">
        <f t="shared" si="33"/>
        <v>10</v>
      </c>
      <c r="J240" s="212">
        <f>VLOOKUP($A240,MasterData!$N$62:$X$111,4,FALSE)</f>
        <v>8.6</v>
      </c>
      <c r="K240" s="214">
        <f>ROUND(J240*MasterData!$D$26,2)</f>
        <v>368436.38</v>
      </c>
      <c r="L240" s="212">
        <f>VLOOKUP($A240,MasterData!$N$62:$X$111,5,FALSE)</f>
        <v>1.4</v>
      </c>
      <c r="M240" s="211">
        <f>ROUND(L240*MasterData!$F$4,2)</f>
        <v>41496</v>
      </c>
      <c r="N240" s="212">
        <f>VLOOKUP($A240,MasterData!$N$62:$X$111,6,FALSE)</f>
        <v>1.54</v>
      </c>
      <c r="O240" s="211">
        <f>ROUND(N240*MasterData!$E$26,2)</f>
        <v>57596.89</v>
      </c>
      <c r="P240" s="212">
        <f>VLOOKUP($A240,MasterData!$N$62:$X$111,7,FALSE)</f>
        <v>0.22</v>
      </c>
      <c r="Q240" s="214">
        <f>ROUND(P240*MasterData!$H$4,2)</f>
        <v>6520.8</v>
      </c>
      <c r="R240" s="212">
        <f>VLOOKUP($A240,MasterData!$N$62:$X$111,8,FALSE)</f>
        <v>0.12</v>
      </c>
      <c r="S240" s="211">
        <f>ROUND(R240*MasterData!$I$4,2)</f>
        <v>3863.81</v>
      </c>
      <c r="T240" s="215">
        <f t="shared" si="34"/>
        <v>514612.27</v>
      </c>
      <c r="U240" s="211">
        <f>ROUND(T240*MasterData!$C$29,2)</f>
        <v>114810</v>
      </c>
      <c r="V240" s="211">
        <f>ROUND(T240*MasterData!$J$29,2)</f>
        <v>1904.07</v>
      </c>
      <c r="W240" s="201">
        <f t="shared" si="30"/>
        <v>629422.27</v>
      </c>
      <c r="X240" s="212">
        <f>VLOOKUP($A240,MasterData!$N$62:$X$111,10,FALSE)*52</f>
        <v>52</v>
      </c>
      <c r="Y240" s="211">
        <f>ROUND(X240*MasterData!$C$7,2)</f>
        <v>3138.72</v>
      </c>
      <c r="Z240" s="212">
        <f>VLOOKUP($A240,MasterData!$N$62:$X$111,11,FALSE)*52</f>
        <v>156</v>
      </c>
      <c r="AA240" s="211">
        <f>ROUND(Z240*MasterData!$D$7,2)</f>
        <v>6605.04</v>
      </c>
      <c r="AB240" s="215">
        <f t="shared" si="35"/>
        <v>9743.76</v>
      </c>
      <c r="AC240" s="216">
        <f>MasterData!$M$28</f>
        <v>15472.178595890411</v>
      </c>
      <c r="AD240" s="211">
        <f>MasterData!$D$30</f>
        <v>992.8</v>
      </c>
      <c r="AE240" s="211">
        <f>MasterData!$E$30</f>
        <v>2876.2</v>
      </c>
      <c r="AF240" s="211">
        <f>MasterData!$F$30</f>
        <v>0</v>
      </c>
      <c r="AG240" s="215">
        <f t="shared" si="28"/>
        <v>658507.20859589044</v>
      </c>
      <c r="AH240" s="211">
        <f>ROUND(AG240*MasterData!$G$29,2)</f>
        <v>79020.87</v>
      </c>
      <c r="AI240" s="200">
        <f>((AG240+AH240)*MasterData!$I$29)-'Model Calculator'!W240*MasterData!$I$29</f>
        <v>1924.28339300685</v>
      </c>
      <c r="AJ240" s="201">
        <f t="shared" si="29"/>
        <v>741356.43198889727</v>
      </c>
      <c r="AK240" s="201">
        <f t="shared" si="31"/>
        <v>2136.4699999999998</v>
      </c>
    </row>
    <row r="241" spans="1:37">
      <c r="A241" s="197" t="s">
        <v>102</v>
      </c>
      <c r="B241" s="197" t="str">
        <f t="shared" si="32"/>
        <v>M210.52</v>
      </c>
      <c r="C241" s="197" t="s">
        <v>150</v>
      </c>
      <c r="D241" s="226" t="s">
        <v>301</v>
      </c>
      <c r="E241" s="213">
        <f>VLOOKUP($A241,MasterData!$N$62:$X$111,2,FALSE)</f>
        <v>0.18</v>
      </c>
      <c r="F241" s="214">
        <f>ROUND(E241*MasterData!$C$4,2)</f>
        <v>9297.2999999999993</v>
      </c>
      <c r="G241" s="212">
        <f>VLOOKUP($A241,MasterData!$N$62:$X$111,3,FALSE)</f>
        <v>0.66</v>
      </c>
      <c r="H241" s="214">
        <f>ROUND(G241*MasterData!$D$4,2)</f>
        <v>27401.09</v>
      </c>
      <c r="I241" s="212">
        <f t="shared" si="33"/>
        <v>10.5</v>
      </c>
      <c r="J241" s="212">
        <f>VLOOKUP($A241,MasterData!$N$62:$X$111,4,FALSE)</f>
        <v>9.1</v>
      </c>
      <c r="K241" s="214">
        <f>ROUND(J241*MasterData!$D$26,2)</f>
        <v>389857.1</v>
      </c>
      <c r="L241" s="212">
        <f>VLOOKUP($A241,MasterData!$N$62:$X$111,5,FALSE)</f>
        <v>1.4</v>
      </c>
      <c r="M241" s="211">
        <f>ROUND(L241*MasterData!$F$4,2)</f>
        <v>41496</v>
      </c>
      <c r="N241" s="212">
        <f>VLOOKUP($A241,MasterData!$N$62:$X$111,6,FALSE)</f>
        <v>1.62</v>
      </c>
      <c r="O241" s="211">
        <f>ROUND(N241*MasterData!$E$26,2)</f>
        <v>60588.93</v>
      </c>
      <c r="P241" s="212">
        <f>VLOOKUP($A241,MasterData!$N$62:$X$111,7,FALSE)</f>
        <v>0.22</v>
      </c>
      <c r="Q241" s="214">
        <f>ROUND(P241*MasterData!$H$4,2)</f>
        <v>6520.8</v>
      </c>
      <c r="R241" s="212">
        <f>VLOOKUP($A241,MasterData!$N$62:$X$111,8,FALSE)</f>
        <v>0.12</v>
      </c>
      <c r="S241" s="211">
        <f>ROUND(R241*MasterData!$I$4,2)</f>
        <v>3863.81</v>
      </c>
      <c r="T241" s="215">
        <f t="shared" si="34"/>
        <v>539025.03000000014</v>
      </c>
      <c r="U241" s="211">
        <f>ROUND(T241*MasterData!$C$29,2)</f>
        <v>120256.48</v>
      </c>
      <c r="V241" s="211">
        <f>ROUND(T241*MasterData!$J$29,2)</f>
        <v>1994.39</v>
      </c>
      <c r="W241" s="201">
        <f t="shared" si="30"/>
        <v>659281.51000000013</v>
      </c>
      <c r="X241" s="212">
        <f>VLOOKUP($A241,MasterData!$N$62:$X$111,10,FALSE)*52</f>
        <v>52</v>
      </c>
      <c r="Y241" s="211">
        <f>ROUND(X241*MasterData!$C$7,2)</f>
        <v>3138.72</v>
      </c>
      <c r="Z241" s="212">
        <f>VLOOKUP($A241,MasterData!$N$62:$X$111,11,FALSE)*52</f>
        <v>156</v>
      </c>
      <c r="AA241" s="211">
        <f>ROUND(Z241*MasterData!$D$7,2)</f>
        <v>6605.04</v>
      </c>
      <c r="AB241" s="215">
        <f t="shared" si="35"/>
        <v>9743.76</v>
      </c>
      <c r="AC241" s="216">
        <f>MasterData!$M$28</f>
        <v>15472.178595890411</v>
      </c>
      <c r="AD241" s="211">
        <f>MasterData!$D$30</f>
        <v>992.8</v>
      </c>
      <c r="AE241" s="211">
        <f>MasterData!$E$30</f>
        <v>2876.2</v>
      </c>
      <c r="AF241" s="211">
        <f>MasterData!$F$30</f>
        <v>0</v>
      </c>
      <c r="AG241" s="215">
        <f t="shared" si="28"/>
        <v>688366.44859589054</v>
      </c>
      <c r="AH241" s="211">
        <f>ROUND(AG241*MasterData!$G$29,2)</f>
        <v>82603.97</v>
      </c>
      <c r="AI241" s="200">
        <f>((AG241+AH241)*MasterData!$I$29)-'Model Calculator'!W241*MasterData!$I$29</f>
        <v>1988.0625730068496</v>
      </c>
      <c r="AJ241" s="201">
        <f t="shared" si="29"/>
        <v>774952.87116889737</v>
      </c>
      <c r="AK241" s="201">
        <f t="shared" si="31"/>
        <v>2233.29</v>
      </c>
    </row>
    <row r="242" spans="1:37">
      <c r="A242" s="197" t="s">
        <v>103</v>
      </c>
      <c r="B242" s="197" t="str">
        <f t="shared" si="32"/>
        <v>M211.02</v>
      </c>
      <c r="C242" s="197" t="s">
        <v>151</v>
      </c>
      <c r="D242" s="226" t="s">
        <v>301</v>
      </c>
      <c r="E242" s="213">
        <f>VLOOKUP($A242,MasterData!$N$62:$X$111,2,FALSE)</f>
        <v>0.18</v>
      </c>
      <c r="F242" s="214">
        <f>ROUND(E242*MasterData!$C$4,2)</f>
        <v>9297.2999999999993</v>
      </c>
      <c r="G242" s="212">
        <f>VLOOKUP($A242,MasterData!$N$62:$X$111,3,FALSE)</f>
        <v>0.66</v>
      </c>
      <c r="H242" s="214">
        <f>ROUND(G242*MasterData!$D$4,2)</f>
        <v>27401.09</v>
      </c>
      <c r="I242" s="212">
        <f t="shared" si="33"/>
        <v>11</v>
      </c>
      <c r="J242" s="212">
        <f>VLOOKUP($A242,MasterData!$N$62:$X$111,4,FALSE)</f>
        <v>9.6</v>
      </c>
      <c r="K242" s="214">
        <f>ROUND(J242*MasterData!$D$26,2)</f>
        <v>411277.82</v>
      </c>
      <c r="L242" s="212">
        <f>VLOOKUP($A242,MasterData!$N$62:$X$111,5,FALSE)</f>
        <v>1.4</v>
      </c>
      <c r="M242" s="211">
        <f>ROUND(L242*MasterData!$F$4,2)</f>
        <v>41496</v>
      </c>
      <c r="N242" s="212">
        <f>VLOOKUP($A242,MasterData!$N$62:$X$111,6,FALSE)</f>
        <v>1.69</v>
      </c>
      <c r="O242" s="211">
        <f>ROUND(N242*MasterData!$E$26,2)</f>
        <v>63206.98</v>
      </c>
      <c r="P242" s="212">
        <f>VLOOKUP($A242,MasterData!$N$62:$X$111,7,FALSE)</f>
        <v>0.22</v>
      </c>
      <c r="Q242" s="214">
        <f>ROUND(P242*MasterData!$H$4,2)</f>
        <v>6520.8</v>
      </c>
      <c r="R242" s="212">
        <f>VLOOKUP($A242,MasterData!$N$62:$X$111,8,FALSE)</f>
        <v>0.12</v>
      </c>
      <c r="S242" s="211">
        <f>ROUND(R242*MasterData!$I$4,2)</f>
        <v>3863.81</v>
      </c>
      <c r="T242" s="215">
        <f t="shared" si="34"/>
        <v>563063.80000000016</v>
      </c>
      <c r="U242" s="211">
        <f>ROUND(T242*MasterData!$C$29,2)</f>
        <v>125619.53</v>
      </c>
      <c r="V242" s="211">
        <f>ROUND(T242*MasterData!$J$29,2)</f>
        <v>2083.34</v>
      </c>
      <c r="W242" s="201">
        <f t="shared" si="30"/>
        <v>688683.33000000019</v>
      </c>
      <c r="X242" s="212">
        <f>VLOOKUP($A242,MasterData!$N$62:$X$111,10,FALSE)*52</f>
        <v>52</v>
      </c>
      <c r="Y242" s="211">
        <f>ROUND(X242*MasterData!$C$7,2)</f>
        <v>3138.72</v>
      </c>
      <c r="Z242" s="212">
        <f>VLOOKUP($A242,MasterData!$N$62:$X$111,11,FALSE)*52</f>
        <v>156</v>
      </c>
      <c r="AA242" s="211">
        <f>ROUND(Z242*MasterData!$D$7,2)</f>
        <v>6605.04</v>
      </c>
      <c r="AB242" s="215">
        <f t="shared" si="35"/>
        <v>9743.76</v>
      </c>
      <c r="AC242" s="216">
        <f>MasterData!$M$28</f>
        <v>15472.178595890411</v>
      </c>
      <c r="AD242" s="211">
        <f>MasterData!$D$30</f>
        <v>992.8</v>
      </c>
      <c r="AE242" s="211">
        <f>MasterData!$E$30</f>
        <v>2876.2</v>
      </c>
      <c r="AF242" s="211">
        <f>MasterData!$F$30</f>
        <v>0</v>
      </c>
      <c r="AG242" s="215">
        <f t="shared" si="28"/>
        <v>717768.26859589061</v>
      </c>
      <c r="AH242" s="211">
        <f>ROUND(AG242*MasterData!$G$29,2)</f>
        <v>86132.19</v>
      </c>
      <c r="AI242" s="200">
        <f>((AG242+AH242)*MasterData!$I$29)-'Model Calculator'!W242*MasterData!$I$29</f>
        <v>2050.8648890068471</v>
      </c>
      <c r="AJ242" s="201">
        <f t="shared" si="29"/>
        <v>808034.66348489735</v>
      </c>
      <c r="AK242" s="201">
        <f t="shared" si="31"/>
        <v>2328.63</v>
      </c>
    </row>
    <row r="243" spans="1:37" hidden="1">
      <c r="A243" s="197" t="s">
        <v>104</v>
      </c>
      <c r="B243" s="197" t="str">
        <f t="shared" si="32"/>
        <v>M211.52</v>
      </c>
      <c r="C243" s="197" t="s">
        <v>152</v>
      </c>
      <c r="D243" s="226" t="s">
        <v>301</v>
      </c>
      <c r="E243" s="213">
        <f>VLOOKUP($A243,MasterData!$N$62:$X$111,2,FALSE)</f>
        <v>0.18</v>
      </c>
      <c r="F243" s="214">
        <f>ROUND(E243*MasterData!$C$4,2)</f>
        <v>9297.2999999999993</v>
      </c>
      <c r="G243" s="212">
        <f>VLOOKUP($A243,MasterData!$N$62:$X$111,3,FALSE)</f>
        <v>0.66</v>
      </c>
      <c r="H243" s="214">
        <f>ROUND(G243*MasterData!$D$4,2)</f>
        <v>27401.09</v>
      </c>
      <c r="I243" s="212">
        <f t="shared" si="33"/>
        <v>11.5</v>
      </c>
      <c r="J243" s="212">
        <f>VLOOKUP($A243,MasterData!$N$62:$X$111,4,FALSE)</f>
        <v>10.1</v>
      </c>
      <c r="K243" s="214">
        <f>ROUND(J243*MasterData!$D$26,2)</f>
        <v>432698.54</v>
      </c>
      <c r="L243" s="212">
        <f>VLOOKUP($A243,MasterData!$N$62:$X$111,5,FALSE)</f>
        <v>1.4</v>
      </c>
      <c r="M243" s="211">
        <f>ROUND(L243*MasterData!$F$4,2)</f>
        <v>41496</v>
      </c>
      <c r="N243" s="212">
        <f>VLOOKUP($A243,MasterData!$N$62:$X$111,6,FALSE)</f>
        <v>1.77</v>
      </c>
      <c r="O243" s="211">
        <f>ROUND(N243*MasterData!$E$26,2)</f>
        <v>66199.02</v>
      </c>
      <c r="P243" s="212">
        <f>VLOOKUP($A243,MasterData!$N$62:$X$111,7,FALSE)</f>
        <v>0.22</v>
      </c>
      <c r="Q243" s="214">
        <f>ROUND(P243*MasterData!$H$4,2)</f>
        <v>6520.8</v>
      </c>
      <c r="R243" s="212">
        <f>VLOOKUP($A243,MasterData!$N$62:$X$111,8,FALSE)</f>
        <v>0.12</v>
      </c>
      <c r="S243" s="211">
        <f>ROUND(R243*MasterData!$I$4,2)</f>
        <v>3863.81</v>
      </c>
      <c r="T243" s="215">
        <f t="shared" si="34"/>
        <v>587476.56000000006</v>
      </c>
      <c r="U243" s="211">
        <f>ROUND(T243*MasterData!$C$29,2)</f>
        <v>131066.02</v>
      </c>
      <c r="V243" s="211">
        <f>ROUND(T243*MasterData!$J$29,2)</f>
        <v>2173.66</v>
      </c>
      <c r="W243" s="201">
        <f t="shared" si="30"/>
        <v>718542.58000000007</v>
      </c>
      <c r="X243" s="212">
        <f>VLOOKUP($A243,MasterData!$N$62:$X$111,10,FALSE)*52</f>
        <v>52</v>
      </c>
      <c r="Y243" s="211">
        <f>ROUND(X243*MasterData!$C$7,2)</f>
        <v>3138.72</v>
      </c>
      <c r="Z243" s="212">
        <f>VLOOKUP($A243,MasterData!$N$62:$X$111,11,FALSE)*52</f>
        <v>156</v>
      </c>
      <c r="AA243" s="211">
        <f>ROUND(Z243*MasterData!$D$7,2)</f>
        <v>6605.04</v>
      </c>
      <c r="AB243" s="215">
        <f t="shared" si="35"/>
        <v>9743.76</v>
      </c>
      <c r="AC243" s="216">
        <f>MasterData!$M$28</f>
        <v>15472.178595890411</v>
      </c>
      <c r="AD243" s="211">
        <f>MasterData!$D$30</f>
        <v>992.8</v>
      </c>
      <c r="AE243" s="211">
        <f>MasterData!$E$30</f>
        <v>2876.2</v>
      </c>
      <c r="AF243" s="211">
        <f>MasterData!$F$30</f>
        <v>0</v>
      </c>
      <c r="AG243" s="215">
        <f t="shared" si="28"/>
        <v>747627.51859589049</v>
      </c>
      <c r="AH243" s="211">
        <f>ROUND(AG243*MasterData!$G$29,2)</f>
        <v>89715.3</v>
      </c>
      <c r="AI243" s="200">
        <f>((AG243+AH243)*MasterData!$I$29)-'Model Calculator'!W243*MasterData!$I$29</f>
        <v>2114.6442470068505</v>
      </c>
      <c r="AJ243" s="201">
        <f t="shared" si="29"/>
        <v>841631.12284289743</v>
      </c>
      <c r="AK243" s="201">
        <f t="shared" si="31"/>
        <v>2425.4499999999998</v>
      </c>
    </row>
    <row r="244" spans="1:37" hidden="1">
      <c r="A244" s="197" t="s">
        <v>105</v>
      </c>
      <c r="B244" s="197" t="str">
        <f t="shared" si="32"/>
        <v>M212.02</v>
      </c>
      <c r="C244" s="197" t="s">
        <v>153</v>
      </c>
      <c r="D244" s="226" t="s">
        <v>301</v>
      </c>
      <c r="E244" s="213">
        <f>VLOOKUP($A244,MasterData!$N$62:$X$111,2,FALSE)</f>
        <v>0.18</v>
      </c>
      <c r="F244" s="214">
        <f>ROUND(E244*MasterData!$C$4,2)</f>
        <v>9297.2999999999993</v>
      </c>
      <c r="G244" s="212">
        <f>VLOOKUP($A244,MasterData!$N$62:$X$111,3,FALSE)</f>
        <v>0.66</v>
      </c>
      <c r="H244" s="214">
        <f>ROUND(G244*MasterData!$D$4,2)</f>
        <v>27401.09</v>
      </c>
      <c r="I244" s="212">
        <f t="shared" si="33"/>
        <v>12</v>
      </c>
      <c r="J244" s="212">
        <f>VLOOKUP($A244,MasterData!$N$62:$X$111,4,FALSE)</f>
        <v>10.6</v>
      </c>
      <c r="K244" s="214">
        <f>ROUND(J244*MasterData!$D$26,2)</f>
        <v>454119.26</v>
      </c>
      <c r="L244" s="212">
        <f>VLOOKUP($A244,MasterData!$N$62:$X$111,5,FALSE)</f>
        <v>1.4</v>
      </c>
      <c r="M244" s="211">
        <f>ROUND(L244*MasterData!$F$4,2)</f>
        <v>41496</v>
      </c>
      <c r="N244" s="212">
        <f>VLOOKUP($A244,MasterData!$N$62:$X$111,6,FALSE)</f>
        <v>1.85</v>
      </c>
      <c r="O244" s="211">
        <f>ROUND(N244*MasterData!$E$26,2)</f>
        <v>69191.070000000007</v>
      </c>
      <c r="P244" s="212">
        <f>VLOOKUP($A244,MasterData!$N$62:$X$111,7,FALSE)</f>
        <v>0.22</v>
      </c>
      <c r="Q244" s="214">
        <f>ROUND(P244*MasterData!$H$4,2)</f>
        <v>6520.8</v>
      </c>
      <c r="R244" s="212">
        <f>VLOOKUP($A244,MasterData!$N$62:$X$111,8,FALSE)</f>
        <v>0.12</v>
      </c>
      <c r="S244" s="211">
        <f>ROUND(R244*MasterData!$I$4,2)</f>
        <v>3863.81</v>
      </c>
      <c r="T244" s="215">
        <f t="shared" si="34"/>
        <v>611889.33000000007</v>
      </c>
      <c r="U244" s="211">
        <f>ROUND(T244*MasterData!$C$29,2)</f>
        <v>136512.51</v>
      </c>
      <c r="V244" s="211">
        <f>ROUND(T244*MasterData!$J$29,2)</f>
        <v>2263.9899999999998</v>
      </c>
      <c r="W244" s="201">
        <f t="shared" si="30"/>
        <v>748401.84000000008</v>
      </c>
      <c r="X244" s="212">
        <f>VLOOKUP($A244,MasterData!$N$62:$X$111,10,FALSE)*52</f>
        <v>52</v>
      </c>
      <c r="Y244" s="211">
        <f>ROUND(X244*MasterData!$C$7,2)</f>
        <v>3138.72</v>
      </c>
      <c r="Z244" s="212">
        <f>VLOOKUP($A244,MasterData!$N$62:$X$111,11,FALSE)*52</f>
        <v>156</v>
      </c>
      <c r="AA244" s="211">
        <f>ROUND(Z244*MasterData!$D$7,2)</f>
        <v>6605.04</v>
      </c>
      <c r="AB244" s="215">
        <f t="shared" si="35"/>
        <v>9743.76</v>
      </c>
      <c r="AC244" s="216">
        <f>MasterData!$M$28</f>
        <v>15472.178595890411</v>
      </c>
      <c r="AD244" s="211">
        <f>MasterData!$D$30</f>
        <v>992.8</v>
      </c>
      <c r="AE244" s="211">
        <f>MasterData!$E$30</f>
        <v>2876.2</v>
      </c>
      <c r="AF244" s="211">
        <f>MasterData!$F$30</f>
        <v>0</v>
      </c>
      <c r="AG244" s="215">
        <f t="shared" si="28"/>
        <v>777486.7785958905</v>
      </c>
      <c r="AH244" s="211">
        <f>ROUND(AG244*MasterData!$G$29,2)</f>
        <v>93298.41</v>
      </c>
      <c r="AI244" s="200">
        <f>((AG244+AH244)*MasterData!$I$29)-'Model Calculator'!W244*MasterData!$I$29</f>
        <v>2178.4236050068503</v>
      </c>
      <c r="AJ244" s="201">
        <f t="shared" si="29"/>
        <v>875227.60220089741</v>
      </c>
      <c r="AK244" s="201">
        <f t="shared" si="31"/>
        <v>2522.27</v>
      </c>
    </row>
    <row r="245" spans="1:37" hidden="1">
      <c r="A245" s="197" t="s">
        <v>106</v>
      </c>
      <c r="B245" s="197" t="str">
        <f t="shared" si="32"/>
        <v>M212.52</v>
      </c>
      <c r="C245" s="197" t="s">
        <v>154</v>
      </c>
      <c r="D245" s="226" t="s">
        <v>301</v>
      </c>
      <c r="E245" s="213">
        <f>VLOOKUP($A245,MasterData!$N$62:$X$111,2,FALSE)</f>
        <v>0.18</v>
      </c>
      <c r="F245" s="214">
        <f>ROUND(E245*MasterData!$C$4,2)</f>
        <v>9297.2999999999993</v>
      </c>
      <c r="G245" s="212">
        <f>VLOOKUP($A245,MasterData!$N$62:$X$111,3,FALSE)</f>
        <v>0.66</v>
      </c>
      <c r="H245" s="214">
        <f>ROUND(G245*MasterData!$D$4,2)</f>
        <v>27401.09</v>
      </c>
      <c r="I245" s="212">
        <f t="shared" si="33"/>
        <v>12.5</v>
      </c>
      <c r="J245" s="212">
        <f>VLOOKUP($A245,MasterData!$N$62:$X$111,4,FALSE)</f>
        <v>11.1</v>
      </c>
      <c r="K245" s="214">
        <f>ROUND(J245*MasterData!$D$26,2)</f>
        <v>475539.98</v>
      </c>
      <c r="L245" s="212">
        <f>VLOOKUP($A245,MasterData!$N$62:$X$111,5,FALSE)</f>
        <v>1.4</v>
      </c>
      <c r="M245" s="211">
        <f>ROUND(L245*MasterData!$F$4,2)</f>
        <v>41496</v>
      </c>
      <c r="N245" s="212">
        <f>VLOOKUP($A245,MasterData!$N$62:$X$111,6,FALSE)</f>
        <v>1.93</v>
      </c>
      <c r="O245" s="211">
        <f>ROUND(N245*MasterData!$E$26,2)</f>
        <v>72183.11</v>
      </c>
      <c r="P245" s="212">
        <f>VLOOKUP($A245,MasterData!$N$62:$X$111,7,FALSE)</f>
        <v>0.22</v>
      </c>
      <c r="Q245" s="214">
        <f>ROUND(P245*MasterData!$H$4,2)</f>
        <v>6520.8</v>
      </c>
      <c r="R245" s="212">
        <f>VLOOKUP($A245,MasterData!$N$62:$X$111,8,FALSE)</f>
        <v>0.12</v>
      </c>
      <c r="S245" s="211">
        <f>ROUND(R245*MasterData!$I$4,2)</f>
        <v>3863.81</v>
      </c>
      <c r="T245" s="215">
        <f t="shared" si="34"/>
        <v>636302.09000000008</v>
      </c>
      <c r="U245" s="211">
        <f>ROUND(T245*MasterData!$C$29,2)</f>
        <v>141959</v>
      </c>
      <c r="V245" s="211">
        <f>ROUND(T245*MasterData!$J$29,2)</f>
        <v>2354.3200000000002</v>
      </c>
      <c r="W245" s="201">
        <f t="shared" si="30"/>
        <v>778261.09000000008</v>
      </c>
      <c r="X245" s="212">
        <f>VLOOKUP($A245,MasterData!$N$62:$X$111,10,FALSE)*52</f>
        <v>52</v>
      </c>
      <c r="Y245" s="211">
        <f>ROUND(X245*MasterData!$C$7,2)</f>
        <v>3138.72</v>
      </c>
      <c r="Z245" s="212">
        <f>VLOOKUP($A245,MasterData!$N$62:$X$111,11,FALSE)*52</f>
        <v>156</v>
      </c>
      <c r="AA245" s="211">
        <f>ROUND(Z245*MasterData!$D$7,2)</f>
        <v>6605.04</v>
      </c>
      <c r="AB245" s="215">
        <f t="shared" si="35"/>
        <v>9743.76</v>
      </c>
      <c r="AC245" s="216">
        <f>MasterData!$M$28</f>
        <v>15472.178595890411</v>
      </c>
      <c r="AD245" s="211">
        <f>MasterData!$D$30</f>
        <v>992.8</v>
      </c>
      <c r="AE245" s="211">
        <f>MasterData!$E$30</f>
        <v>2876.2</v>
      </c>
      <c r="AF245" s="211">
        <f>MasterData!$F$30</f>
        <v>0</v>
      </c>
      <c r="AG245" s="215">
        <f t="shared" si="28"/>
        <v>807346.0285958905</v>
      </c>
      <c r="AH245" s="211">
        <f>ROUND(AG245*MasterData!$G$29,2)</f>
        <v>96881.52</v>
      </c>
      <c r="AI245" s="200">
        <f>((AG245+AH245)*MasterData!$I$29)-'Model Calculator'!W245*MasterData!$I$29</f>
        <v>2242.20296300685</v>
      </c>
      <c r="AJ245" s="201">
        <f t="shared" si="29"/>
        <v>908824.07155889727</v>
      </c>
      <c r="AK245" s="201">
        <f t="shared" si="31"/>
        <v>2619.09</v>
      </c>
    </row>
    <row r="246" spans="1:37" hidden="1">
      <c r="A246" s="197" t="s">
        <v>107</v>
      </c>
      <c r="B246" s="197" t="str">
        <f t="shared" si="32"/>
        <v>M213.02</v>
      </c>
      <c r="C246" s="197" t="s">
        <v>155</v>
      </c>
      <c r="D246" s="226" t="s">
        <v>301</v>
      </c>
      <c r="E246" s="213">
        <f>VLOOKUP($A246,MasterData!$N$62:$X$111,2,FALSE)</f>
        <v>0.18</v>
      </c>
      <c r="F246" s="214">
        <f>ROUND(E246*MasterData!$C$4,2)</f>
        <v>9297.2999999999993</v>
      </c>
      <c r="G246" s="212">
        <f>VLOOKUP($A246,MasterData!$N$62:$X$111,3,FALSE)</f>
        <v>0.66</v>
      </c>
      <c r="H246" s="214">
        <f>ROUND(G246*MasterData!$D$4,2)</f>
        <v>27401.09</v>
      </c>
      <c r="I246" s="212">
        <f t="shared" si="33"/>
        <v>13</v>
      </c>
      <c r="J246" s="212">
        <f>VLOOKUP($A246,MasterData!$N$62:$X$111,4,FALSE)</f>
        <v>11.6</v>
      </c>
      <c r="K246" s="214">
        <f>ROUND(J246*MasterData!$D$26,2)</f>
        <v>496960.7</v>
      </c>
      <c r="L246" s="212">
        <f>VLOOKUP($A246,MasterData!$N$62:$X$111,5,FALSE)</f>
        <v>1.4</v>
      </c>
      <c r="M246" s="211">
        <f>ROUND(L246*MasterData!$F$4,2)</f>
        <v>41496</v>
      </c>
      <c r="N246" s="212">
        <f>VLOOKUP($A246,MasterData!$N$62:$X$111,6,FALSE)</f>
        <v>2</v>
      </c>
      <c r="O246" s="211">
        <f>ROUND(N246*MasterData!$E$26,2)</f>
        <v>74801.149999999994</v>
      </c>
      <c r="P246" s="212">
        <f>VLOOKUP($A246,MasterData!$N$62:$X$111,7,FALSE)</f>
        <v>0.22</v>
      </c>
      <c r="Q246" s="214">
        <f>ROUND(P246*MasterData!$H$4,2)</f>
        <v>6520.8</v>
      </c>
      <c r="R246" s="212">
        <f>VLOOKUP($A246,MasterData!$N$62:$X$111,8,FALSE)</f>
        <v>0.12</v>
      </c>
      <c r="S246" s="211">
        <f>ROUND(R246*MasterData!$I$4,2)</f>
        <v>3863.81</v>
      </c>
      <c r="T246" s="215">
        <f t="shared" si="34"/>
        <v>660340.85000000009</v>
      </c>
      <c r="U246" s="211">
        <f>ROUND(T246*MasterData!$C$29,2)</f>
        <v>147322.04</v>
      </c>
      <c r="V246" s="211">
        <f>ROUND(T246*MasterData!$J$29,2)</f>
        <v>2443.2600000000002</v>
      </c>
      <c r="W246" s="201">
        <f t="shared" si="30"/>
        <v>807662.89000000013</v>
      </c>
      <c r="X246" s="212">
        <f>VLOOKUP($A246,MasterData!$N$62:$X$111,10,FALSE)*52</f>
        <v>52</v>
      </c>
      <c r="Y246" s="211">
        <f>ROUND(X246*MasterData!$C$7,2)</f>
        <v>3138.72</v>
      </c>
      <c r="Z246" s="212">
        <f>VLOOKUP($A246,MasterData!$N$62:$X$111,11,FALSE)*52</f>
        <v>156</v>
      </c>
      <c r="AA246" s="211">
        <f>ROUND(Z246*MasterData!$D$7,2)</f>
        <v>6605.04</v>
      </c>
      <c r="AB246" s="215">
        <f t="shared" si="35"/>
        <v>9743.76</v>
      </c>
      <c r="AC246" s="216">
        <f>MasterData!$M$28</f>
        <v>15472.178595890411</v>
      </c>
      <c r="AD246" s="211">
        <f>MasterData!$D$30</f>
        <v>992.8</v>
      </c>
      <c r="AE246" s="211">
        <f>MasterData!$E$30</f>
        <v>2876.2</v>
      </c>
      <c r="AF246" s="211">
        <f>MasterData!$F$30</f>
        <v>0</v>
      </c>
      <c r="AG246" s="215">
        <f t="shared" si="28"/>
        <v>836747.82859589055</v>
      </c>
      <c r="AH246" s="211">
        <f>ROUND(AG246*MasterData!$G$29,2)</f>
        <v>100409.74</v>
      </c>
      <c r="AI246" s="200">
        <f>((AG246+AH246)*MasterData!$I$29)-'Model Calculator'!W246*MasterData!$I$29</f>
        <v>2305.0052790068512</v>
      </c>
      <c r="AJ246" s="201">
        <f t="shared" si="29"/>
        <v>941905.83387489745</v>
      </c>
      <c r="AK246" s="201">
        <f t="shared" si="31"/>
        <v>2714.43</v>
      </c>
    </row>
    <row r="247" spans="1:37" hidden="1">
      <c r="A247" s="197" t="s">
        <v>108</v>
      </c>
      <c r="B247" s="197" t="str">
        <f t="shared" si="32"/>
        <v>M213.52</v>
      </c>
      <c r="C247" s="197" t="s">
        <v>156</v>
      </c>
      <c r="D247" s="226" t="s">
        <v>301</v>
      </c>
      <c r="E247" s="213">
        <f>VLOOKUP($A247,MasterData!$N$62:$X$111,2,FALSE)</f>
        <v>0.18</v>
      </c>
      <c r="F247" s="214">
        <f>ROUND(E247*MasterData!$C$4,2)</f>
        <v>9297.2999999999993</v>
      </c>
      <c r="G247" s="212">
        <f>VLOOKUP($A247,MasterData!$N$62:$X$111,3,FALSE)</f>
        <v>0.66</v>
      </c>
      <c r="H247" s="214">
        <f>ROUND(G247*MasterData!$D$4,2)</f>
        <v>27401.09</v>
      </c>
      <c r="I247" s="212">
        <f t="shared" si="33"/>
        <v>13.5</v>
      </c>
      <c r="J247" s="212">
        <f>VLOOKUP($A247,MasterData!$N$62:$X$111,4,FALSE)</f>
        <v>12.1</v>
      </c>
      <c r="K247" s="214">
        <f>ROUND(J247*MasterData!$D$26,2)</f>
        <v>518381.42</v>
      </c>
      <c r="L247" s="212">
        <f>VLOOKUP($A247,MasterData!$N$62:$X$111,5,FALSE)</f>
        <v>1.4</v>
      </c>
      <c r="M247" s="211">
        <f>ROUND(L247*MasterData!$F$4,2)</f>
        <v>41496</v>
      </c>
      <c r="N247" s="212">
        <f>VLOOKUP($A247,MasterData!$N$62:$X$111,6,FALSE)</f>
        <v>2.08</v>
      </c>
      <c r="O247" s="211">
        <f>ROUND(N247*MasterData!$E$26,2)</f>
        <v>77793.2</v>
      </c>
      <c r="P247" s="212">
        <f>VLOOKUP($A247,MasterData!$N$62:$X$111,7,FALSE)</f>
        <v>0.22</v>
      </c>
      <c r="Q247" s="214">
        <f>ROUND(P247*MasterData!$H$4,2)</f>
        <v>6520.8</v>
      </c>
      <c r="R247" s="212">
        <f>VLOOKUP($A247,MasterData!$N$62:$X$111,8,FALSE)</f>
        <v>0.12</v>
      </c>
      <c r="S247" s="211">
        <f>ROUND(R247*MasterData!$I$4,2)</f>
        <v>3863.81</v>
      </c>
      <c r="T247" s="215">
        <f t="shared" si="34"/>
        <v>684753.62</v>
      </c>
      <c r="U247" s="211">
        <f>ROUND(T247*MasterData!$C$29,2)</f>
        <v>152768.53</v>
      </c>
      <c r="V247" s="211">
        <f>ROUND(T247*MasterData!$J$29,2)</f>
        <v>2533.59</v>
      </c>
      <c r="W247" s="201">
        <f t="shared" si="30"/>
        <v>837522.15</v>
      </c>
      <c r="X247" s="212">
        <f>VLOOKUP($A247,MasterData!$N$62:$X$111,10,FALSE)*52</f>
        <v>52</v>
      </c>
      <c r="Y247" s="211">
        <f>ROUND(X247*MasterData!$C$7,2)</f>
        <v>3138.72</v>
      </c>
      <c r="Z247" s="212">
        <f>VLOOKUP($A247,MasterData!$N$62:$X$111,11,FALSE)*52</f>
        <v>156</v>
      </c>
      <c r="AA247" s="211">
        <f>ROUND(Z247*MasterData!$D$7,2)</f>
        <v>6605.04</v>
      </c>
      <c r="AB247" s="215">
        <f t="shared" si="35"/>
        <v>9743.76</v>
      </c>
      <c r="AC247" s="216">
        <f>MasterData!$M$28</f>
        <v>15472.178595890411</v>
      </c>
      <c r="AD247" s="211">
        <f>MasterData!$D$30</f>
        <v>992.8</v>
      </c>
      <c r="AE247" s="211">
        <f>MasterData!$E$30</f>
        <v>2876.2</v>
      </c>
      <c r="AF247" s="211">
        <f>MasterData!$F$30</f>
        <v>0</v>
      </c>
      <c r="AG247" s="215">
        <f t="shared" si="28"/>
        <v>866607.08859589044</v>
      </c>
      <c r="AH247" s="211">
        <f>ROUND(AG247*MasterData!$G$29,2)</f>
        <v>103992.85</v>
      </c>
      <c r="AI247" s="200">
        <f>((AG247+AH247)*MasterData!$I$29)-'Model Calculator'!W247*MasterData!$I$29</f>
        <v>2368.7846370068473</v>
      </c>
      <c r="AJ247" s="201">
        <f t="shared" si="29"/>
        <v>975502.3132328972</v>
      </c>
      <c r="AK247" s="201">
        <f t="shared" si="31"/>
        <v>2811.25</v>
      </c>
    </row>
    <row r="248" spans="1:37" hidden="1">
      <c r="A248" s="197" t="s">
        <v>109</v>
      </c>
      <c r="B248" s="197" t="str">
        <f t="shared" si="32"/>
        <v>M214.02</v>
      </c>
      <c r="C248" s="197" t="s">
        <v>157</v>
      </c>
      <c r="D248" s="226" t="s">
        <v>301</v>
      </c>
      <c r="E248" s="213">
        <f>VLOOKUP($A248,MasterData!$N$62:$X$111,2,FALSE)</f>
        <v>0.18</v>
      </c>
      <c r="F248" s="214">
        <f>ROUND(E248*MasterData!$C$4,2)</f>
        <v>9297.2999999999993</v>
      </c>
      <c r="G248" s="212">
        <f>VLOOKUP($A248,MasterData!$N$62:$X$111,3,FALSE)</f>
        <v>0.66</v>
      </c>
      <c r="H248" s="214">
        <f>ROUND(G248*MasterData!$D$4,2)</f>
        <v>27401.09</v>
      </c>
      <c r="I248" s="212">
        <f t="shared" si="33"/>
        <v>14</v>
      </c>
      <c r="J248" s="212">
        <f>VLOOKUP($A248,MasterData!$N$62:$X$111,4,FALSE)</f>
        <v>12.6</v>
      </c>
      <c r="K248" s="214">
        <f>ROUND(J248*MasterData!$D$26,2)</f>
        <v>539802.14</v>
      </c>
      <c r="L248" s="212">
        <f>VLOOKUP($A248,MasterData!$N$62:$X$111,5,FALSE)</f>
        <v>1.4</v>
      </c>
      <c r="M248" s="211">
        <f>ROUND(L248*MasterData!$F$4,2)</f>
        <v>41496</v>
      </c>
      <c r="N248" s="212">
        <f>VLOOKUP($A248,MasterData!$N$62:$X$111,6,FALSE)</f>
        <v>2.16</v>
      </c>
      <c r="O248" s="211">
        <f>ROUND(N248*MasterData!$E$26,2)</f>
        <v>80785.25</v>
      </c>
      <c r="P248" s="212">
        <f>VLOOKUP($A248,MasterData!$N$62:$X$111,7,FALSE)</f>
        <v>0.22</v>
      </c>
      <c r="Q248" s="214">
        <f>ROUND(P248*MasterData!$H$4,2)</f>
        <v>6520.8</v>
      </c>
      <c r="R248" s="212">
        <f>VLOOKUP($A248,MasterData!$N$62:$X$111,8,FALSE)</f>
        <v>0.12</v>
      </c>
      <c r="S248" s="211">
        <f>ROUND(R248*MasterData!$I$4,2)</f>
        <v>3863.81</v>
      </c>
      <c r="T248" s="215">
        <f t="shared" si="34"/>
        <v>709166.39000000013</v>
      </c>
      <c r="U248" s="211">
        <f>ROUND(T248*MasterData!$C$29,2)</f>
        <v>158215.01999999999</v>
      </c>
      <c r="V248" s="211">
        <f>ROUND(T248*MasterData!$J$29,2)</f>
        <v>2623.92</v>
      </c>
      <c r="W248" s="201">
        <f t="shared" si="30"/>
        <v>867381.41000000015</v>
      </c>
      <c r="X248" s="212">
        <f>VLOOKUP($A248,MasterData!$N$62:$X$111,10,FALSE)*52</f>
        <v>52</v>
      </c>
      <c r="Y248" s="211">
        <f>ROUND(X248*MasterData!$C$7,2)</f>
        <v>3138.72</v>
      </c>
      <c r="Z248" s="212">
        <f>VLOOKUP($A248,MasterData!$N$62:$X$111,11,FALSE)*52</f>
        <v>156</v>
      </c>
      <c r="AA248" s="211">
        <f>ROUND(Z248*MasterData!$D$7,2)</f>
        <v>6605.04</v>
      </c>
      <c r="AB248" s="215">
        <f t="shared" si="35"/>
        <v>9743.76</v>
      </c>
      <c r="AC248" s="216">
        <f>MasterData!$M$28</f>
        <v>15472.178595890411</v>
      </c>
      <c r="AD248" s="211">
        <f>MasterData!$D$30</f>
        <v>992.8</v>
      </c>
      <c r="AE248" s="211">
        <f>MasterData!$E$30</f>
        <v>2876.2</v>
      </c>
      <c r="AF248" s="211">
        <f>MasterData!$F$30</f>
        <v>0</v>
      </c>
      <c r="AG248" s="215">
        <f t="shared" si="28"/>
        <v>896466.34859589057</v>
      </c>
      <c r="AH248" s="211">
        <f>ROUND(AG248*MasterData!$G$29,2)</f>
        <v>107575.96</v>
      </c>
      <c r="AI248" s="200">
        <f>((AG248+AH248)*MasterData!$I$29)-'Model Calculator'!W248*MasterData!$I$29</f>
        <v>2432.5639950068471</v>
      </c>
      <c r="AJ248" s="201">
        <f t="shared" si="29"/>
        <v>1009098.7925908974</v>
      </c>
      <c r="AK248" s="201">
        <f t="shared" si="31"/>
        <v>2908.07</v>
      </c>
    </row>
    <row r="249" spans="1:37" hidden="1">
      <c r="A249" s="197" t="s">
        <v>110</v>
      </c>
      <c r="B249" s="197" t="str">
        <f t="shared" si="32"/>
        <v>M214.52</v>
      </c>
      <c r="C249" s="197" t="s">
        <v>158</v>
      </c>
      <c r="D249" s="226" t="s">
        <v>301</v>
      </c>
      <c r="E249" s="213">
        <f>VLOOKUP($A249,MasterData!$N$62:$X$111,2,FALSE)</f>
        <v>0.18</v>
      </c>
      <c r="F249" s="214">
        <f>ROUND(E249*MasterData!$C$4,2)</f>
        <v>9297.2999999999993</v>
      </c>
      <c r="G249" s="212">
        <f>VLOOKUP($A249,MasterData!$N$62:$X$111,3,FALSE)</f>
        <v>0.66</v>
      </c>
      <c r="H249" s="214">
        <f>ROUND(G249*MasterData!$D$4,2)</f>
        <v>27401.09</v>
      </c>
      <c r="I249" s="212">
        <f t="shared" si="33"/>
        <v>14.5</v>
      </c>
      <c r="J249" s="212">
        <f>VLOOKUP($A249,MasterData!$N$62:$X$111,4,FALSE)</f>
        <v>13.1</v>
      </c>
      <c r="K249" s="214">
        <f>ROUND(J249*MasterData!$D$26,2)</f>
        <v>561222.86</v>
      </c>
      <c r="L249" s="212">
        <f>VLOOKUP($A249,MasterData!$N$62:$X$111,5,FALSE)</f>
        <v>1.4</v>
      </c>
      <c r="M249" s="211">
        <f>ROUND(L249*MasterData!$F$4,2)</f>
        <v>41496</v>
      </c>
      <c r="N249" s="212">
        <f>VLOOKUP($A249,MasterData!$N$62:$X$111,6,FALSE)</f>
        <v>2.23</v>
      </c>
      <c r="O249" s="211">
        <f>ROUND(N249*MasterData!$E$26,2)</f>
        <v>83403.289999999994</v>
      </c>
      <c r="P249" s="212">
        <f>VLOOKUP($A249,MasterData!$N$62:$X$111,7,FALSE)</f>
        <v>0.22</v>
      </c>
      <c r="Q249" s="214">
        <f>ROUND(P249*MasterData!$H$4,2)</f>
        <v>6520.8</v>
      </c>
      <c r="R249" s="212">
        <f>VLOOKUP($A249,MasterData!$N$62:$X$111,8,FALSE)</f>
        <v>0.12</v>
      </c>
      <c r="S249" s="211">
        <f>ROUND(R249*MasterData!$I$4,2)</f>
        <v>3863.81</v>
      </c>
      <c r="T249" s="215">
        <f t="shared" si="34"/>
        <v>733205.15000000014</v>
      </c>
      <c r="U249" s="211">
        <f>ROUND(T249*MasterData!$C$29,2)</f>
        <v>163578.07</v>
      </c>
      <c r="V249" s="211">
        <f>ROUND(T249*MasterData!$J$29,2)</f>
        <v>2712.86</v>
      </c>
      <c r="W249" s="201">
        <f t="shared" si="30"/>
        <v>896783.2200000002</v>
      </c>
      <c r="X249" s="212">
        <f>VLOOKUP($A249,MasterData!$N$62:$X$111,10,FALSE)*52</f>
        <v>52</v>
      </c>
      <c r="Y249" s="211">
        <f>ROUND(X249*MasterData!$C$7,2)</f>
        <v>3138.72</v>
      </c>
      <c r="Z249" s="212">
        <f>VLOOKUP($A249,MasterData!$N$62:$X$111,11,FALSE)*52</f>
        <v>156</v>
      </c>
      <c r="AA249" s="211">
        <f>ROUND(Z249*MasterData!$D$7,2)</f>
        <v>6605.04</v>
      </c>
      <c r="AB249" s="215">
        <f t="shared" si="35"/>
        <v>9743.76</v>
      </c>
      <c r="AC249" s="216">
        <f>MasterData!$M$28</f>
        <v>15472.178595890411</v>
      </c>
      <c r="AD249" s="211">
        <f>MasterData!$D$30</f>
        <v>992.8</v>
      </c>
      <c r="AE249" s="211">
        <f>MasterData!$E$30</f>
        <v>2876.2</v>
      </c>
      <c r="AF249" s="211">
        <f>MasterData!$F$30</f>
        <v>0</v>
      </c>
      <c r="AG249" s="215">
        <f t="shared" si="28"/>
        <v>925868.15859589062</v>
      </c>
      <c r="AH249" s="211">
        <f>ROUND(AG249*MasterData!$G$29,2)</f>
        <v>111104.18</v>
      </c>
      <c r="AI249" s="200">
        <f>((AG249+AH249)*MasterData!$I$29)-'Model Calculator'!W249*MasterData!$I$29</f>
        <v>2495.3663110068519</v>
      </c>
      <c r="AJ249" s="201">
        <f t="shared" si="29"/>
        <v>1042180.5649068975</v>
      </c>
      <c r="AK249" s="201">
        <f t="shared" si="31"/>
        <v>3003.4</v>
      </c>
    </row>
    <row r="250" spans="1:37" hidden="1">
      <c r="A250" s="197" t="s">
        <v>111</v>
      </c>
      <c r="B250" s="197" t="str">
        <f t="shared" si="32"/>
        <v>M215.02</v>
      </c>
      <c r="C250" s="197" t="s">
        <v>159</v>
      </c>
      <c r="D250" s="226" t="s">
        <v>301</v>
      </c>
      <c r="E250" s="213">
        <f>VLOOKUP($A250,MasterData!$N$62:$X$111,2,FALSE)</f>
        <v>0.18</v>
      </c>
      <c r="F250" s="214">
        <f>ROUND(E250*MasterData!$C$4,2)</f>
        <v>9297.2999999999993</v>
      </c>
      <c r="G250" s="212">
        <f>VLOOKUP($A250,MasterData!$N$62:$X$111,3,FALSE)</f>
        <v>0.66</v>
      </c>
      <c r="H250" s="214">
        <f>ROUND(G250*MasterData!$D$4,2)</f>
        <v>27401.09</v>
      </c>
      <c r="I250" s="212">
        <f t="shared" si="33"/>
        <v>15</v>
      </c>
      <c r="J250" s="212">
        <f>VLOOKUP($A250,MasterData!$N$62:$X$111,4,FALSE)</f>
        <v>13.6</v>
      </c>
      <c r="K250" s="214">
        <f>ROUND(J250*MasterData!$D$26,2)</f>
        <v>582643.57999999996</v>
      </c>
      <c r="L250" s="212">
        <f>VLOOKUP($A250,MasterData!$N$62:$X$111,5,FALSE)</f>
        <v>1.4</v>
      </c>
      <c r="M250" s="211">
        <f>ROUND(L250*MasterData!$F$4,2)</f>
        <v>41496</v>
      </c>
      <c r="N250" s="212">
        <f>VLOOKUP($A250,MasterData!$N$62:$X$111,6,FALSE)</f>
        <v>2.31</v>
      </c>
      <c r="O250" s="211">
        <f>ROUND(N250*MasterData!$E$26,2)</f>
        <v>86395.33</v>
      </c>
      <c r="P250" s="212">
        <f>VLOOKUP($A250,MasterData!$N$62:$X$111,7,FALSE)</f>
        <v>0.22</v>
      </c>
      <c r="Q250" s="214">
        <f>ROUND(P250*MasterData!$H$4,2)</f>
        <v>6520.8</v>
      </c>
      <c r="R250" s="212">
        <f>VLOOKUP($A250,MasterData!$N$62:$X$111,8,FALSE)</f>
        <v>0.12</v>
      </c>
      <c r="S250" s="211">
        <f>ROUND(R250*MasterData!$I$4,2)</f>
        <v>3863.81</v>
      </c>
      <c r="T250" s="215">
        <f t="shared" si="34"/>
        <v>757617.91</v>
      </c>
      <c r="U250" s="211">
        <f>ROUND(T250*MasterData!$C$29,2)</f>
        <v>169024.56</v>
      </c>
      <c r="V250" s="211">
        <f>ROUND(T250*MasterData!$J$29,2)</f>
        <v>2803.19</v>
      </c>
      <c r="W250" s="201">
        <f t="shared" si="30"/>
        <v>926642.47</v>
      </c>
      <c r="X250" s="212">
        <f>VLOOKUP($A250,MasterData!$N$62:$X$111,10,FALSE)*52</f>
        <v>52</v>
      </c>
      <c r="Y250" s="211">
        <f>ROUND(X250*MasterData!$C$7,2)</f>
        <v>3138.72</v>
      </c>
      <c r="Z250" s="212">
        <f>VLOOKUP($A250,MasterData!$N$62:$X$111,11,FALSE)*52</f>
        <v>156</v>
      </c>
      <c r="AA250" s="211">
        <f>ROUND(Z250*MasterData!$D$7,2)</f>
        <v>6605.04</v>
      </c>
      <c r="AB250" s="215">
        <f t="shared" si="35"/>
        <v>9743.76</v>
      </c>
      <c r="AC250" s="216">
        <f>MasterData!$M$28</f>
        <v>15472.178595890411</v>
      </c>
      <c r="AD250" s="211">
        <f>MasterData!$D$30</f>
        <v>992.8</v>
      </c>
      <c r="AE250" s="211">
        <f>MasterData!$E$30</f>
        <v>2876.2</v>
      </c>
      <c r="AF250" s="211">
        <f>MasterData!$F$30</f>
        <v>0</v>
      </c>
      <c r="AG250" s="215">
        <f t="shared" si="28"/>
        <v>955727.40859589039</v>
      </c>
      <c r="AH250" s="211">
        <f>ROUND(AG250*MasterData!$G$29,2)</f>
        <v>114687.29</v>
      </c>
      <c r="AI250" s="200">
        <f>((AG250+AH250)*MasterData!$I$29)-'Model Calculator'!W250*MasterData!$I$29</f>
        <v>2559.145669006848</v>
      </c>
      <c r="AJ250" s="201">
        <f t="shared" si="29"/>
        <v>1075777.034264897</v>
      </c>
      <c r="AK250" s="201">
        <f t="shared" si="31"/>
        <v>3100.22</v>
      </c>
    </row>
    <row r="251" spans="1:37" hidden="1">
      <c r="A251" s="197" t="s">
        <v>112</v>
      </c>
      <c r="B251" s="197" t="str">
        <f t="shared" si="32"/>
        <v>M215.52</v>
      </c>
      <c r="C251" s="197" t="s">
        <v>160</v>
      </c>
      <c r="D251" s="226" t="s">
        <v>301</v>
      </c>
      <c r="E251" s="213">
        <f>VLOOKUP($A251,MasterData!$N$62:$X$111,2,FALSE)</f>
        <v>0.18</v>
      </c>
      <c r="F251" s="214">
        <f>ROUND(E251*MasterData!$C$4,2)</f>
        <v>9297.2999999999993</v>
      </c>
      <c r="G251" s="212">
        <f>VLOOKUP($A251,MasterData!$N$62:$X$111,3,FALSE)</f>
        <v>0.66</v>
      </c>
      <c r="H251" s="214">
        <f>ROUND(G251*MasterData!$D$4,2)</f>
        <v>27401.09</v>
      </c>
      <c r="I251" s="212">
        <f t="shared" si="33"/>
        <v>15.5</v>
      </c>
      <c r="J251" s="212">
        <f>VLOOKUP($A251,MasterData!$N$62:$X$111,4,FALSE)</f>
        <v>14.1</v>
      </c>
      <c r="K251" s="214">
        <f>ROUND(J251*MasterData!$D$26,2)</f>
        <v>604064.30000000005</v>
      </c>
      <c r="L251" s="212">
        <f>VLOOKUP($A251,MasterData!$N$62:$X$111,5,FALSE)</f>
        <v>1.4</v>
      </c>
      <c r="M251" s="211">
        <f>ROUND(L251*MasterData!$F$4,2)</f>
        <v>41496</v>
      </c>
      <c r="N251" s="212">
        <f>VLOOKUP($A251,MasterData!$N$62:$X$111,6,FALSE)</f>
        <v>2.39</v>
      </c>
      <c r="O251" s="211">
        <f>ROUND(N251*MasterData!$E$26,2)</f>
        <v>89387.38</v>
      </c>
      <c r="P251" s="212">
        <f>VLOOKUP($A251,MasterData!$N$62:$X$111,7,FALSE)</f>
        <v>0.22</v>
      </c>
      <c r="Q251" s="214">
        <f>ROUND(P251*MasterData!$H$4,2)</f>
        <v>6520.8</v>
      </c>
      <c r="R251" s="212">
        <f>VLOOKUP($A251,MasterData!$N$62:$X$111,8,FALSE)</f>
        <v>0.12</v>
      </c>
      <c r="S251" s="211">
        <f>ROUND(R251*MasterData!$I$4,2)</f>
        <v>3863.81</v>
      </c>
      <c r="T251" s="215">
        <f t="shared" si="34"/>
        <v>782030.68000000017</v>
      </c>
      <c r="U251" s="211">
        <f>ROUND(T251*MasterData!$C$29,2)</f>
        <v>174471.04000000001</v>
      </c>
      <c r="V251" s="211">
        <f>ROUND(T251*MasterData!$J$29,2)</f>
        <v>2893.51</v>
      </c>
      <c r="W251" s="201">
        <f t="shared" si="30"/>
        <v>956501.7200000002</v>
      </c>
      <c r="X251" s="212">
        <f>VLOOKUP($A251,MasterData!$N$62:$X$111,10,FALSE)*52</f>
        <v>52</v>
      </c>
      <c r="Y251" s="211">
        <f>ROUND(X251*MasterData!$C$7,2)</f>
        <v>3138.72</v>
      </c>
      <c r="Z251" s="212">
        <f>VLOOKUP($A251,MasterData!$N$62:$X$111,11,FALSE)*52</f>
        <v>156</v>
      </c>
      <c r="AA251" s="211">
        <f>ROUND(Z251*MasterData!$D$7,2)</f>
        <v>6605.04</v>
      </c>
      <c r="AB251" s="215">
        <f t="shared" si="35"/>
        <v>9743.76</v>
      </c>
      <c r="AC251" s="216">
        <f>MasterData!$M$28</f>
        <v>15472.178595890411</v>
      </c>
      <c r="AD251" s="211">
        <f>MasterData!$D$30</f>
        <v>992.8</v>
      </c>
      <c r="AE251" s="211">
        <f>MasterData!$E$30</f>
        <v>2876.2</v>
      </c>
      <c r="AF251" s="211">
        <f>MasterData!$F$30</f>
        <v>0</v>
      </c>
      <c r="AG251" s="215">
        <f t="shared" si="28"/>
        <v>985586.65859589062</v>
      </c>
      <c r="AH251" s="211">
        <f>ROUND(AG251*MasterData!$G$29,2)</f>
        <v>118270.39999999999</v>
      </c>
      <c r="AI251" s="200">
        <f>((AG251+AH251)*MasterData!$I$29)-'Model Calculator'!W251*MasterData!$I$29</f>
        <v>2622.9250270068478</v>
      </c>
      <c r="AJ251" s="201">
        <f t="shared" si="29"/>
        <v>1109373.4936228974</v>
      </c>
      <c r="AK251" s="201">
        <f t="shared" si="31"/>
        <v>3197.04</v>
      </c>
    </row>
    <row r="252" spans="1:37">
      <c r="A252" s="197" t="s">
        <v>89</v>
      </c>
      <c r="B252" s="197" t="str">
        <f t="shared" si="32"/>
        <v>M203.53</v>
      </c>
      <c r="C252" s="197" t="s">
        <v>161</v>
      </c>
      <c r="D252" s="226" t="s">
        <v>301</v>
      </c>
      <c r="E252" s="213">
        <f>VLOOKUP($A252,MasterData!$N$62:$X$111,2,FALSE)</f>
        <v>0.18</v>
      </c>
      <c r="F252" s="214">
        <f>ROUND(E252*MasterData!$C$4,2)</f>
        <v>9297.2999999999993</v>
      </c>
      <c r="G252" s="212">
        <f>VLOOKUP($A252,MasterData!$N$62:$X$111,3,FALSE)</f>
        <v>0.66</v>
      </c>
      <c r="H252" s="214">
        <f>ROUND(G252*MasterData!$D$4,2)</f>
        <v>27401.09</v>
      </c>
      <c r="I252" s="212">
        <f t="shared" si="33"/>
        <v>3.5</v>
      </c>
      <c r="J252" s="212">
        <f>VLOOKUP($A252,MasterData!$N$62:$X$111,4,FALSE)</f>
        <v>2.1</v>
      </c>
      <c r="K252" s="214">
        <f>ROUND(J252*MasterData!$F$26,2)</f>
        <v>98551.35</v>
      </c>
      <c r="L252" s="212">
        <f>VLOOKUP($A252,MasterData!$N$62:$X$111,5,FALSE)</f>
        <v>1.4</v>
      </c>
      <c r="M252" s="211">
        <f>ROUND(L252*MasterData!$F$4,2)</f>
        <v>41496</v>
      </c>
      <c r="N252" s="212">
        <f>VLOOKUP($A252,MasterData!$N$62:$X$111,6,FALSE)</f>
        <v>0.54</v>
      </c>
      <c r="O252" s="211">
        <f>ROUND(N252*MasterData!$G$26,2)</f>
        <v>22123.37</v>
      </c>
      <c r="P252" s="212">
        <f>VLOOKUP($A252,MasterData!$N$62:$X$111,7,FALSE)</f>
        <v>0.22</v>
      </c>
      <c r="Q252" s="214">
        <f>ROUND(P252*MasterData!$H$4,2)</f>
        <v>6520.8</v>
      </c>
      <c r="R252" s="212">
        <f>VLOOKUP($A252,MasterData!$N$62:$X$111,8,FALSE)</f>
        <v>0.12</v>
      </c>
      <c r="S252" s="211">
        <f>ROUND(R252*MasterData!$I$4,2)</f>
        <v>3863.81</v>
      </c>
      <c r="T252" s="215">
        <f t="shared" si="34"/>
        <v>209253.71999999997</v>
      </c>
      <c r="U252" s="211">
        <f>ROUND(T252*MasterData!$C$29,2)</f>
        <v>46684.5</v>
      </c>
      <c r="V252" s="211">
        <f>ROUND(T252*MasterData!$J$29,2)</f>
        <v>774.24</v>
      </c>
      <c r="W252" s="201">
        <f t="shared" si="30"/>
        <v>255938.21999999997</v>
      </c>
      <c r="X252" s="212">
        <f>VLOOKUP($A252,MasterData!$N$62:$X$111,10,FALSE)*52</f>
        <v>52</v>
      </c>
      <c r="Y252" s="211">
        <f>ROUND(X252*MasterData!$C$7,2)</f>
        <v>3138.72</v>
      </c>
      <c r="Z252" s="212">
        <f>VLOOKUP($A252,MasterData!$N$62:$X$111,11,FALSE)*52</f>
        <v>156</v>
      </c>
      <c r="AA252" s="211">
        <f>ROUND(Z252*MasterData!$D$7,2)</f>
        <v>6605.04</v>
      </c>
      <c r="AB252" s="215">
        <f t="shared" si="35"/>
        <v>9743.76</v>
      </c>
      <c r="AC252" s="216">
        <f>MasterData!$M$28</f>
        <v>15472.178595890411</v>
      </c>
      <c r="AD252" s="211">
        <f>MasterData!$D$30</f>
        <v>992.8</v>
      </c>
      <c r="AE252" s="211">
        <f>MasterData!$E$30</f>
        <v>2876.2</v>
      </c>
      <c r="AF252" s="211">
        <f>MasterData!$F$30</f>
        <v>0</v>
      </c>
      <c r="AG252" s="215">
        <f t="shared" si="28"/>
        <v>285023.15859589039</v>
      </c>
      <c r="AH252" s="211">
        <f>ROUND(AG252*MasterData!$G$29,2)</f>
        <v>34202.78</v>
      </c>
      <c r="AI252" s="200">
        <f>((AG252+AH252)*MasterData!$I$29)-'Model Calculator'!W252*MasterData!$I$29</f>
        <v>1126.5213910068496</v>
      </c>
      <c r="AJ252" s="201">
        <f t="shared" si="29"/>
        <v>321126.69998689723</v>
      </c>
      <c r="AK252" s="201">
        <f t="shared" si="31"/>
        <v>925.44</v>
      </c>
    </row>
    <row r="253" spans="1:37">
      <c r="A253" s="197" t="s">
        <v>90</v>
      </c>
      <c r="B253" s="197" t="str">
        <f t="shared" si="32"/>
        <v>M204.03</v>
      </c>
      <c r="C253" s="197" t="s">
        <v>162</v>
      </c>
      <c r="D253" s="226" t="s">
        <v>301</v>
      </c>
      <c r="E253" s="213">
        <f>VLOOKUP($A253,MasterData!$N$62:$X$111,2,FALSE)</f>
        <v>0.18</v>
      </c>
      <c r="F253" s="214">
        <f>ROUND(E253*MasterData!$C$4,2)</f>
        <v>9297.2999999999993</v>
      </c>
      <c r="G253" s="212">
        <f>VLOOKUP($A253,MasterData!$N$62:$X$111,3,FALSE)</f>
        <v>0.66</v>
      </c>
      <c r="H253" s="214">
        <f>ROUND(G253*MasterData!$D$4,2)</f>
        <v>27401.09</v>
      </c>
      <c r="I253" s="212">
        <f t="shared" si="33"/>
        <v>4</v>
      </c>
      <c r="J253" s="212">
        <f>VLOOKUP($A253,MasterData!$N$62:$X$111,4,FALSE)</f>
        <v>2.6</v>
      </c>
      <c r="K253" s="214">
        <f>ROUND(J253*MasterData!$F$26,2)</f>
        <v>122015.96</v>
      </c>
      <c r="L253" s="212">
        <f>VLOOKUP($A253,MasterData!$N$62:$X$111,5,FALSE)</f>
        <v>1.4</v>
      </c>
      <c r="M253" s="211">
        <f>ROUND(L253*MasterData!$F$4,2)</f>
        <v>41496</v>
      </c>
      <c r="N253" s="212">
        <f>VLOOKUP($A253,MasterData!$N$62:$X$111,6,FALSE)</f>
        <v>0.62</v>
      </c>
      <c r="O253" s="211">
        <f>ROUND(N253*MasterData!$G$26,2)</f>
        <v>25400.91</v>
      </c>
      <c r="P253" s="212">
        <f>VLOOKUP($A253,MasterData!$N$62:$X$111,7,FALSE)</f>
        <v>0.22</v>
      </c>
      <c r="Q253" s="214">
        <f>ROUND(P253*MasterData!$H$4,2)</f>
        <v>6520.8</v>
      </c>
      <c r="R253" s="212">
        <f>VLOOKUP($A253,MasterData!$N$62:$X$111,8,FALSE)</f>
        <v>0.12</v>
      </c>
      <c r="S253" s="211">
        <f>ROUND(R253*MasterData!$I$4,2)</f>
        <v>3863.81</v>
      </c>
      <c r="T253" s="215">
        <f t="shared" si="34"/>
        <v>235995.87</v>
      </c>
      <c r="U253" s="211">
        <f>ROUND(T253*MasterData!$C$29,2)</f>
        <v>52650.68</v>
      </c>
      <c r="V253" s="211">
        <f>ROUND(T253*MasterData!$J$29,2)</f>
        <v>873.18</v>
      </c>
      <c r="W253" s="201">
        <f t="shared" si="30"/>
        <v>288646.55</v>
      </c>
      <c r="X253" s="212">
        <f>VLOOKUP($A253,MasterData!$N$62:$X$111,10,FALSE)*52</f>
        <v>52</v>
      </c>
      <c r="Y253" s="211">
        <f>ROUND(X253*MasterData!$C$7,2)</f>
        <v>3138.72</v>
      </c>
      <c r="Z253" s="212">
        <f>VLOOKUP($A253,MasterData!$N$62:$X$111,11,FALSE)*52</f>
        <v>156</v>
      </c>
      <c r="AA253" s="211">
        <f>ROUND(Z253*MasterData!$D$7,2)</f>
        <v>6605.04</v>
      </c>
      <c r="AB253" s="215">
        <f t="shared" si="35"/>
        <v>9743.76</v>
      </c>
      <c r="AC253" s="216">
        <f>MasterData!$M$28</f>
        <v>15472.178595890411</v>
      </c>
      <c r="AD253" s="211">
        <f>MasterData!$D$30</f>
        <v>992.8</v>
      </c>
      <c r="AE253" s="211">
        <f>MasterData!$E$30</f>
        <v>2876.2</v>
      </c>
      <c r="AF253" s="211">
        <f>MasterData!$F$30</f>
        <v>0</v>
      </c>
      <c r="AG253" s="215">
        <f t="shared" si="28"/>
        <v>317731.48859589041</v>
      </c>
      <c r="AH253" s="211">
        <f>ROUND(AG253*MasterData!$G$29,2)</f>
        <v>38127.78</v>
      </c>
      <c r="AI253" s="200">
        <f>((AG253+AH253)*MasterData!$I$29)-'Model Calculator'!W253*MasterData!$I$29</f>
        <v>1196.3863910068485</v>
      </c>
      <c r="AJ253" s="201">
        <f t="shared" si="29"/>
        <v>357928.83498689724</v>
      </c>
      <c r="AK253" s="201">
        <f t="shared" si="31"/>
        <v>1031.5</v>
      </c>
    </row>
    <row r="254" spans="1:37">
      <c r="A254" s="197" t="s">
        <v>91</v>
      </c>
      <c r="B254" s="197" t="str">
        <f t="shared" si="32"/>
        <v>M204.53</v>
      </c>
      <c r="C254" s="197" t="s">
        <v>163</v>
      </c>
      <c r="D254" s="226" t="s">
        <v>301</v>
      </c>
      <c r="E254" s="213">
        <f>VLOOKUP($A254,MasterData!$N$62:$X$111,2,FALSE)</f>
        <v>0.18</v>
      </c>
      <c r="F254" s="214">
        <f>ROUND(E254*MasterData!$C$4,2)</f>
        <v>9297.2999999999993</v>
      </c>
      <c r="G254" s="212">
        <f>VLOOKUP($A254,MasterData!$N$62:$X$111,3,FALSE)</f>
        <v>0.66</v>
      </c>
      <c r="H254" s="214">
        <f>ROUND(G254*MasterData!$D$4,2)</f>
        <v>27401.09</v>
      </c>
      <c r="I254" s="212">
        <f t="shared" si="33"/>
        <v>4.5</v>
      </c>
      <c r="J254" s="212">
        <f>VLOOKUP($A254,MasterData!$N$62:$X$111,4,FALSE)</f>
        <v>3.1</v>
      </c>
      <c r="K254" s="214">
        <f>ROUND(J254*MasterData!$F$26,2)</f>
        <v>145480.57</v>
      </c>
      <c r="L254" s="212">
        <f>VLOOKUP($A254,MasterData!$N$62:$X$111,5,FALSE)</f>
        <v>1.4</v>
      </c>
      <c r="M254" s="211">
        <f>ROUND(L254*MasterData!$F$4,2)</f>
        <v>41496</v>
      </c>
      <c r="N254" s="212">
        <f>VLOOKUP($A254,MasterData!$N$62:$X$111,6,FALSE)</f>
        <v>0.69</v>
      </c>
      <c r="O254" s="211">
        <f>ROUND(N254*MasterData!$G$26,2)</f>
        <v>28268.75</v>
      </c>
      <c r="P254" s="212">
        <f>VLOOKUP($A254,MasterData!$N$62:$X$111,7,FALSE)</f>
        <v>0.22</v>
      </c>
      <c r="Q254" s="214">
        <f>ROUND(P254*MasterData!$H$4,2)</f>
        <v>6520.8</v>
      </c>
      <c r="R254" s="212">
        <f>VLOOKUP($A254,MasterData!$N$62:$X$111,8,FALSE)</f>
        <v>0.12</v>
      </c>
      <c r="S254" s="211">
        <f>ROUND(R254*MasterData!$I$4,2)</f>
        <v>3863.81</v>
      </c>
      <c r="T254" s="215">
        <f t="shared" si="34"/>
        <v>262328.32000000001</v>
      </c>
      <c r="U254" s="211">
        <f>ROUND(T254*MasterData!$C$29,2)</f>
        <v>58525.45</v>
      </c>
      <c r="V254" s="211">
        <f>ROUND(T254*MasterData!$J$29,2)</f>
        <v>970.61</v>
      </c>
      <c r="W254" s="201">
        <f t="shared" si="30"/>
        <v>320853.77</v>
      </c>
      <c r="X254" s="212">
        <f>VLOOKUP($A254,MasterData!$N$62:$X$111,10,FALSE)*52</f>
        <v>52</v>
      </c>
      <c r="Y254" s="211">
        <f>ROUND(X254*MasterData!$C$7,2)</f>
        <v>3138.72</v>
      </c>
      <c r="Z254" s="212">
        <f>VLOOKUP($A254,MasterData!$N$62:$X$111,11,FALSE)*52</f>
        <v>156</v>
      </c>
      <c r="AA254" s="211">
        <f>ROUND(Z254*MasterData!$D$7,2)</f>
        <v>6605.04</v>
      </c>
      <c r="AB254" s="215">
        <f t="shared" si="35"/>
        <v>9743.76</v>
      </c>
      <c r="AC254" s="216">
        <f>MasterData!$M$28</f>
        <v>15472.178595890411</v>
      </c>
      <c r="AD254" s="211">
        <f>MasterData!$D$30</f>
        <v>992.8</v>
      </c>
      <c r="AE254" s="211">
        <f>MasterData!$E$30</f>
        <v>2876.2</v>
      </c>
      <c r="AF254" s="211">
        <f>MasterData!$F$30</f>
        <v>0</v>
      </c>
      <c r="AG254" s="215">
        <f t="shared" si="28"/>
        <v>349938.70859589044</v>
      </c>
      <c r="AH254" s="211">
        <f>ROUND(AG254*MasterData!$G$29,2)</f>
        <v>41992.65</v>
      </c>
      <c r="AI254" s="200">
        <f>((AG254+AH254)*MasterData!$I$29)-'Model Calculator'!W254*MasterData!$I$29</f>
        <v>1265.1810770068496</v>
      </c>
      <c r="AJ254" s="201">
        <f t="shared" si="29"/>
        <v>394167.1496728973</v>
      </c>
      <c r="AK254" s="201">
        <f t="shared" si="31"/>
        <v>1135.93</v>
      </c>
    </row>
    <row r="255" spans="1:37">
      <c r="A255" s="197" t="s">
        <v>92</v>
      </c>
      <c r="B255" s="197" t="str">
        <f t="shared" si="32"/>
        <v>M205.03</v>
      </c>
      <c r="C255" s="197" t="s">
        <v>164</v>
      </c>
      <c r="D255" s="226" t="s">
        <v>301</v>
      </c>
      <c r="E255" s="213">
        <f>VLOOKUP($A255,MasterData!$N$62:$X$111,2,FALSE)</f>
        <v>0.18</v>
      </c>
      <c r="F255" s="214">
        <f>ROUND(E255*MasterData!$C$4,2)</f>
        <v>9297.2999999999993</v>
      </c>
      <c r="G255" s="212">
        <f>VLOOKUP($A255,MasterData!$N$62:$X$111,3,FALSE)</f>
        <v>0.66</v>
      </c>
      <c r="H255" s="214">
        <f>ROUND(G255*MasterData!$D$4,2)</f>
        <v>27401.09</v>
      </c>
      <c r="I255" s="212">
        <f t="shared" si="33"/>
        <v>5</v>
      </c>
      <c r="J255" s="212">
        <f>VLOOKUP($A255,MasterData!$N$62:$X$111,4,FALSE)</f>
        <v>3.6</v>
      </c>
      <c r="K255" s="214">
        <f>ROUND(J255*MasterData!$F$26,2)</f>
        <v>168945.18</v>
      </c>
      <c r="L255" s="212">
        <f>VLOOKUP($A255,MasterData!$N$62:$X$111,5,FALSE)</f>
        <v>1.4</v>
      </c>
      <c r="M255" s="211">
        <f>ROUND(L255*MasterData!$F$4,2)</f>
        <v>41496</v>
      </c>
      <c r="N255" s="212">
        <f>VLOOKUP($A255,MasterData!$N$62:$X$111,6,FALSE)</f>
        <v>0.77</v>
      </c>
      <c r="O255" s="211">
        <f>ROUND(N255*MasterData!$G$26,2)</f>
        <v>31546.29</v>
      </c>
      <c r="P255" s="212">
        <f>VLOOKUP($A255,MasterData!$N$62:$X$111,7,FALSE)</f>
        <v>0.22</v>
      </c>
      <c r="Q255" s="214">
        <f>ROUND(P255*MasterData!$H$4,2)</f>
        <v>6520.8</v>
      </c>
      <c r="R255" s="212">
        <f>VLOOKUP($A255,MasterData!$N$62:$X$111,8,FALSE)</f>
        <v>0.12</v>
      </c>
      <c r="S255" s="211">
        <f>ROUND(R255*MasterData!$I$4,2)</f>
        <v>3863.81</v>
      </c>
      <c r="T255" s="215">
        <f t="shared" si="34"/>
        <v>289070.46999999997</v>
      </c>
      <c r="U255" s="211">
        <f>ROUND(T255*MasterData!$C$29,2)</f>
        <v>64491.62</v>
      </c>
      <c r="V255" s="211">
        <f>ROUND(T255*MasterData!$J$29,2)</f>
        <v>1069.56</v>
      </c>
      <c r="W255" s="201">
        <f t="shared" si="30"/>
        <v>353562.08999999997</v>
      </c>
      <c r="X255" s="212">
        <f>VLOOKUP($A255,MasterData!$N$62:$X$111,10,FALSE)*52</f>
        <v>52</v>
      </c>
      <c r="Y255" s="211">
        <f>ROUND(X255*MasterData!$C$7,2)</f>
        <v>3138.72</v>
      </c>
      <c r="Z255" s="212">
        <f>VLOOKUP($A255,MasterData!$N$62:$X$111,11,FALSE)*52</f>
        <v>156</v>
      </c>
      <c r="AA255" s="211">
        <f>ROUND(Z255*MasterData!$D$7,2)</f>
        <v>6605.04</v>
      </c>
      <c r="AB255" s="215">
        <f t="shared" si="35"/>
        <v>9743.76</v>
      </c>
      <c r="AC255" s="216">
        <f>MasterData!$M$28</f>
        <v>15472.178595890411</v>
      </c>
      <c r="AD255" s="211">
        <f>MasterData!$D$30</f>
        <v>992.8</v>
      </c>
      <c r="AE255" s="211">
        <f>MasterData!$E$30</f>
        <v>2876.2</v>
      </c>
      <c r="AF255" s="211">
        <f>MasterData!$F$30</f>
        <v>0</v>
      </c>
      <c r="AG255" s="215">
        <f t="shared" si="28"/>
        <v>382647.02859589038</v>
      </c>
      <c r="AH255" s="211">
        <f>ROUND(AG255*MasterData!$G$29,2)</f>
        <v>45917.64</v>
      </c>
      <c r="AI255" s="200">
        <f>((AG255+AH255)*MasterData!$I$29)-'Model Calculator'!W255*MasterData!$I$29</f>
        <v>1335.04589900685</v>
      </c>
      <c r="AJ255" s="201">
        <f t="shared" si="29"/>
        <v>430969.27449489722</v>
      </c>
      <c r="AK255" s="201">
        <f t="shared" si="31"/>
        <v>1241.99</v>
      </c>
    </row>
    <row r="256" spans="1:37">
      <c r="A256" s="197" t="s">
        <v>93</v>
      </c>
      <c r="B256" s="197" t="str">
        <f t="shared" si="32"/>
        <v>M205.53</v>
      </c>
      <c r="C256" s="197" t="s">
        <v>165</v>
      </c>
      <c r="D256" s="226" t="s">
        <v>301</v>
      </c>
      <c r="E256" s="213">
        <f>VLOOKUP($A256,MasterData!$N$62:$X$111,2,FALSE)</f>
        <v>0.18</v>
      </c>
      <c r="F256" s="214">
        <f>ROUND(E256*MasterData!$C$4,2)</f>
        <v>9297.2999999999993</v>
      </c>
      <c r="G256" s="212">
        <f>VLOOKUP($A256,MasterData!$N$62:$X$111,3,FALSE)</f>
        <v>0.66</v>
      </c>
      <c r="H256" s="214">
        <f>ROUND(G256*MasterData!$D$4,2)</f>
        <v>27401.09</v>
      </c>
      <c r="I256" s="212">
        <f t="shared" si="33"/>
        <v>5.5</v>
      </c>
      <c r="J256" s="212">
        <f>VLOOKUP($A256,MasterData!$N$62:$X$111,4,FALSE)</f>
        <v>4.0999999999999996</v>
      </c>
      <c r="K256" s="214">
        <f>ROUND(J256*MasterData!$F$26,2)</f>
        <v>192409.79</v>
      </c>
      <c r="L256" s="212">
        <f>VLOOKUP($A256,MasterData!$N$62:$X$111,5,FALSE)</f>
        <v>1.4</v>
      </c>
      <c r="M256" s="211">
        <f>ROUND(L256*MasterData!$F$4,2)</f>
        <v>41496</v>
      </c>
      <c r="N256" s="212">
        <f>VLOOKUP($A256,MasterData!$N$62:$X$111,6,FALSE)</f>
        <v>0.85</v>
      </c>
      <c r="O256" s="211">
        <f>ROUND(N256*MasterData!$G$26,2)</f>
        <v>34823.82</v>
      </c>
      <c r="P256" s="212">
        <f>VLOOKUP($A256,MasterData!$N$62:$X$111,7,FALSE)</f>
        <v>0.22</v>
      </c>
      <c r="Q256" s="214">
        <f>ROUND(P256*MasterData!$H$4,2)</f>
        <v>6520.8</v>
      </c>
      <c r="R256" s="212">
        <f>VLOOKUP($A256,MasterData!$N$62:$X$111,8,FALSE)</f>
        <v>0.12</v>
      </c>
      <c r="S256" s="211">
        <f>ROUND(R256*MasterData!$I$4,2)</f>
        <v>3863.81</v>
      </c>
      <c r="T256" s="215">
        <f t="shared" si="34"/>
        <v>315812.61</v>
      </c>
      <c r="U256" s="211">
        <f>ROUND(T256*MasterData!$C$29,2)</f>
        <v>70457.789999999994</v>
      </c>
      <c r="V256" s="211">
        <f>ROUND(T256*MasterData!$J$29,2)</f>
        <v>1168.51</v>
      </c>
      <c r="W256" s="201">
        <f t="shared" si="30"/>
        <v>386270.39999999997</v>
      </c>
      <c r="X256" s="212">
        <f>VLOOKUP($A256,MasterData!$N$62:$X$111,10,FALSE)*52</f>
        <v>52</v>
      </c>
      <c r="Y256" s="211">
        <f>ROUND(X256*MasterData!$C$7,2)</f>
        <v>3138.72</v>
      </c>
      <c r="Z256" s="212">
        <f>VLOOKUP($A256,MasterData!$N$62:$X$111,11,FALSE)*52</f>
        <v>156</v>
      </c>
      <c r="AA256" s="211">
        <f>ROUND(Z256*MasterData!$D$7,2)</f>
        <v>6605.04</v>
      </c>
      <c r="AB256" s="215">
        <f t="shared" si="35"/>
        <v>9743.76</v>
      </c>
      <c r="AC256" s="216">
        <f>MasterData!$M$28</f>
        <v>15472.178595890411</v>
      </c>
      <c r="AD256" s="211">
        <f>MasterData!$D$30</f>
        <v>992.8</v>
      </c>
      <c r="AE256" s="211">
        <f>MasterData!$E$30</f>
        <v>2876.2</v>
      </c>
      <c r="AF256" s="211">
        <f>MasterData!$F$30</f>
        <v>0</v>
      </c>
      <c r="AG256" s="215">
        <f t="shared" si="28"/>
        <v>415355.33859589038</v>
      </c>
      <c r="AH256" s="211">
        <f>ROUND(AG256*MasterData!$G$29,2)</f>
        <v>49842.64</v>
      </c>
      <c r="AI256" s="200">
        <f>((AG256+AH256)*MasterData!$I$29)-'Model Calculator'!W256*MasterData!$I$29</f>
        <v>1404.9108990068498</v>
      </c>
      <c r="AJ256" s="201">
        <f t="shared" si="29"/>
        <v>467771.39949489728</v>
      </c>
      <c r="AK256" s="201">
        <f t="shared" si="31"/>
        <v>1348.04</v>
      </c>
    </row>
    <row r="257" spans="1:37">
      <c r="A257" s="197" t="s">
        <v>213</v>
      </c>
      <c r="B257" s="197" t="str">
        <f t="shared" si="32"/>
        <v>M206.03</v>
      </c>
      <c r="C257" s="197" t="s">
        <v>216</v>
      </c>
      <c r="D257" s="226" t="s">
        <v>301</v>
      </c>
      <c r="E257" s="213">
        <f>VLOOKUP($A257,MasterData!$N$62:$X$111,2,FALSE)</f>
        <v>0.18</v>
      </c>
      <c r="F257" s="214">
        <f>ROUND(E257*MasterData!$C$4,2)</f>
        <v>9297.2999999999993</v>
      </c>
      <c r="G257" s="212">
        <f>VLOOKUP($A257,MasterData!$N$62:$X$111,3,FALSE)</f>
        <v>0.66</v>
      </c>
      <c r="H257" s="214">
        <f>ROUND(G257*MasterData!$D$4,2)</f>
        <v>27401.09</v>
      </c>
      <c r="I257" s="212">
        <f t="shared" si="33"/>
        <v>6</v>
      </c>
      <c r="J257" s="212">
        <f>VLOOKUP($A257,MasterData!$N$62:$X$111,4,FALSE)</f>
        <v>4.5999999999999996</v>
      </c>
      <c r="K257" s="214">
        <f>ROUND(J257*MasterData!$F$26,2)</f>
        <v>215874.39</v>
      </c>
      <c r="L257" s="212">
        <f>VLOOKUP($A257,MasterData!$N$62:$X$111,5,FALSE)</f>
        <v>1.4</v>
      </c>
      <c r="M257" s="211">
        <f>ROUND(L257*MasterData!$F$4,2)</f>
        <v>41496</v>
      </c>
      <c r="N257" s="212">
        <f>VLOOKUP($A257,MasterData!$N$62:$X$111,6,FALSE)</f>
        <v>0.92</v>
      </c>
      <c r="O257" s="211">
        <f>ROUND(N257*MasterData!$G$26,2)</f>
        <v>37691.67</v>
      </c>
      <c r="P257" s="212">
        <f>VLOOKUP($A257,MasterData!$N$62:$X$111,7,FALSE)</f>
        <v>0.22</v>
      </c>
      <c r="Q257" s="214">
        <f>ROUND(P257*MasterData!$H$4,2)</f>
        <v>6520.8</v>
      </c>
      <c r="R257" s="212">
        <f>VLOOKUP($A257,MasterData!$N$62:$X$111,8,FALSE)</f>
        <v>0.12</v>
      </c>
      <c r="S257" s="211">
        <f>ROUND(R257*MasterData!$I$4,2)</f>
        <v>3863.81</v>
      </c>
      <c r="T257" s="215">
        <f t="shared" si="34"/>
        <v>342145.06</v>
      </c>
      <c r="U257" s="211">
        <f>ROUND(T257*MasterData!$C$29,2)</f>
        <v>76332.56</v>
      </c>
      <c r="V257" s="211">
        <f>ROUND(T257*MasterData!$J$29,2)</f>
        <v>1265.94</v>
      </c>
      <c r="W257" s="201">
        <f t="shared" si="30"/>
        <v>418477.62</v>
      </c>
      <c r="X257" s="212">
        <f>VLOOKUP($A257,MasterData!$N$62:$X$111,10,FALSE)*52</f>
        <v>52</v>
      </c>
      <c r="Y257" s="211">
        <f>ROUND(X257*MasterData!$C$7,2)</f>
        <v>3138.72</v>
      </c>
      <c r="Z257" s="212">
        <f>VLOOKUP($A257,MasterData!$N$62:$X$111,11,FALSE)*52</f>
        <v>156</v>
      </c>
      <c r="AA257" s="211">
        <f>ROUND(Z257*MasterData!$D$7,2)</f>
        <v>6605.04</v>
      </c>
      <c r="AB257" s="215">
        <f t="shared" si="35"/>
        <v>9743.76</v>
      </c>
      <c r="AC257" s="216">
        <f>MasterData!$M$28</f>
        <v>15472.178595890411</v>
      </c>
      <c r="AD257" s="211">
        <f>MasterData!$D$30</f>
        <v>992.8</v>
      </c>
      <c r="AE257" s="211">
        <f>MasterData!$E$30</f>
        <v>2876.2</v>
      </c>
      <c r="AF257" s="211">
        <f>MasterData!$F$30</f>
        <v>0</v>
      </c>
      <c r="AG257" s="215">
        <f t="shared" si="28"/>
        <v>447562.55859589041</v>
      </c>
      <c r="AH257" s="211">
        <f>ROUND(AG257*MasterData!$G$29,2)</f>
        <v>53707.51</v>
      </c>
      <c r="AI257" s="200">
        <f>((AG257+AH257)*MasterData!$I$29)-'Model Calculator'!W257*MasterData!$I$29</f>
        <v>1473.7055850068491</v>
      </c>
      <c r="AJ257" s="201">
        <f t="shared" si="29"/>
        <v>504009.71418089728</v>
      </c>
      <c r="AK257" s="201">
        <f t="shared" si="31"/>
        <v>1452.48</v>
      </c>
    </row>
    <row r="258" spans="1:37">
      <c r="A258" s="197" t="s">
        <v>94</v>
      </c>
      <c r="B258" s="197" t="str">
        <f t="shared" si="32"/>
        <v>M206.53</v>
      </c>
      <c r="C258" s="197" t="s">
        <v>166</v>
      </c>
      <c r="D258" s="226" t="s">
        <v>301</v>
      </c>
      <c r="E258" s="213">
        <f>VLOOKUP($A258,MasterData!$N$62:$X$111,2,FALSE)</f>
        <v>0.18</v>
      </c>
      <c r="F258" s="214">
        <f>ROUND(E258*MasterData!$C$4,2)</f>
        <v>9297.2999999999993</v>
      </c>
      <c r="G258" s="212">
        <f>VLOOKUP($A258,MasterData!$N$62:$X$111,3,FALSE)</f>
        <v>0.66</v>
      </c>
      <c r="H258" s="214">
        <f>ROUND(G258*MasterData!$D$4,2)</f>
        <v>27401.09</v>
      </c>
      <c r="I258" s="212">
        <f t="shared" si="33"/>
        <v>6.5</v>
      </c>
      <c r="J258" s="212">
        <f>VLOOKUP($A258,MasterData!$N$62:$X$111,4,FALSE)</f>
        <v>5.0999999999999996</v>
      </c>
      <c r="K258" s="214">
        <f>ROUND(J258*MasterData!$F$26,2)</f>
        <v>239339</v>
      </c>
      <c r="L258" s="212">
        <f>VLOOKUP($A258,MasterData!$N$62:$X$111,5,FALSE)</f>
        <v>1.4</v>
      </c>
      <c r="M258" s="211">
        <f>ROUND(L258*MasterData!$F$4,2)</f>
        <v>41496</v>
      </c>
      <c r="N258" s="212">
        <f>VLOOKUP($A258,MasterData!$N$62:$X$111,6,FALSE)</f>
        <v>1</v>
      </c>
      <c r="O258" s="211">
        <f>ROUND(N258*MasterData!$G$26,2)</f>
        <v>40969.21</v>
      </c>
      <c r="P258" s="212">
        <f>VLOOKUP($A258,MasterData!$N$62:$X$111,7,FALSE)</f>
        <v>0.22</v>
      </c>
      <c r="Q258" s="214">
        <f>ROUND(P258*MasterData!$H$4,2)</f>
        <v>6520.8</v>
      </c>
      <c r="R258" s="212">
        <f>VLOOKUP($A258,MasterData!$N$62:$X$111,8,FALSE)</f>
        <v>0.12</v>
      </c>
      <c r="S258" s="211">
        <f>ROUND(R258*MasterData!$I$4,2)</f>
        <v>3863.81</v>
      </c>
      <c r="T258" s="215">
        <f t="shared" si="34"/>
        <v>368887.21</v>
      </c>
      <c r="U258" s="211">
        <f>ROUND(T258*MasterData!$C$29,2)</f>
        <v>82298.740000000005</v>
      </c>
      <c r="V258" s="211">
        <f>ROUND(T258*MasterData!$J$29,2)</f>
        <v>1364.88</v>
      </c>
      <c r="W258" s="201">
        <f t="shared" si="30"/>
        <v>451185.95</v>
      </c>
      <c r="X258" s="212">
        <f>VLOOKUP($A258,MasterData!$N$62:$X$111,10,FALSE)*52</f>
        <v>52</v>
      </c>
      <c r="Y258" s="211">
        <f>ROUND(X258*MasterData!$C$7,2)</f>
        <v>3138.72</v>
      </c>
      <c r="Z258" s="212">
        <f>VLOOKUP($A258,MasterData!$N$62:$X$111,11,FALSE)*52</f>
        <v>156</v>
      </c>
      <c r="AA258" s="211">
        <f>ROUND(Z258*MasterData!$D$7,2)</f>
        <v>6605.04</v>
      </c>
      <c r="AB258" s="215">
        <f t="shared" si="35"/>
        <v>9743.76</v>
      </c>
      <c r="AC258" s="216">
        <f>MasterData!$M$28</f>
        <v>15472.178595890411</v>
      </c>
      <c r="AD258" s="211">
        <f>MasterData!$D$30</f>
        <v>992.8</v>
      </c>
      <c r="AE258" s="211">
        <f>MasterData!$E$30</f>
        <v>2876.2</v>
      </c>
      <c r="AF258" s="211">
        <f>MasterData!$F$30</f>
        <v>0</v>
      </c>
      <c r="AG258" s="215">
        <f t="shared" ref="AG258:AG311" si="36">W258+AB258+AC258+AD258+AE258+AF258</f>
        <v>480270.88859589043</v>
      </c>
      <c r="AH258" s="211">
        <f>ROUND(AG258*MasterData!$G$29,2)</f>
        <v>57632.51</v>
      </c>
      <c r="AI258" s="200">
        <f>((AG258+AH258)*MasterData!$I$29)-'Model Calculator'!W258*MasterData!$I$29</f>
        <v>1543.5705850068489</v>
      </c>
      <c r="AJ258" s="201">
        <f t="shared" ref="AJ258:AJ311" si="37">AH258+AG258+AI258+V258</f>
        <v>540811.84918089723</v>
      </c>
      <c r="AK258" s="201">
        <f t="shared" si="31"/>
        <v>1558.54</v>
      </c>
    </row>
    <row r="259" spans="1:37">
      <c r="A259" s="197" t="s">
        <v>95</v>
      </c>
      <c r="B259" s="197" t="str">
        <f t="shared" si="32"/>
        <v>M207.03</v>
      </c>
      <c r="C259" s="197" t="s">
        <v>167</v>
      </c>
      <c r="D259" s="226" t="s">
        <v>301</v>
      </c>
      <c r="E259" s="213">
        <f>VLOOKUP($A259,MasterData!$N$62:$X$111,2,FALSE)</f>
        <v>0.18</v>
      </c>
      <c r="F259" s="214">
        <f>ROUND(E259*MasterData!$C$4,2)</f>
        <v>9297.2999999999993</v>
      </c>
      <c r="G259" s="212">
        <f>VLOOKUP($A259,MasterData!$N$62:$X$111,3,FALSE)</f>
        <v>0.66</v>
      </c>
      <c r="H259" s="214">
        <f>ROUND(G259*MasterData!$D$4,2)</f>
        <v>27401.09</v>
      </c>
      <c r="I259" s="212">
        <f t="shared" si="33"/>
        <v>7</v>
      </c>
      <c r="J259" s="212">
        <f>VLOOKUP($A259,MasterData!$N$62:$X$111,4,FALSE)</f>
        <v>5.6</v>
      </c>
      <c r="K259" s="214">
        <f>ROUND(J259*MasterData!$F$26,2)</f>
        <v>262803.61</v>
      </c>
      <c r="L259" s="212">
        <f>VLOOKUP($A259,MasterData!$N$62:$X$111,5,FALSE)</f>
        <v>1.4</v>
      </c>
      <c r="M259" s="211">
        <f>ROUND(L259*MasterData!$F$4,2)</f>
        <v>41496</v>
      </c>
      <c r="N259" s="212">
        <f>VLOOKUP($A259,MasterData!$N$62:$X$111,6,FALSE)</f>
        <v>1.08</v>
      </c>
      <c r="O259" s="211">
        <f>ROUND(N259*MasterData!$G$26,2)</f>
        <v>44246.74</v>
      </c>
      <c r="P259" s="212">
        <f>VLOOKUP($A259,MasterData!$N$62:$X$111,7,FALSE)</f>
        <v>0.22</v>
      </c>
      <c r="Q259" s="214">
        <f>ROUND(P259*MasterData!$H$4,2)</f>
        <v>6520.8</v>
      </c>
      <c r="R259" s="212">
        <f>VLOOKUP($A259,MasterData!$N$62:$X$111,8,FALSE)</f>
        <v>0.12</v>
      </c>
      <c r="S259" s="211">
        <f>ROUND(R259*MasterData!$I$4,2)</f>
        <v>3863.81</v>
      </c>
      <c r="T259" s="215">
        <f t="shared" si="34"/>
        <v>395629.35</v>
      </c>
      <c r="U259" s="211">
        <f>ROUND(T259*MasterData!$C$29,2)</f>
        <v>88264.91</v>
      </c>
      <c r="V259" s="211">
        <f>ROUND(T259*MasterData!$J$29,2)</f>
        <v>1463.83</v>
      </c>
      <c r="W259" s="201">
        <f t="shared" ref="W259:W311" si="38">T259+U259</f>
        <v>483894.26</v>
      </c>
      <c r="X259" s="212">
        <f>VLOOKUP($A259,MasterData!$N$62:$X$111,10,FALSE)*52</f>
        <v>52</v>
      </c>
      <c r="Y259" s="211">
        <f>ROUND(X259*MasterData!$C$7,2)</f>
        <v>3138.72</v>
      </c>
      <c r="Z259" s="212">
        <f>VLOOKUP($A259,MasterData!$N$62:$X$111,11,FALSE)*52</f>
        <v>156</v>
      </c>
      <c r="AA259" s="211">
        <f>ROUND(Z259*MasterData!$D$7,2)</f>
        <v>6605.04</v>
      </c>
      <c r="AB259" s="215">
        <f t="shared" si="35"/>
        <v>9743.76</v>
      </c>
      <c r="AC259" s="216">
        <f>MasterData!$M$28</f>
        <v>15472.178595890411</v>
      </c>
      <c r="AD259" s="211">
        <f>MasterData!$D$30</f>
        <v>992.8</v>
      </c>
      <c r="AE259" s="211">
        <f>MasterData!$E$30</f>
        <v>2876.2</v>
      </c>
      <c r="AF259" s="211">
        <f>MasterData!$F$30</f>
        <v>0</v>
      </c>
      <c r="AG259" s="215">
        <f t="shared" si="36"/>
        <v>512979.19859589043</v>
      </c>
      <c r="AH259" s="211">
        <f>ROUND(AG259*MasterData!$G$29,2)</f>
        <v>61557.5</v>
      </c>
      <c r="AI259" s="200">
        <f>((AG259+AH259)*MasterData!$I$29)-'Model Calculator'!W259*MasterData!$I$29</f>
        <v>1613.4354070068493</v>
      </c>
      <c r="AJ259" s="201">
        <f t="shared" si="37"/>
        <v>577613.96400289726</v>
      </c>
      <c r="AK259" s="201">
        <f t="shared" ref="AK259:AK311" si="39">ROUND(AJ259/347,2)</f>
        <v>1664.59</v>
      </c>
    </row>
    <row r="260" spans="1:37">
      <c r="A260" s="197" t="s">
        <v>96</v>
      </c>
      <c r="B260" s="197" t="str">
        <f t="shared" si="32"/>
        <v>M207.53</v>
      </c>
      <c r="C260" s="197" t="s">
        <v>168</v>
      </c>
      <c r="D260" s="226" t="s">
        <v>301</v>
      </c>
      <c r="E260" s="213">
        <f>VLOOKUP($A260,MasterData!$N$62:$X$111,2,FALSE)</f>
        <v>0.18</v>
      </c>
      <c r="F260" s="214">
        <f>ROUND(E260*MasterData!$C$4,2)</f>
        <v>9297.2999999999993</v>
      </c>
      <c r="G260" s="212">
        <f>VLOOKUP($A260,MasterData!$N$62:$X$111,3,FALSE)</f>
        <v>0.66</v>
      </c>
      <c r="H260" s="214">
        <f>ROUND(G260*MasterData!$D$4,2)</f>
        <v>27401.09</v>
      </c>
      <c r="I260" s="212">
        <f t="shared" si="33"/>
        <v>7.5</v>
      </c>
      <c r="J260" s="212">
        <f>VLOOKUP($A260,MasterData!$N$62:$X$111,4,FALSE)</f>
        <v>6.1</v>
      </c>
      <c r="K260" s="214">
        <f>ROUND(J260*MasterData!$F$26,2)</f>
        <v>286268.21999999997</v>
      </c>
      <c r="L260" s="212">
        <f>VLOOKUP($A260,MasterData!$N$62:$X$111,5,FALSE)</f>
        <v>1.4</v>
      </c>
      <c r="M260" s="211">
        <f>ROUND(L260*MasterData!$F$4,2)</f>
        <v>41496</v>
      </c>
      <c r="N260" s="212">
        <f>VLOOKUP($A260,MasterData!$N$62:$X$111,6,FALSE)</f>
        <v>1.1599999999999999</v>
      </c>
      <c r="O260" s="211">
        <f>ROUND(N260*MasterData!$G$26,2)</f>
        <v>47524.28</v>
      </c>
      <c r="P260" s="212">
        <f>VLOOKUP($A260,MasterData!$N$62:$X$111,7,FALSE)</f>
        <v>0.22</v>
      </c>
      <c r="Q260" s="214">
        <f>ROUND(P260*MasterData!$H$4,2)</f>
        <v>6520.8</v>
      </c>
      <c r="R260" s="212">
        <f>VLOOKUP($A260,MasterData!$N$62:$X$111,8,FALSE)</f>
        <v>0.12</v>
      </c>
      <c r="S260" s="211">
        <f>ROUND(R260*MasterData!$I$4,2)</f>
        <v>3863.81</v>
      </c>
      <c r="T260" s="215">
        <f t="shared" si="34"/>
        <v>422371.5</v>
      </c>
      <c r="U260" s="211">
        <f>ROUND(T260*MasterData!$C$29,2)</f>
        <v>94231.08</v>
      </c>
      <c r="V260" s="211">
        <f>ROUND(T260*MasterData!$J$29,2)</f>
        <v>1562.77</v>
      </c>
      <c r="W260" s="201">
        <f t="shared" si="38"/>
        <v>516602.58</v>
      </c>
      <c r="X260" s="212">
        <f>VLOOKUP($A260,MasterData!$N$62:$X$111,10,FALSE)*52</f>
        <v>52</v>
      </c>
      <c r="Y260" s="211">
        <f>ROUND(X260*MasterData!$C$7,2)</f>
        <v>3138.72</v>
      </c>
      <c r="Z260" s="212">
        <f>VLOOKUP($A260,MasterData!$N$62:$X$111,11,FALSE)*52</f>
        <v>156</v>
      </c>
      <c r="AA260" s="211">
        <f>ROUND(Z260*MasterData!$D$7,2)</f>
        <v>6605.04</v>
      </c>
      <c r="AB260" s="215">
        <f t="shared" si="35"/>
        <v>9743.76</v>
      </c>
      <c r="AC260" s="216">
        <f>MasterData!$M$28</f>
        <v>15472.178595890411</v>
      </c>
      <c r="AD260" s="211">
        <f>MasterData!$D$30</f>
        <v>992.8</v>
      </c>
      <c r="AE260" s="211">
        <f>MasterData!$E$30</f>
        <v>2876.2</v>
      </c>
      <c r="AF260" s="211">
        <f>MasterData!$F$30</f>
        <v>0</v>
      </c>
      <c r="AG260" s="215">
        <f t="shared" si="36"/>
        <v>545687.51859589037</v>
      </c>
      <c r="AH260" s="211">
        <f>ROUND(AG260*MasterData!$G$29,2)</f>
        <v>65482.5</v>
      </c>
      <c r="AI260" s="200">
        <f>((AG260+AH260)*MasterData!$I$29)-'Model Calculator'!W260*MasterData!$I$29</f>
        <v>1683.3004070068491</v>
      </c>
      <c r="AJ260" s="201">
        <f t="shared" si="37"/>
        <v>614416.08900289726</v>
      </c>
      <c r="AK260" s="201">
        <f t="shared" si="39"/>
        <v>1770.65</v>
      </c>
    </row>
    <row r="261" spans="1:37">
      <c r="A261" s="197" t="s">
        <v>97</v>
      </c>
      <c r="B261" s="197" t="str">
        <f t="shared" si="32"/>
        <v>M208.03</v>
      </c>
      <c r="C261" s="197" t="s">
        <v>169</v>
      </c>
      <c r="D261" s="226" t="s">
        <v>301</v>
      </c>
      <c r="E261" s="213">
        <f>VLOOKUP($A261,MasterData!$N$62:$X$111,2,FALSE)</f>
        <v>0.18</v>
      </c>
      <c r="F261" s="214">
        <f>ROUND(E261*MasterData!$C$4,2)</f>
        <v>9297.2999999999993</v>
      </c>
      <c r="G261" s="212">
        <f>VLOOKUP($A261,MasterData!$N$62:$X$111,3,FALSE)</f>
        <v>0.66</v>
      </c>
      <c r="H261" s="214">
        <f>ROUND(G261*MasterData!$D$4,2)</f>
        <v>27401.09</v>
      </c>
      <c r="I261" s="212">
        <f t="shared" si="33"/>
        <v>8</v>
      </c>
      <c r="J261" s="212">
        <f>VLOOKUP($A261,MasterData!$N$62:$X$111,4,FALSE)</f>
        <v>6.6</v>
      </c>
      <c r="K261" s="214">
        <f>ROUND(J261*MasterData!$F$26,2)</f>
        <v>309732.83</v>
      </c>
      <c r="L261" s="212">
        <f>VLOOKUP($A261,MasterData!$N$62:$X$111,5,FALSE)</f>
        <v>1.4</v>
      </c>
      <c r="M261" s="211">
        <f>ROUND(L261*MasterData!$F$4,2)</f>
        <v>41496</v>
      </c>
      <c r="N261" s="212">
        <f>VLOOKUP($A261,MasterData!$N$62:$X$111,6,FALSE)</f>
        <v>1.23</v>
      </c>
      <c r="O261" s="211">
        <f>ROUND(N261*MasterData!$G$26,2)</f>
        <v>50392.12</v>
      </c>
      <c r="P261" s="212">
        <f>VLOOKUP($A261,MasterData!$N$62:$X$111,7,FALSE)</f>
        <v>0.22</v>
      </c>
      <c r="Q261" s="214">
        <f>ROUND(P261*MasterData!$H$4,2)</f>
        <v>6520.8</v>
      </c>
      <c r="R261" s="212">
        <f>VLOOKUP($A261,MasterData!$N$62:$X$111,8,FALSE)</f>
        <v>0.12</v>
      </c>
      <c r="S261" s="211">
        <f>ROUND(R261*MasterData!$I$4,2)</f>
        <v>3863.81</v>
      </c>
      <c r="T261" s="215">
        <f t="shared" si="34"/>
        <v>448703.95</v>
      </c>
      <c r="U261" s="211">
        <f>ROUND(T261*MasterData!$C$29,2)</f>
        <v>100105.85</v>
      </c>
      <c r="V261" s="211">
        <f>ROUND(T261*MasterData!$J$29,2)</f>
        <v>1660.2</v>
      </c>
      <c r="W261" s="201">
        <f t="shared" si="38"/>
        <v>548809.80000000005</v>
      </c>
      <c r="X261" s="212">
        <f>VLOOKUP($A261,MasterData!$N$62:$X$111,10,FALSE)*52</f>
        <v>52</v>
      </c>
      <c r="Y261" s="211">
        <f>ROUND(X261*MasterData!$C$7,2)</f>
        <v>3138.72</v>
      </c>
      <c r="Z261" s="212">
        <f>VLOOKUP($A261,MasterData!$N$62:$X$111,11,FALSE)*52</f>
        <v>156</v>
      </c>
      <c r="AA261" s="211">
        <f>ROUND(Z261*MasterData!$D$7,2)</f>
        <v>6605.04</v>
      </c>
      <c r="AB261" s="215">
        <f t="shared" si="35"/>
        <v>9743.76</v>
      </c>
      <c r="AC261" s="216">
        <f>MasterData!$M$28</f>
        <v>15472.178595890411</v>
      </c>
      <c r="AD261" s="211">
        <f>MasterData!$D$30</f>
        <v>992.8</v>
      </c>
      <c r="AE261" s="211">
        <f>MasterData!$E$30</f>
        <v>2876.2</v>
      </c>
      <c r="AF261" s="211">
        <f>MasterData!$F$30</f>
        <v>0</v>
      </c>
      <c r="AG261" s="215">
        <f t="shared" si="36"/>
        <v>577894.73859589046</v>
      </c>
      <c r="AH261" s="211">
        <f>ROUND(AG261*MasterData!$G$29,2)</f>
        <v>69347.37</v>
      </c>
      <c r="AI261" s="200">
        <f>((AG261+AH261)*MasterData!$I$29)-'Model Calculator'!W261*MasterData!$I$29</f>
        <v>1752.0950930068502</v>
      </c>
      <c r="AJ261" s="201">
        <f t="shared" si="37"/>
        <v>650654.40368889726</v>
      </c>
      <c r="AK261" s="201">
        <f t="shared" si="39"/>
        <v>1875.08</v>
      </c>
    </row>
    <row r="262" spans="1:37">
      <c r="A262" s="197" t="s">
        <v>98</v>
      </c>
      <c r="B262" s="197" t="str">
        <f t="shared" si="32"/>
        <v>M208.53</v>
      </c>
      <c r="C262" s="197" t="s">
        <v>170</v>
      </c>
      <c r="D262" s="226" t="s">
        <v>301</v>
      </c>
      <c r="E262" s="213">
        <f>VLOOKUP($A262,MasterData!$N$62:$X$111,2,FALSE)</f>
        <v>0.18</v>
      </c>
      <c r="F262" s="214">
        <f>ROUND(E262*MasterData!$C$4,2)</f>
        <v>9297.2999999999993</v>
      </c>
      <c r="G262" s="212">
        <f>VLOOKUP($A262,MasterData!$N$62:$X$111,3,FALSE)</f>
        <v>0.66</v>
      </c>
      <c r="H262" s="214">
        <f>ROUND(G262*MasterData!$D$4,2)</f>
        <v>27401.09</v>
      </c>
      <c r="I262" s="212">
        <f t="shared" si="33"/>
        <v>8.5</v>
      </c>
      <c r="J262" s="212">
        <f>VLOOKUP($A262,MasterData!$N$62:$X$111,4,FALSE)</f>
        <v>7.1</v>
      </c>
      <c r="K262" s="214">
        <f>ROUND(J262*MasterData!$F$26,2)</f>
        <v>333197.43</v>
      </c>
      <c r="L262" s="212">
        <f>VLOOKUP($A262,MasterData!$N$62:$X$111,5,FALSE)</f>
        <v>1.4</v>
      </c>
      <c r="M262" s="211">
        <f>ROUND(L262*MasterData!$F$4,2)</f>
        <v>41496</v>
      </c>
      <c r="N262" s="212">
        <f>VLOOKUP($A262,MasterData!$N$62:$X$111,6,FALSE)</f>
        <v>1.31</v>
      </c>
      <c r="O262" s="211">
        <f>ROUND(N262*MasterData!$G$26,2)</f>
        <v>53669.66</v>
      </c>
      <c r="P262" s="212">
        <f>VLOOKUP($A262,MasterData!$N$62:$X$111,7,FALSE)</f>
        <v>0.22</v>
      </c>
      <c r="Q262" s="214">
        <f>ROUND(P262*MasterData!$H$4,2)</f>
        <v>6520.8</v>
      </c>
      <c r="R262" s="212">
        <f>VLOOKUP($A262,MasterData!$N$62:$X$111,8,FALSE)</f>
        <v>0.12</v>
      </c>
      <c r="S262" s="211">
        <f>ROUND(R262*MasterData!$I$4,2)</f>
        <v>3863.81</v>
      </c>
      <c r="T262" s="215">
        <f t="shared" si="34"/>
        <v>475446.08999999997</v>
      </c>
      <c r="U262" s="211">
        <f>ROUND(T262*MasterData!$C$29,2)</f>
        <v>106072.02</v>
      </c>
      <c r="V262" s="211">
        <f>ROUND(T262*MasterData!$J$29,2)</f>
        <v>1759.15</v>
      </c>
      <c r="W262" s="201">
        <f t="shared" si="38"/>
        <v>581518.11</v>
      </c>
      <c r="X262" s="212">
        <f>VLOOKUP($A262,MasterData!$N$62:$X$111,10,FALSE)*52</f>
        <v>52</v>
      </c>
      <c r="Y262" s="211">
        <f>ROUND(X262*MasterData!$C$7,2)</f>
        <v>3138.72</v>
      </c>
      <c r="Z262" s="212">
        <f>VLOOKUP($A262,MasterData!$N$62:$X$111,11,FALSE)*52</f>
        <v>156</v>
      </c>
      <c r="AA262" s="211">
        <f>ROUND(Z262*MasterData!$D$7,2)</f>
        <v>6605.04</v>
      </c>
      <c r="AB262" s="215">
        <f t="shared" si="35"/>
        <v>9743.76</v>
      </c>
      <c r="AC262" s="216">
        <f>MasterData!$M$28</f>
        <v>15472.178595890411</v>
      </c>
      <c r="AD262" s="211">
        <f>MasterData!$D$30</f>
        <v>992.8</v>
      </c>
      <c r="AE262" s="211">
        <f>MasterData!$E$30</f>
        <v>2876.2</v>
      </c>
      <c r="AF262" s="211">
        <f>MasterData!$F$30</f>
        <v>0</v>
      </c>
      <c r="AG262" s="215">
        <f t="shared" si="36"/>
        <v>610603.0485958904</v>
      </c>
      <c r="AH262" s="211">
        <f>ROUND(AG262*MasterData!$G$29,2)</f>
        <v>73272.37</v>
      </c>
      <c r="AI262" s="200">
        <f>((AG262+AH262)*MasterData!$I$29)-'Model Calculator'!W262*MasterData!$I$29</f>
        <v>1821.9600930068482</v>
      </c>
      <c r="AJ262" s="201">
        <f t="shared" si="37"/>
        <v>687456.52868889726</v>
      </c>
      <c r="AK262" s="201">
        <f t="shared" si="39"/>
        <v>1981.14</v>
      </c>
    </row>
    <row r="263" spans="1:37">
      <c r="A263" s="197" t="s">
        <v>99</v>
      </c>
      <c r="B263" s="197" t="str">
        <f t="shared" si="32"/>
        <v>M209.03</v>
      </c>
      <c r="C263" s="197" t="s">
        <v>171</v>
      </c>
      <c r="D263" s="226" t="s">
        <v>301</v>
      </c>
      <c r="E263" s="213">
        <f>VLOOKUP($A263,MasterData!$N$62:$X$111,2,FALSE)</f>
        <v>0.18</v>
      </c>
      <c r="F263" s="214">
        <f>ROUND(E263*MasterData!$C$4,2)</f>
        <v>9297.2999999999993</v>
      </c>
      <c r="G263" s="212">
        <f>VLOOKUP($A263,MasterData!$N$62:$X$111,3,FALSE)</f>
        <v>0.66</v>
      </c>
      <c r="H263" s="214">
        <f>ROUND(G263*MasterData!$D$4,2)</f>
        <v>27401.09</v>
      </c>
      <c r="I263" s="212">
        <f t="shared" si="33"/>
        <v>9</v>
      </c>
      <c r="J263" s="212">
        <f>VLOOKUP($A263,MasterData!$N$62:$X$111,4,FALSE)</f>
        <v>7.6</v>
      </c>
      <c r="K263" s="214">
        <f>ROUND(J263*MasterData!$F$26,2)</f>
        <v>356662.04</v>
      </c>
      <c r="L263" s="212">
        <f>VLOOKUP($A263,MasterData!$N$62:$X$111,5,FALSE)</f>
        <v>1.4</v>
      </c>
      <c r="M263" s="211">
        <f>ROUND(L263*MasterData!$F$4,2)</f>
        <v>41496</v>
      </c>
      <c r="N263" s="212">
        <f>VLOOKUP($A263,MasterData!$N$62:$X$111,6,FALSE)</f>
        <v>1.39</v>
      </c>
      <c r="O263" s="211">
        <f>ROUND(N263*MasterData!$G$26,2)</f>
        <v>56947.199999999997</v>
      </c>
      <c r="P263" s="212">
        <f>VLOOKUP($A263,MasterData!$N$62:$X$111,7,FALSE)</f>
        <v>0.22</v>
      </c>
      <c r="Q263" s="214">
        <f>ROUND(P263*MasterData!$H$4,2)</f>
        <v>6520.8</v>
      </c>
      <c r="R263" s="212">
        <f>VLOOKUP($A263,MasterData!$N$62:$X$111,8,FALSE)</f>
        <v>0.12</v>
      </c>
      <c r="S263" s="211">
        <f>ROUND(R263*MasterData!$I$4,2)</f>
        <v>3863.81</v>
      </c>
      <c r="T263" s="215">
        <f t="shared" si="34"/>
        <v>502188.24</v>
      </c>
      <c r="U263" s="211">
        <f>ROUND(T263*MasterData!$C$29,2)</f>
        <v>112038.2</v>
      </c>
      <c r="V263" s="211">
        <f>ROUND(T263*MasterData!$J$29,2)</f>
        <v>1858.1</v>
      </c>
      <c r="W263" s="201">
        <f t="shared" si="38"/>
        <v>614226.43999999994</v>
      </c>
      <c r="X263" s="212">
        <f>VLOOKUP($A263,MasterData!$N$62:$X$111,10,FALSE)*52</f>
        <v>52</v>
      </c>
      <c r="Y263" s="211">
        <f>ROUND(X263*MasterData!$C$7,2)</f>
        <v>3138.72</v>
      </c>
      <c r="Z263" s="212">
        <f>VLOOKUP($A263,MasterData!$N$62:$X$111,11,FALSE)*52</f>
        <v>156</v>
      </c>
      <c r="AA263" s="211">
        <f>ROUND(Z263*MasterData!$D$7,2)</f>
        <v>6605.04</v>
      </c>
      <c r="AB263" s="215">
        <f t="shared" si="35"/>
        <v>9743.76</v>
      </c>
      <c r="AC263" s="216">
        <f>MasterData!$M$28</f>
        <v>15472.178595890411</v>
      </c>
      <c r="AD263" s="211">
        <f>MasterData!$D$30</f>
        <v>992.8</v>
      </c>
      <c r="AE263" s="211">
        <f>MasterData!$E$30</f>
        <v>2876.2</v>
      </c>
      <c r="AF263" s="211">
        <f>MasterData!$F$30</f>
        <v>0</v>
      </c>
      <c r="AG263" s="215">
        <f t="shared" si="36"/>
        <v>643311.37859589036</v>
      </c>
      <c r="AH263" s="211">
        <f>ROUND(AG263*MasterData!$G$29,2)</f>
        <v>77197.37</v>
      </c>
      <c r="AI263" s="200">
        <f>((AG263+AH263)*MasterData!$I$29)-'Model Calculator'!W263*MasterData!$I$29</f>
        <v>1891.8250930068498</v>
      </c>
      <c r="AJ263" s="201">
        <f t="shared" si="37"/>
        <v>724258.67368889716</v>
      </c>
      <c r="AK263" s="201">
        <f t="shared" si="39"/>
        <v>2087.1999999999998</v>
      </c>
    </row>
    <row r="264" spans="1:37">
      <c r="A264" s="197" t="s">
        <v>100</v>
      </c>
      <c r="B264" s="197" t="str">
        <f t="shared" si="32"/>
        <v>M209.53</v>
      </c>
      <c r="C264" s="197" t="s">
        <v>172</v>
      </c>
      <c r="D264" s="226" t="s">
        <v>301</v>
      </c>
      <c r="E264" s="213">
        <f>VLOOKUP($A264,MasterData!$N$62:$X$111,2,FALSE)</f>
        <v>0.18</v>
      </c>
      <c r="F264" s="214">
        <f>ROUND(E264*MasterData!$C$4,2)</f>
        <v>9297.2999999999993</v>
      </c>
      <c r="G264" s="212">
        <f>VLOOKUP($A264,MasterData!$N$62:$X$111,3,FALSE)</f>
        <v>0.66</v>
      </c>
      <c r="H264" s="214">
        <f>ROUND(G264*MasterData!$D$4,2)</f>
        <v>27401.09</v>
      </c>
      <c r="I264" s="212">
        <f t="shared" si="33"/>
        <v>9.5</v>
      </c>
      <c r="J264" s="212">
        <f>VLOOKUP($A264,MasterData!$N$62:$X$111,4,FALSE)</f>
        <v>8.1</v>
      </c>
      <c r="K264" s="214">
        <f>ROUND(J264*MasterData!$F$26,2)</f>
        <v>380126.65</v>
      </c>
      <c r="L264" s="212">
        <f>VLOOKUP($A264,MasterData!$N$62:$X$111,5,FALSE)</f>
        <v>1.4</v>
      </c>
      <c r="M264" s="211">
        <f>ROUND(L264*MasterData!$F$4,2)</f>
        <v>41496</v>
      </c>
      <c r="N264" s="212">
        <f>VLOOKUP($A264,MasterData!$N$62:$X$111,6,FALSE)</f>
        <v>1.46</v>
      </c>
      <c r="O264" s="211">
        <f>ROUND(N264*MasterData!$G$26,2)</f>
        <v>59815.040000000001</v>
      </c>
      <c r="P264" s="212">
        <f>VLOOKUP($A264,MasterData!$N$62:$X$111,7,FALSE)</f>
        <v>0.22</v>
      </c>
      <c r="Q264" s="214">
        <f>ROUND(P264*MasterData!$H$4,2)</f>
        <v>6520.8</v>
      </c>
      <c r="R264" s="212">
        <f>VLOOKUP($A264,MasterData!$N$62:$X$111,8,FALSE)</f>
        <v>0.12</v>
      </c>
      <c r="S264" s="211">
        <f>ROUND(R264*MasterData!$I$4,2)</f>
        <v>3863.81</v>
      </c>
      <c r="T264" s="215">
        <f t="shared" si="34"/>
        <v>528520.69000000006</v>
      </c>
      <c r="U264" s="211">
        <f>ROUND(T264*MasterData!$C$29,2)</f>
        <v>117912.97</v>
      </c>
      <c r="V264" s="211">
        <f>ROUND(T264*MasterData!$J$29,2)</f>
        <v>1955.53</v>
      </c>
      <c r="W264" s="201">
        <f t="shared" si="38"/>
        <v>646433.66</v>
      </c>
      <c r="X264" s="212">
        <f>VLOOKUP($A264,MasterData!$N$62:$X$111,10,FALSE)*52</f>
        <v>52</v>
      </c>
      <c r="Y264" s="211">
        <f>ROUND(X264*MasterData!$C$7,2)</f>
        <v>3138.72</v>
      </c>
      <c r="Z264" s="212">
        <f>VLOOKUP($A264,MasterData!$N$62:$X$111,11,FALSE)*52</f>
        <v>156</v>
      </c>
      <c r="AA264" s="211">
        <f>ROUND(Z264*MasterData!$D$7,2)</f>
        <v>6605.04</v>
      </c>
      <c r="AB264" s="215">
        <f t="shared" si="35"/>
        <v>9743.76</v>
      </c>
      <c r="AC264" s="216">
        <f>MasterData!$M$28</f>
        <v>15472.178595890411</v>
      </c>
      <c r="AD264" s="211">
        <f>MasterData!$D$30</f>
        <v>992.8</v>
      </c>
      <c r="AE264" s="211">
        <f>MasterData!$E$30</f>
        <v>2876.2</v>
      </c>
      <c r="AF264" s="211">
        <f>MasterData!$F$30</f>
        <v>0</v>
      </c>
      <c r="AG264" s="215">
        <f t="shared" si="36"/>
        <v>675518.59859589045</v>
      </c>
      <c r="AH264" s="211">
        <f>ROUND(AG264*MasterData!$G$29,2)</f>
        <v>81062.23</v>
      </c>
      <c r="AI264" s="200">
        <f>((AG264+AH264)*MasterData!$I$29)-'Model Calculator'!W264*MasterData!$I$29</f>
        <v>1960.6196010068488</v>
      </c>
      <c r="AJ264" s="201">
        <f t="shared" si="37"/>
        <v>760496.97819689731</v>
      </c>
      <c r="AK264" s="201">
        <f t="shared" si="39"/>
        <v>2191.63</v>
      </c>
    </row>
    <row r="265" spans="1:37">
      <c r="A265" s="197" t="s">
        <v>101</v>
      </c>
      <c r="B265" s="197" t="str">
        <f t="shared" si="32"/>
        <v>M210.03</v>
      </c>
      <c r="C265" s="197" t="s">
        <v>173</v>
      </c>
      <c r="D265" s="226" t="s">
        <v>301</v>
      </c>
      <c r="E265" s="213">
        <f>VLOOKUP($A265,MasterData!$N$62:$X$111,2,FALSE)</f>
        <v>0.18</v>
      </c>
      <c r="F265" s="214">
        <f>ROUND(E265*MasterData!$C$4,2)</f>
        <v>9297.2999999999993</v>
      </c>
      <c r="G265" s="212">
        <f>VLOOKUP($A265,MasterData!$N$62:$X$111,3,FALSE)</f>
        <v>0.66</v>
      </c>
      <c r="H265" s="214">
        <f>ROUND(G265*MasterData!$D$4,2)</f>
        <v>27401.09</v>
      </c>
      <c r="I265" s="212">
        <f t="shared" si="33"/>
        <v>10</v>
      </c>
      <c r="J265" s="212">
        <f>VLOOKUP($A265,MasterData!$N$62:$X$111,4,FALSE)</f>
        <v>8.6</v>
      </c>
      <c r="K265" s="214">
        <f>ROUND(J265*MasterData!$F$26,2)</f>
        <v>403591.26</v>
      </c>
      <c r="L265" s="212">
        <f>VLOOKUP($A265,MasterData!$N$62:$X$111,5,FALSE)</f>
        <v>1.4</v>
      </c>
      <c r="M265" s="211">
        <f>ROUND(L265*MasterData!$F$4,2)</f>
        <v>41496</v>
      </c>
      <c r="N265" s="212">
        <f>VLOOKUP($A265,MasterData!$N$62:$X$111,6,FALSE)</f>
        <v>1.54</v>
      </c>
      <c r="O265" s="211">
        <f>ROUND(N265*MasterData!$G$26,2)</f>
        <v>63092.58</v>
      </c>
      <c r="P265" s="212">
        <f>VLOOKUP($A265,MasterData!$N$62:$X$111,7,FALSE)</f>
        <v>0.22</v>
      </c>
      <c r="Q265" s="214">
        <f>ROUND(P265*MasterData!$H$4,2)</f>
        <v>6520.8</v>
      </c>
      <c r="R265" s="212">
        <f>VLOOKUP($A265,MasterData!$N$62:$X$111,8,FALSE)</f>
        <v>0.12</v>
      </c>
      <c r="S265" s="211">
        <f>ROUND(R265*MasterData!$I$4,2)</f>
        <v>3863.81</v>
      </c>
      <c r="T265" s="215">
        <f t="shared" si="34"/>
        <v>555262.84000000008</v>
      </c>
      <c r="U265" s="211">
        <f>ROUND(T265*MasterData!$C$29,2)</f>
        <v>123879.14</v>
      </c>
      <c r="V265" s="211">
        <f>ROUND(T265*MasterData!$J$29,2)</f>
        <v>2054.4699999999998</v>
      </c>
      <c r="W265" s="201">
        <f t="shared" si="38"/>
        <v>679141.9800000001</v>
      </c>
      <c r="X265" s="212">
        <f>VLOOKUP($A265,MasterData!$N$62:$X$111,10,FALSE)*52</f>
        <v>52</v>
      </c>
      <c r="Y265" s="211">
        <f>ROUND(X265*MasterData!$C$7,2)</f>
        <v>3138.72</v>
      </c>
      <c r="Z265" s="212">
        <f>VLOOKUP($A265,MasterData!$N$62:$X$111,11,FALSE)*52</f>
        <v>156</v>
      </c>
      <c r="AA265" s="211">
        <f>ROUND(Z265*MasterData!$D$7,2)</f>
        <v>6605.04</v>
      </c>
      <c r="AB265" s="215">
        <f t="shared" si="35"/>
        <v>9743.76</v>
      </c>
      <c r="AC265" s="216">
        <f>MasterData!$M$28</f>
        <v>15472.178595890411</v>
      </c>
      <c r="AD265" s="211">
        <f>MasterData!$D$30</f>
        <v>992.8</v>
      </c>
      <c r="AE265" s="211">
        <f>MasterData!$E$30</f>
        <v>2876.2</v>
      </c>
      <c r="AF265" s="211">
        <f>MasterData!$F$30</f>
        <v>0</v>
      </c>
      <c r="AG265" s="215">
        <f t="shared" si="36"/>
        <v>708226.91859589051</v>
      </c>
      <c r="AH265" s="211">
        <f>ROUND(AG265*MasterData!$G$29,2)</f>
        <v>84987.23</v>
      </c>
      <c r="AI265" s="200">
        <f>((AG265+AH265)*MasterData!$I$29)-'Model Calculator'!W265*MasterData!$I$29</f>
        <v>2030.4846010068486</v>
      </c>
      <c r="AJ265" s="201">
        <f t="shared" si="37"/>
        <v>797299.10319689731</v>
      </c>
      <c r="AK265" s="201">
        <f t="shared" si="39"/>
        <v>2297.69</v>
      </c>
    </row>
    <row r="266" spans="1:37">
      <c r="A266" s="197" t="s">
        <v>102</v>
      </c>
      <c r="B266" s="197" t="str">
        <f t="shared" ref="B266:B301" si="40">CONCATENATE(LEFT(C266,1),LEFT(D266,1),MID(C266,2,4),RIGHT(C266,1))</f>
        <v>M210.53</v>
      </c>
      <c r="C266" s="197" t="s">
        <v>174</v>
      </c>
      <c r="D266" s="226" t="s">
        <v>301</v>
      </c>
      <c r="E266" s="213">
        <f>VLOOKUP($A266,MasterData!$N$62:$X$111,2,FALSE)</f>
        <v>0.18</v>
      </c>
      <c r="F266" s="214">
        <f>ROUND(E266*MasterData!$C$4,2)</f>
        <v>9297.2999999999993</v>
      </c>
      <c r="G266" s="212">
        <f>VLOOKUP($A266,MasterData!$N$62:$X$111,3,FALSE)</f>
        <v>0.66</v>
      </c>
      <c r="H266" s="214">
        <f>ROUND(G266*MasterData!$D$4,2)</f>
        <v>27401.09</v>
      </c>
      <c r="I266" s="212">
        <f t="shared" si="33"/>
        <v>10.5</v>
      </c>
      <c r="J266" s="212">
        <f>VLOOKUP($A266,MasterData!$N$62:$X$111,4,FALSE)</f>
        <v>9.1</v>
      </c>
      <c r="K266" s="214">
        <f>ROUND(J266*MasterData!$F$26,2)</f>
        <v>427055.87</v>
      </c>
      <c r="L266" s="212">
        <f>VLOOKUP($A266,MasterData!$N$62:$X$111,5,FALSE)</f>
        <v>1.4</v>
      </c>
      <c r="M266" s="211">
        <f>ROUND(L266*MasterData!$F$4,2)</f>
        <v>41496</v>
      </c>
      <c r="N266" s="212">
        <f>VLOOKUP($A266,MasterData!$N$62:$X$111,6,FALSE)</f>
        <v>1.62</v>
      </c>
      <c r="O266" s="211">
        <f>ROUND(N266*MasterData!$G$26,2)</f>
        <v>66370.11</v>
      </c>
      <c r="P266" s="212">
        <f>VLOOKUP($A266,MasterData!$N$62:$X$111,7,FALSE)</f>
        <v>0.22</v>
      </c>
      <c r="Q266" s="214">
        <f>ROUND(P266*MasterData!$H$4,2)</f>
        <v>6520.8</v>
      </c>
      <c r="R266" s="212">
        <f>VLOOKUP($A266,MasterData!$N$62:$X$111,8,FALSE)</f>
        <v>0.12</v>
      </c>
      <c r="S266" s="211">
        <f>ROUND(R266*MasterData!$I$4,2)</f>
        <v>3863.81</v>
      </c>
      <c r="T266" s="215">
        <f t="shared" si="34"/>
        <v>582004.9800000001</v>
      </c>
      <c r="U266" s="211">
        <f>ROUND(T266*MasterData!$C$29,2)</f>
        <v>129845.31</v>
      </c>
      <c r="V266" s="211">
        <f>ROUND(T266*MasterData!$J$29,2)</f>
        <v>2153.42</v>
      </c>
      <c r="W266" s="201">
        <f t="shared" si="38"/>
        <v>711850.29</v>
      </c>
      <c r="X266" s="212">
        <f>VLOOKUP($A266,MasterData!$N$62:$X$111,10,FALSE)*52</f>
        <v>52</v>
      </c>
      <c r="Y266" s="211">
        <f>ROUND(X266*MasterData!$C$7,2)</f>
        <v>3138.72</v>
      </c>
      <c r="Z266" s="212">
        <f>VLOOKUP($A266,MasterData!$N$62:$X$111,11,FALSE)*52</f>
        <v>156</v>
      </c>
      <c r="AA266" s="211">
        <f>ROUND(Z266*MasterData!$D$7,2)</f>
        <v>6605.04</v>
      </c>
      <c r="AB266" s="215">
        <f t="shared" si="35"/>
        <v>9743.76</v>
      </c>
      <c r="AC266" s="216">
        <f>MasterData!$M$28</f>
        <v>15472.178595890411</v>
      </c>
      <c r="AD266" s="211">
        <f>MasterData!$D$30</f>
        <v>992.8</v>
      </c>
      <c r="AE266" s="211">
        <f>MasterData!$E$30</f>
        <v>2876.2</v>
      </c>
      <c r="AF266" s="211">
        <f>MasterData!$F$30</f>
        <v>0</v>
      </c>
      <c r="AG266" s="215">
        <f t="shared" si="36"/>
        <v>740935.22859589045</v>
      </c>
      <c r="AH266" s="211">
        <f>ROUND(AG266*MasterData!$G$29,2)</f>
        <v>88912.23</v>
      </c>
      <c r="AI266" s="200">
        <f>((AG266+AH266)*MasterData!$I$29)-'Model Calculator'!W266*MasterData!$I$29</f>
        <v>2100.3496010068502</v>
      </c>
      <c r="AJ266" s="201">
        <f t="shared" si="37"/>
        <v>834101.22819689731</v>
      </c>
      <c r="AK266" s="201">
        <f t="shared" si="39"/>
        <v>2403.75</v>
      </c>
    </row>
    <row r="267" spans="1:37">
      <c r="A267" s="197" t="s">
        <v>103</v>
      </c>
      <c r="B267" s="197" t="str">
        <f t="shared" si="40"/>
        <v>M211.03</v>
      </c>
      <c r="C267" s="197" t="s">
        <v>175</v>
      </c>
      <c r="D267" s="226" t="s">
        <v>301</v>
      </c>
      <c r="E267" s="213">
        <f>VLOOKUP($A267,MasterData!$N$62:$X$111,2,FALSE)</f>
        <v>0.18</v>
      </c>
      <c r="F267" s="214">
        <f>ROUND(E267*MasterData!$C$4,2)</f>
        <v>9297.2999999999993</v>
      </c>
      <c r="G267" s="212">
        <f>VLOOKUP($A267,MasterData!$N$62:$X$111,3,FALSE)</f>
        <v>0.66</v>
      </c>
      <c r="H267" s="214">
        <f>ROUND(G267*MasterData!$D$4,2)</f>
        <v>27401.09</v>
      </c>
      <c r="I267" s="212">
        <f t="shared" si="33"/>
        <v>11</v>
      </c>
      <c r="J267" s="212">
        <f>VLOOKUP($A267,MasterData!$N$62:$X$111,4,FALSE)</f>
        <v>9.6</v>
      </c>
      <c r="K267" s="214">
        <f>ROUND(J267*MasterData!$F$26,2)</f>
        <v>450520.47</v>
      </c>
      <c r="L267" s="212">
        <f>VLOOKUP($A267,MasterData!$N$62:$X$111,5,FALSE)</f>
        <v>1.4</v>
      </c>
      <c r="M267" s="211">
        <f>ROUND(L267*MasterData!$F$4,2)</f>
        <v>41496</v>
      </c>
      <c r="N267" s="212">
        <f>VLOOKUP($A267,MasterData!$N$62:$X$111,6,FALSE)</f>
        <v>1.69</v>
      </c>
      <c r="O267" s="211">
        <f>ROUND(N267*MasterData!$G$26,2)</f>
        <v>69237.960000000006</v>
      </c>
      <c r="P267" s="212">
        <f>VLOOKUP($A267,MasterData!$N$62:$X$111,7,FALSE)</f>
        <v>0.22</v>
      </c>
      <c r="Q267" s="214">
        <f>ROUND(P267*MasterData!$H$4,2)</f>
        <v>6520.8</v>
      </c>
      <c r="R267" s="212">
        <f>VLOOKUP($A267,MasterData!$N$62:$X$111,8,FALSE)</f>
        <v>0.12</v>
      </c>
      <c r="S267" s="211">
        <f>ROUND(R267*MasterData!$I$4,2)</f>
        <v>3863.81</v>
      </c>
      <c r="T267" s="215">
        <f t="shared" si="34"/>
        <v>608337.43000000005</v>
      </c>
      <c r="U267" s="211">
        <f>ROUND(T267*MasterData!$C$29,2)</f>
        <v>135720.07999999999</v>
      </c>
      <c r="V267" s="211">
        <f>ROUND(T267*MasterData!$J$29,2)</f>
        <v>2250.85</v>
      </c>
      <c r="W267" s="201">
        <f t="shared" si="38"/>
        <v>744057.51</v>
      </c>
      <c r="X267" s="212">
        <f>VLOOKUP($A267,MasterData!$N$62:$X$111,10,FALSE)*52</f>
        <v>52</v>
      </c>
      <c r="Y267" s="211">
        <f>ROUND(X267*MasterData!$C$7,2)</f>
        <v>3138.72</v>
      </c>
      <c r="Z267" s="212">
        <f>VLOOKUP($A267,MasterData!$N$62:$X$111,11,FALSE)*52</f>
        <v>156</v>
      </c>
      <c r="AA267" s="211">
        <f>ROUND(Z267*MasterData!$D$7,2)</f>
        <v>6605.04</v>
      </c>
      <c r="AB267" s="215">
        <f t="shared" si="35"/>
        <v>9743.76</v>
      </c>
      <c r="AC267" s="216">
        <f>MasterData!$M$28</f>
        <v>15472.178595890411</v>
      </c>
      <c r="AD267" s="211">
        <f>MasterData!$D$30</f>
        <v>992.8</v>
      </c>
      <c r="AE267" s="211">
        <f>MasterData!$E$30</f>
        <v>2876.2</v>
      </c>
      <c r="AF267" s="211">
        <f>MasterData!$F$30</f>
        <v>0</v>
      </c>
      <c r="AG267" s="215">
        <f t="shared" si="36"/>
        <v>773142.44859589043</v>
      </c>
      <c r="AH267" s="211">
        <f>ROUND(AG267*MasterData!$G$29,2)</f>
        <v>92777.09</v>
      </c>
      <c r="AI267" s="200">
        <f>((AG267+AH267)*MasterData!$I$29)-'Model Calculator'!W267*MasterData!$I$29</f>
        <v>2169.1441090068492</v>
      </c>
      <c r="AJ267" s="201">
        <f t="shared" si="37"/>
        <v>870339.53270489722</v>
      </c>
      <c r="AK267" s="201">
        <f t="shared" si="39"/>
        <v>2508.1799999999998</v>
      </c>
    </row>
    <row r="268" spans="1:37" hidden="1">
      <c r="A268" s="197" t="s">
        <v>104</v>
      </c>
      <c r="B268" s="197" t="str">
        <f t="shared" si="40"/>
        <v>M211.53</v>
      </c>
      <c r="C268" s="197" t="s">
        <v>176</v>
      </c>
      <c r="D268" s="226" t="s">
        <v>301</v>
      </c>
      <c r="E268" s="213">
        <f>VLOOKUP($A268,MasterData!$N$62:$X$111,2,FALSE)</f>
        <v>0.18</v>
      </c>
      <c r="F268" s="214">
        <f>ROUND(E268*MasterData!$C$4,2)</f>
        <v>9297.2999999999993</v>
      </c>
      <c r="G268" s="212">
        <f>VLOOKUP($A268,MasterData!$N$62:$X$111,3,FALSE)</f>
        <v>0.66</v>
      </c>
      <c r="H268" s="214">
        <f>ROUND(G268*MasterData!$D$4,2)</f>
        <v>27401.09</v>
      </c>
      <c r="I268" s="212">
        <f t="shared" si="33"/>
        <v>11.5</v>
      </c>
      <c r="J268" s="212">
        <f>VLOOKUP($A268,MasterData!$N$62:$X$111,4,FALSE)</f>
        <v>10.1</v>
      </c>
      <c r="K268" s="214">
        <f>ROUND(J268*MasterData!$F$26,2)</f>
        <v>473985.08</v>
      </c>
      <c r="L268" s="212">
        <f>VLOOKUP($A268,MasterData!$N$62:$X$111,5,FALSE)</f>
        <v>1.4</v>
      </c>
      <c r="M268" s="211">
        <f>ROUND(L268*MasterData!$F$4,2)</f>
        <v>41496</v>
      </c>
      <c r="N268" s="212">
        <f>VLOOKUP($A268,MasterData!$N$62:$X$111,6,FALSE)</f>
        <v>1.77</v>
      </c>
      <c r="O268" s="211">
        <f>ROUND(N268*MasterData!$G$26,2)</f>
        <v>72515.490000000005</v>
      </c>
      <c r="P268" s="212">
        <f>VLOOKUP($A268,MasterData!$N$62:$X$111,7,FALSE)</f>
        <v>0.22</v>
      </c>
      <c r="Q268" s="214">
        <f>ROUND(P268*MasterData!$H$4,2)</f>
        <v>6520.8</v>
      </c>
      <c r="R268" s="212">
        <f>VLOOKUP($A268,MasterData!$N$62:$X$111,8,FALSE)</f>
        <v>0.12</v>
      </c>
      <c r="S268" s="211">
        <f>ROUND(R268*MasterData!$I$4,2)</f>
        <v>3863.81</v>
      </c>
      <c r="T268" s="215">
        <f t="shared" si="34"/>
        <v>635079.57000000007</v>
      </c>
      <c r="U268" s="211">
        <f>ROUND(T268*MasterData!$C$29,2)</f>
        <v>141686.25</v>
      </c>
      <c r="V268" s="211">
        <f>ROUND(T268*MasterData!$J$29,2)</f>
        <v>2349.79</v>
      </c>
      <c r="W268" s="201">
        <f t="shared" si="38"/>
        <v>776765.82000000007</v>
      </c>
      <c r="X268" s="212">
        <f>VLOOKUP($A268,MasterData!$N$62:$X$111,10,FALSE)*52</f>
        <v>52</v>
      </c>
      <c r="Y268" s="211">
        <f>ROUND(X268*MasterData!$C$7,2)</f>
        <v>3138.72</v>
      </c>
      <c r="Z268" s="212">
        <f>VLOOKUP($A268,MasterData!$N$62:$X$111,11,FALSE)*52</f>
        <v>156</v>
      </c>
      <c r="AA268" s="211">
        <f>ROUND(Z268*MasterData!$D$7,2)</f>
        <v>6605.04</v>
      </c>
      <c r="AB268" s="215">
        <f t="shared" si="35"/>
        <v>9743.76</v>
      </c>
      <c r="AC268" s="216">
        <f>MasterData!$M$28</f>
        <v>15472.178595890411</v>
      </c>
      <c r="AD268" s="211">
        <f>MasterData!$D$30</f>
        <v>992.8</v>
      </c>
      <c r="AE268" s="211">
        <f>MasterData!$E$30</f>
        <v>2876.2</v>
      </c>
      <c r="AF268" s="211">
        <f>MasterData!$F$30</f>
        <v>0</v>
      </c>
      <c r="AG268" s="215">
        <f t="shared" si="36"/>
        <v>805850.75859589048</v>
      </c>
      <c r="AH268" s="211">
        <f>ROUND(AG268*MasterData!$G$29,2)</f>
        <v>96702.09</v>
      </c>
      <c r="AI268" s="200">
        <f>((AG268+AH268)*MasterData!$I$29)-'Model Calculator'!W268*MasterData!$I$29</f>
        <v>2239.009109006849</v>
      </c>
      <c r="AJ268" s="201">
        <f t="shared" si="37"/>
        <v>907141.64770489733</v>
      </c>
      <c r="AK268" s="201">
        <f t="shared" si="39"/>
        <v>2614.2399999999998</v>
      </c>
    </row>
    <row r="269" spans="1:37" hidden="1">
      <c r="A269" s="197" t="s">
        <v>105</v>
      </c>
      <c r="B269" s="197" t="str">
        <f t="shared" si="40"/>
        <v>M212.03</v>
      </c>
      <c r="C269" s="197" t="s">
        <v>177</v>
      </c>
      <c r="D269" s="226" t="s">
        <v>301</v>
      </c>
      <c r="E269" s="213">
        <f>VLOOKUP($A269,MasterData!$N$62:$X$111,2,FALSE)</f>
        <v>0.18</v>
      </c>
      <c r="F269" s="214">
        <f>ROUND(E269*MasterData!$C$4,2)</f>
        <v>9297.2999999999993</v>
      </c>
      <c r="G269" s="212">
        <f>VLOOKUP($A269,MasterData!$N$62:$X$111,3,FALSE)</f>
        <v>0.66</v>
      </c>
      <c r="H269" s="214">
        <f>ROUND(G269*MasterData!$D$4,2)</f>
        <v>27401.09</v>
      </c>
      <c r="I269" s="212">
        <f t="shared" si="33"/>
        <v>12</v>
      </c>
      <c r="J269" s="212">
        <f>VLOOKUP($A269,MasterData!$N$62:$X$111,4,FALSE)</f>
        <v>10.6</v>
      </c>
      <c r="K269" s="214">
        <f>ROUND(J269*MasterData!$F$26,2)</f>
        <v>497449.69</v>
      </c>
      <c r="L269" s="212">
        <f>VLOOKUP($A269,MasterData!$N$62:$X$111,5,FALSE)</f>
        <v>1.4</v>
      </c>
      <c r="M269" s="211">
        <f>ROUND(L269*MasterData!$F$4,2)</f>
        <v>41496</v>
      </c>
      <c r="N269" s="212">
        <f>VLOOKUP($A269,MasterData!$N$62:$X$111,6,FALSE)</f>
        <v>1.85</v>
      </c>
      <c r="O269" s="211">
        <f>ROUND(N269*MasterData!$G$26,2)</f>
        <v>75793.03</v>
      </c>
      <c r="P269" s="212">
        <f>VLOOKUP($A269,MasterData!$N$62:$X$111,7,FALSE)</f>
        <v>0.22</v>
      </c>
      <c r="Q269" s="214">
        <f>ROUND(P269*MasterData!$H$4,2)</f>
        <v>6520.8</v>
      </c>
      <c r="R269" s="212">
        <f>VLOOKUP($A269,MasterData!$N$62:$X$111,8,FALSE)</f>
        <v>0.12</v>
      </c>
      <c r="S269" s="211">
        <f>ROUND(R269*MasterData!$I$4,2)</f>
        <v>3863.81</v>
      </c>
      <c r="T269" s="215">
        <f t="shared" si="34"/>
        <v>661821.72000000009</v>
      </c>
      <c r="U269" s="211">
        <f>ROUND(T269*MasterData!$C$29,2)</f>
        <v>147652.43</v>
      </c>
      <c r="V269" s="211">
        <f>ROUND(T269*MasterData!$J$29,2)</f>
        <v>2448.7399999999998</v>
      </c>
      <c r="W269" s="201">
        <f t="shared" si="38"/>
        <v>809474.15000000014</v>
      </c>
      <c r="X269" s="212">
        <f>VLOOKUP($A269,MasterData!$N$62:$X$111,10,FALSE)*52</f>
        <v>52</v>
      </c>
      <c r="Y269" s="211">
        <f>ROUND(X269*MasterData!$C$7,2)</f>
        <v>3138.72</v>
      </c>
      <c r="Z269" s="212">
        <f>VLOOKUP($A269,MasterData!$N$62:$X$111,11,FALSE)*52</f>
        <v>156</v>
      </c>
      <c r="AA269" s="211">
        <f>ROUND(Z269*MasterData!$D$7,2)</f>
        <v>6605.04</v>
      </c>
      <c r="AB269" s="215">
        <f t="shared" si="35"/>
        <v>9743.76</v>
      </c>
      <c r="AC269" s="216">
        <f>MasterData!$M$28</f>
        <v>15472.178595890411</v>
      </c>
      <c r="AD269" s="211">
        <f>MasterData!$D$30</f>
        <v>992.8</v>
      </c>
      <c r="AE269" s="211">
        <f>MasterData!$E$30</f>
        <v>2876.2</v>
      </c>
      <c r="AF269" s="211">
        <f>MasterData!$F$30</f>
        <v>0</v>
      </c>
      <c r="AG269" s="215">
        <f t="shared" si="36"/>
        <v>838559.08859589056</v>
      </c>
      <c r="AH269" s="211">
        <f>ROUND(AG269*MasterData!$G$29,2)</f>
        <v>100627.09</v>
      </c>
      <c r="AI269" s="200">
        <f>((AG269+AH269)*MasterData!$I$29)-'Model Calculator'!W269*MasterData!$I$29</f>
        <v>2308.874109006847</v>
      </c>
      <c r="AJ269" s="201">
        <f t="shared" si="37"/>
        <v>943943.79270489735</v>
      </c>
      <c r="AK269" s="201">
        <f t="shared" si="39"/>
        <v>2720.3</v>
      </c>
    </row>
    <row r="270" spans="1:37" hidden="1">
      <c r="A270" s="197" t="s">
        <v>106</v>
      </c>
      <c r="B270" s="197" t="str">
        <f t="shared" si="40"/>
        <v>M212.53</v>
      </c>
      <c r="C270" s="197" t="s">
        <v>178</v>
      </c>
      <c r="D270" s="226" t="s">
        <v>301</v>
      </c>
      <c r="E270" s="213">
        <f>VLOOKUP($A270,MasterData!$N$62:$X$111,2,FALSE)</f>
        <v>0.18</v>
      </c>
      <c r="F270" s="214">
        <f>ROUND(E270*MasterData!$C$4,2)</f>
        <v>9297.2999999999993</v>
      </c>
      <c r="G270" s="212">
        <f>VLOOKUP($A270,MasterData!$N$62:$X$111,3,FALSE)</f>
        <v>0.66</v>
      </c>
      <c r="H270" s="214">
        <f>ROUND(G270*MasterData!$D$4,2)</f>
        <v>27401.09</v>
      </c>
      <c r="I270" s="212">
        <f t="shared" si="33"/>
        <v>12.5</v>
      </c>
      <c r="J270" s="212">
        <f>VLOOKUP($A270,MasterData!$N$62:$X$111,4,FALSE)</f>
        <v>11.1</v>
      </c>
      <c r="K270" s="214">
        <f>ROUND(J270*MasterData!$F$26,2)</f>
        <v>520914.3</v>
      </c>
      <c r="L270" s="212">
        <f>VLOOKUP($A270,MasterData!$N$62:$X$111,5,FALSE)</f>
        <v>1.4</v>
      </c>
      <c r="M270" s="211">
        <f>ROUND(L270*MasterData!$F$4,2)</f>
        <v>41496</v>
      </c>
      <c r="N270" s="212">
        <f>VLOOKUP($A270,MasterData!$N$62:$X$111,6,FALSE)</f>
        <v>1.93</v>
      </c>
      <c r="O270" s="211">
        <f>ROUND(N270*MasterData!$G$26,2)</f>
        <v>79070.570000000007</v>
      </c>
      <c r="P270" s="212">
        <f>VLOOKUP($A270,MasterData!$N$62:$X$111,7,FALSE)</f>
        <v>0.22</v>
      </c>
      <c r="Q270" s="214">
        <f>ROUND(P270*MasterData!$H$4,2)</f>
        <v>6520.8</v>
      </c>
      <c r="R270" s="212">
        <f>VLOOKUP($A270,MasterData!$N$62:$X$111,8,FALSE)</f>
        <v>0.12</v>
      </c>
      <c r="S270" s="211">
        <f>ROUND(R270*MasterData!$I$4,2)</f>
        <v>3863.81</v>
      </c>
      <c r="T270" s="215">
        <f t="shared" si="34"/>
        <v>688563.87000000011</v>
      </c>
      <c r="U270" s="211">
        <f>ROUND(T270*MasterData!$C$29,2)</f>
        <v>153618.6</v>
      </c>
      <c r="V270" s="211">
        <f>ROUND(T270*MasterData!$J$29,2)</f>
        <v>2547.69</v>
      </c>
      <c r="W270" s="201">
        <f t="shared" si="38"/>
        <v>842182.47000000009</v>
      </c>
      <c r="X270" s="212">
        <f>VLOOKUP($A270,MasterData!$N$62:$X$111,10,FALSE)*52</f>
        <v>52</v>
      </c>
      <c r="Y270" s="211">
        <f>ROUND(X270*MasterData!$C$7,2)</f>
        <v>3138.72</v>
      </c>
      <c r="Z270" s="212">
        <f>VLOOKUP($A270,MasterData!$N$62:$X$111,11,FALSE)*52</f>
        <v>156</v>
      </c>
      <c r="AA270" s="211">
        <f>ROUND(Z270*MasterData!$D$7,2)</f>
        <v>6605.04</v>
      </c>
      <c r="AB270" s="215">
        <f t="shared" si="35"/>
        <v>9743.76</v>
      </c>
      <c r="AC270" s="216">
        <f>MasterData!$M$28</f>
        <v>15472.178595890411</v>
      </c>
      <c r="AD270" s="211">
        <f>MasterData!$D$30</f>
        <v>992.8</v>
      </c>
      <c r="AE270" s="211">
        <f>MasterData!$E$30</f>
        <v>2876.2</v>
      </c>
      <c r="AF270" s="211">
        <f>MasterData!$F$30</f>
        <v>0</v>
      </c>
      <c r="AG270" s="215">
        <f t="shared" si="36"/>
        <v>871267.40859589051</v>
      </c>
      <c r="AH270" s="211">
        <f>ROUND(AG270*MasterData!$G$29,2)</f>
        <v>104552.09</v>
      </c>
      <c r="AI270" s="200">
        <f>((AG270+AH270)*MasterData!$I$29)-'Model Calculator'!W270*MasterData!$I$29</f>
        <v>2378.7391090068486</v>
      </c>
      <c r="AJ270" s="201">
        <f t="shared" si="37"/>
        <v>980745.92770489724</v>
      </c>
      <c r="AK270" s="201">
        <f t="shared" si="39"/>
        <v>2826.36</v>
      </c>
    </row>
    <row r="271" spans="1:37" hidden="1">
      <c r="A271" s="197" t="s">
        <v>107</v>
      </c>
      <c r="B271" s="197" t="str">
        <f t="shared" si="40"/>
        <v>M213.03</v>
      </c>
      <c r="C271" s="197" t="s">
        <v>179</v>
      </c>
      <c r="D271" s="226" t="s">
        <v>301</v>
      </c>
      <c r="E271" s="213">
        <f>VLOOKUP($A271,MasterData!$N$62:$X$111,2,FALSE)</f>
        <v>0.18</v>
      </c>
      <c r="F271" s="214">
        <f>ROUND(E271*MasterData!$C$4,2)</f>
        <v>9297.2999999999993</v>
      </c>
      <c r="G271" s="212">
        <f>VLOOKUP($A271,MasterData!$N$62:$X$111,3,FALSE)</f>
        <v>0.66</v>
      </c>
      <c r="H271" s="214">
        <f>ROUND(G271*MasterData!$D$4,2)</f>
        <v>27401.09</v>
      </c>
      <c r="I271" s="212">
        <f t="shared" si="33"/>
        <v>13</v>
      </c>
      <c r="J271" s="212">
        <f>VLOOKUP($A271,MasterData!$N$62:$X$111,4,FALSE)</f>
        <v>11.6</v>
      </c>
      <c r="K271" s="214">
        <f>ROUND(J271*MasterData!$F$26,2)</f>
        <v>544378.91</v>
      </c>
      <c r="L271" s="212">
        <f>VLOOKUP($A271,MasterData!$N$62:$X$111,5,FALSE)</f>
        <v>1.4</v>
      </c>
      <c r="M271" s="211">
        <f>ROUND(L271*MasterData!$F$4,2)</f>
        <v>41496</v>
      </c>
      <c r="N271" s="212">
        <f>VLOOKUP($A271,MasterData!$N$62:$X$111,6,FALSE)</f>
        <v>2</v>
      </c>
      <c r="O271" s="211">
        <f>ROUND(N271*MasterData!$G$26,2)</f>
        <v>81938.41</v>
      </c>
      <c r="P271" s="212">
        <f>VLOOKUP($A271,MasterData!$N$62:$X$111,7,FALSE)</f>
        <v>0.22</v>
      </c>
      <c r="Q271" s="214">
        <f>ROUND(P271*MasterData!$H$4,2)</f>
        <v>6520.8</v>
      </c>
      <c r="R271" s="212">
        <f>VLOOKUP($A271,MasterData!$N$62:$X$111,8,FALSE)</f>
        <v>0.12</v>
      </c>
      <c r="S271" s="211">
        <f>ROUND(R271*MasterData!$I$4,2)</f>
        <v>3863.81</v>
      </c>
      <c r="T271" s="215">
        <f t="shared" si="34"/>
        <v>714896.32000000018</v>
      </c>
      <c r="U271" s="211">
        <f>ROUND(T271*MasterData!$C$29,2)</f>
        <v>159493.37</v>
      </c>
      <c r="V271" s="211">
        <f>ROUND(T271*MasterData!$J$29,2)</f>
        <v>2645.12</v>
      </c>
      <c r="W271" s="201">
        <f t="shared" si="38"/>
        <v>874389.69000000018</v>
      </c>
      <c r="X271" s="212">
        <f>VLOOKUP($A271,MasterData!$N$62:$X$111,10,FALSE)*52</f>
        <v>52</v>
      </c>
      <c r="Y271" s="211">
        <f>ROUND(X271*MasterData!$C$7,2)</f>
        <v>3138.72</v>
      </c>
      <c r="Z271" s="212">
        <f>VLOOKUP($A271,MasterData!$N$62:$X$111,11,FALSE)*52</f>
        <v>156</v>
      </c>
      <c r="AA271" s="211">
        <f>ROUND(Z271*MasterData!$D$7,2)</f>
        <v>6605.04</v>
      </c>
      <c r="AB271" s="215">
        <f t="shared" si="35"/>
        <v>9743.76</v>
      </c>
      <c r="AC271" s="216">
        <f>MasterData!$M$28</f>
        <v>15472.178595890411</v>
      </c>
      <c r="AD271" s="211">
        <f>MasterData!$D$30</f>
        <v>992.8</v>
      </c>
      <c r="AE271" s="211">
        <f>MasterData!$E$30</f>
        <v>2876.2</v>
      </c>
      <c r="AF271" s="211">
        <f>MasterData!$F$30</f>
        <v>0</v>
      </c>
      <c r="AG271" s="215">
        <f t="shared" si="36"/>
        <v>903474.62859589059</v>
      </c>
      <c r="AH271" s="211">
        <f>ROUND(AG271*MasterData!$G$29,2)</f>
        <v>108416.96000000001</v>
      </c>
      <c r="AI271" s="200">
        <f>((AG271+AH271)*MasterData!$I$29)-'Model Calculator'!W271*MasterData!$I$29</f>
        <v>2447.5337950068479</v>
      </c>
      <c r="AJ271" s="201">
        <f t="shared" si="37"/>
        <v>1016984.2423908974</v>
      </c>
      <c r="AK271" s="201">
        <f t="shared" si="39"/>
        <v>2930.79</v>
      </c>
    </row>
    <row r="272" spans="1:37" hidden="1">
      <c r="A272" s="197" t="s">
        <v>108</v>
      </c>
      <c r="B272" s="197" t="str">
        <f t="shared" si="40"/>
        <v>M213.53</v>
      </c>
      <c r="C272" s="197" t="s">
        <v>180</v>
      </c>
      <c r="D272" s="226" t="s">
        <v>301</v>
      </c>
      <c r="E272" s="213">
        <f>VLOOKUP($A272,MasterData!$N$62:$X$111,2,FALSE)</f>
        <v>0.18</v>
      </c>
      <c r="F272" s="214">
        <f>ROUND(E272*MasterData!$C$4,2)</f>
        <v>9297.2999999999993</v>
      </c>
      <c r="G272" s="212">
        <f>VLOOKUP($A272,MasterData!$N$62:$X$111,3,FALSE)</f>
        <v>0.66</v>
      </c>
      <c r="H272" s="214">
        <f>ROUND(G272*MasterData!$D$4,2)</f>
        <v>27401.09</v>
      </c>
      <c r="I272" s="212">
        <f t="shared" si="33"/>
        <v>13.5</v>
      </c>
      <c r="J272" s="212">
        <f>VLOOKUP($A272,MasterData!$N$62:$X$111,4,FALSE)</f>
        <v>12.1</v>
      </c>
      <c r="K272" s="214">
        <f>ROUND(J272*MasterData!$F$26,2)</f>
        <v>567843.51</v>
      </c>
      <c r="L272" s="212">
        <f>VLOOKUP($A272,MasterData!$N$62:$X$111,5,FALSE)</f>
        <v>1.4</v>
      </c>
      <c r="M272" s="211">
        <f>ROUND(L272*MasterData!$F$4,2)</f>
        <v>41496</v>
      </c>
      <c r="N272" s="212">
        <f>VLOOKUP($A272,MasterData!$N$62:$X$111,6,FALSE)</f>
        <v>2.08</v>
      </c>
      <c r="O272" s="211">
        <f>ROUND(N272*MasterData!$G$26,2)</f>
        <v>85215.95</v>
      </c>
      <c r="P272" s="212">
        <f>VLOOKUP($A272,MasterData!$N$62:$X$111,7,FALSE)</f>
        <v>0.22</v>
      </c>
      <c r="Q272" s="214">
        <f>ROUND(P272*MasterData!$H$4,2)</f>
        <v>6520.8</v>
      </c>
      <c r="R272" s="212">
        <f>VLOOKUP($A272,MasterData!$N$62:$X$111,8,FALSE)</f>
        <v>0.12</v>
      </c>
      <c r="S272" s="211">
        <f>ROUND(R272*MasterData!$I$4,2)</f>
        <v>3863.81</v>
      </c>
      <c r="T272" s="215">
        <f t="shared" si="34"/>
        <v>741638.46000000008</v>
      </c>
      <c r="U272" s="211">
        <f>ROUND(T272*MasterData!$C$29,2)</f>
        <v>165459.54</v>
      </c>
      <c r="V272" s="211">
        <f>ROUND(T272*MasterData!$J$29,2)</f>
        <v>2744.06</v>
      </c>
      <c r="W272" s="201">
        <f t="shared" si="38"/>
        <v>907098.00000000012</v>
      </c>
      <c r="X272" s="212">
        <f>VLOOKUP($A272,MasterData!$N$62:$X$111,10,FALSE)*52</f>
        <v>52</v>
      </c>
      <c r="Y272" s="211">
        <f>ROUND(X272*MasterData!$C$7,2)</f>
        <v>3138.72</v>
      </c>
      <c r="Z272" s="212">
        <f>VLOOKUP($A272,MasterData!$N$62:$X$111,11,FALSE)*52</f>
        <v>156</v>
      </c>
      <c r="AA272" s="211">
        <f>ROUND(Z272*MasterData!$D$7,2)</f>
        <v>6605.04</v>
      </c>
      <c r="AB272" s="215">
        <f t="shared" si="35"/>
        <v>9743.76</v>
      </c>
      <c r="AC272" s="216">
        <f>MasterData!$M$28</f>
        <v>15472.178595890411</v>
      </c>
      <c r="AD272" s="211">
        <f>MasterData!$D$30</f>
        <v>992.8</v>
      </c>
      <c r="AE272" s="211">
        <f>MasterData!$E$30</f>
        <v>2876.2</v>
      </c>
      <c r="AF272" s="211">
        <f>MasterData!$F$30</f>
        <v>0</v>
      </c>
      <c r="AG272" s="215">
        <f t="shared" si="36"/>
        <v>936182.93859589053</v>
      </c>
      <c r="AH272" s="211">
        <f>ROUND(AG272*MasterData!$G$29,2)</f>
        <v>112341.95</v>
      </c>
      <c r="AI272" s="200">
        <f>((AG272+AH272)*MasterData!$I$29)-'Model Calculator'!W272*MasterData!$I$29</f>
        <v>2517.3986170068492</v>
      </c>
      <c r="AJ272" s="201">
        <f t="shared" si="37"/>
        <v>1053786.3472128974</v>
      </c>
      <c r="AK272" s="201">
        <f t="shared" si="39"/>
        <v>3036.85</v>
      </c>
    </row>
    <row r="273" spans="1:37" hidden="1">
      <c r="A273" s="197" t="s">
        <v>109</v>
      </c>
      <c r="B273" s="197" t="str">
        <f t="shared" si="40"/>
        <v>M214.03</v>
      </c>
      <c r="C273" s="197" t="s">
        <v>181</v>
      </c>
      <c r="D273" s="226" t="s">
        <v>301</v>
      </c>
      <c r="E273" s="213">
        <f>VLOOKUP($A273,MasterData!$N$62:$X$111,2,FALSE)</f>
        <v>0.18</v>
      </c>
      <c r="F273" s="214">
        <f>ROUND(E273*MasterData!$C$4,2)</f>
        <v>9297.2999999999993</v>
      </c>
      <c r="G273" s="212">
        <f>VLOOKUP($A273,MasterData!$N$62:$X$111,3,FALSE)</f>
        <v>0.66</v>
      </c>
      <c r="H273" s="214">
        <f>ROUND(G273*MasterData!$D$4,2)</f>
        <v>27401.09</v>
      </c>
      <c r="I273" s="212">
        <f t="shared" si="33"/>
        <v>14</v>
      </c>
      <c r="J273" s="212">
        <f>VLOOKUP($A273,MasterData!$N$62:$X$111,4,FALSE)</f>
        <v>12.6</v>
      </c>
      <c r="K273" s="214">
        <f>ROUND(J273*MasterData!$F$26,2)</f>
        <v>591308.12</v>
      </c>
      <c r="L273" s="212">
        <f>VLOOKUP($A273,MasterData!$N$62:$X$111,5,FALSE)</f>
        <v>1.4</v>
      </c>
      <c r="M273" s="211">
        <f>ROUND(L273*MasterData!$F$4,2)</f>
        <v>41496</v>
      </c>
      <c r="N273" s="212">
        <f>VLOOKUP($A273,MasterData!$N$62:$X$111,6,FALSE)</f>
        <v>2.16</v>
      </c>
      <c r="O273" s="211">
        <f>ROUND(N273*MasterData!$G$26,2)</f>
        <v>88493.48</v>
      </c>
      <c r="P273" s="212">
        <f>VLOOKUP($A273,MasterData!$N$62:$X$111,7,FALSE)</f>
        <v>0.22</v>
      </c>
      <c r="Q273" s="214">
        <f>ROUND(P273*MasterData!$H$4,2)</f>
        <v>6520.8</v>
      </c>
      <c r="R273" s="212">
        <f>VLOOKUP($A273,MasterData!$N$62:$X$111,8,FALSE)</f>
        <v>0.12</v>
      </c>
      <c r="S273" s="211">
        <f>ROUND(R273*MasterData!$I$4,2)</f>
        <v>3863.81</v>
      </c>
      <c r="T273" s="215">
        <f t="shared" si="34"/>
        <v>768380.60000000009</v>
      </c>
      <c r="U273" s="211">
        <f>ROUND(T273*MasterData!$C$29,2)</f>
        <v>171425.71</v>
      </c>
      <c r="V273" s="211">
        <f>ROUND(T273*MasterData!$J$29,2)</f>
        <v>2843.01</v>
      </c>
      <c r="W273" s="201">
        <f t="shared" si="38"/>
        <v>939806.31</v>
      </c>
      <c r="X273" s="212">
        <f>VLOOKUP($A273,MasterData!$N$62:$X$111,10,FALSE)*52</f>
        <v>52</v>
      </c>
      <c r="Y273" s="211">
        <f>ROUND(X273*MasterData!$C$7,2)</f>
        <v>3138.72</v>
      </c>
      <c r="Z273" s="212">
        <f>VLOOKUP($A273,MasterData!$N$62:$X$111,11,FALSE)*52</f>
        <v>156</v>
      </c>
      <c r="AA273" s="211">
        <f>ROUND(Z273*MasterData!$D$7,2)</f>
        <v>6605.04</v>
      </c>
      <c r="AB273" s="215">
        <f t="shared" si="35"/>
        <v>9743.76</v>
      </c>
      <c r="AC273" s="216">
        <f>MasterData!$M$28</f>
        <v>15472.178595890411</v>
      </c>
      <c r="AD273" s="211">
        <f>MasterData!$D$30</f>
        <v>992.8</v>
      </c>
      <c r="AE273" s="211">
        <f>MasterData!$E$30</f>
        <v>2876.2</v>
      </c>
      <c r="AF273" s="211">
        <f>MasterData!$F$30</f>
        <v>0</v>
      </c>
      <c r="AG273" s="215">
        <f t="shared" si="36"/>
        <v>968891.24859589047</v>
      </c>
      <c r="AH273" s="211">
        <f>ROUND(AG273*MasterData!$G$29,2)</f>
        <v>116266.95</v>
      </c>
      <c r="AI273" s="200">
        <f>((AG273+AH273)*MasterData!$I$29)-'Model Calculator'!W273*MasterData!$I$29</f>
        <v>2587.2636170068508</v>
      </c>
      <c r="AJ273" s="201">
        <f t="shared" si="37"/>
        <v>1090588.4722128974</v>
      </c>
      <c r="AK273" s="201">
        <f t="shared" si="39"/>
        <v>3142.91</v>
      </c>
    </row>
    <row r="274" spans="1:37" hidden="1">
      <c r="A274" s="197" t="s">
        <v>110</v>
      </c>
      <c r="B274" s="197" t="str">
        <f t="shared" si="40"/>
        <v>M214.53</v>
      </c>
      <c r="C274" s="197" t="s">
        <v>182</v>
      </c>
      <c r="D274" s="226" t="s">
        <v>301</v>
      </c>
      <c r="E274" s="213">
        <f>VLOOKUP($A274,MasterData!$N$62:$X$111,2,FALSE)</f>
        <v>0.18</v>
      </c>
      <c r="F274" s="214">
        <f>ROUND(E274*MasterData!$C$4,2)</f>
        <v>9297.2999999999993</v>
      </c>
      <c r="G274" s="212">
        <f>VLOOKUP($A274,MasterData!$N$62:$X$111,3,FALSE)</f>
        <v>0.66</v>
      </c>
      <c r="H274" s="214">
        <f>ROUND(G274*MasterData!$D$4,2)</f>
        <v>27401.09</v>
      </c>
      <c r="I274" s="212">
        <f t="shared" si="33"/>
        <v>14.5</v>
      </c>
      <c r="J274" s="212">
        <f>VLOOKUP($A274,MasterData!$N$62:$X$111,4,FALSE)</f>
        <v>13.1</v>
      </c>
      <c r="K274" s="214">
        <f>ROUND(J274*MasterData!$F$26,2)</f>
        <v>614772.73</v>
      </c>
      <c r="L274" s="212">
        <f>VLOOKUP($A274,MasterData!$N$62:$X$111,5,FALSE)</f>
        <v>1.4</v>
      </c>
      <c r="M274" s="211">
        <f>ROUND(L274*MasterData!$F$4,2)</f>
        <v>41496</v>
      </c>
      <c r="N274" s="212">
        <f>VLOOKUP($A274,MasterData!$N$62:$X$111,6,FALSE)</f>
        <v>2.23</v>
      </c>
      <c r="O274" s="211">
        <f>ROUND(N274*MasterData!$G$26,2)</f>
        <v>91361.33</v>
      </c>
      <c r="P274" s="212">
        <f>VLOOKUP($A274,MasterData!$N$62:$X$111,7,FALSE)</f>
        <v>0.22</v>
      </c>
      <c r="Q274" s="214">
        <f>ROUND(P274*MasterData!$H$4,2)</f>
        <v>6520.8</v>
      </c>
      <c r="R274" s="212">
        <f>VLOOKUP($A274,MasterData!$N$62:$X$111,8,FALSE)</f>
        <v>0.12</v>
      </c>
      <c r="S274" s="211">
        <f>ROUND(R274*MasterData!$I$4,2)</f>
        <v>3863.81</v>
      </c>
      <c r="T274" s="215">
        <f t="shared" si="34"/>
        <v>794713.06</v>
      </c>
      <c r="U274" s="211">
        <f>ROUND(T274*MasterData!$C$29,2)</f>
        <v>177300.48000000001</v>
      </c>
      <c r="V274" s="211">
        <f>ROUND(T274*MasterData!$J$29,2)</f>
        <v>2940.44</v>
      </c>
      <c r="W274" s="201">
        <f t="shared" si="38"/>
        <v>972013.54</v>
      </c>
      <c r="X274" s="212">
        <f>VLOOKUP($A274,MasterData!$N$62:$X$111,10,FALSE)*52</f>
        <v>52</v>
      </c>
      <c r="Y274" s="211">
        <f>ROUND(X274*MasterData!$C$7,2)</f>
        <v>3138.72</v>
      </c>
      <c r="Z274" s="212">
        <f>VLOOKUP($A274,MasterData!$N$62:$X$111,11,FALSE)*52</f>
        <v>156</v>
      </c>
      <c r="AA274" s="211">
        <f>ROUND(Z274*MasterData!$D$7,2)</f>
        <v>6605.04</v>
      </c>
      <c r="AB274" s="215">
        <f t="shared" si="35"/>
        <v>9743.76</v>
      </c>
      <c r="AC274" s="216">
        <f>MasterData!$M$28</f>
        <v>15472.178595890411</v>
      </c>
      <c r="AD274" s="211">
        <f>MasterData!$D$30</f>
        <v>992.8</v>
      </c>
      <c r="AE274" s="211">
        <f>MasterData!$E$30</f>
        <v>2876.2</v>
      </c>
      <c r="AF274" s="211">
        <f>MasterData!$F$30</f>
        <v>0</v>
      </c>
      <c r="AG274" s="215">
        <f t="shared" si="36"/>
        <v>1001098.4785958905</v>
      </c>
      <c r="AH274" s="211">
        <f>ROUND(AG274*MasterData!$G$29,2)</f>
        <v>120131.82</v>
      </c>
      <c r="AI274" s="200">
        <f>((AG274+AH274)*MasterData!$I$29)-'Model Calculator'!W274*MasterData!$I$29</f>
        <v>2656.0583030068483</v>
      </c>
      <c r="AJ274" s="201">
        <f t="shared" si="37"/>
        <v>1126826.7968988973</v>
      </c>
      <c r="AK274" s="201">
        <f t="shared" si="39"/>
        <v>3247.34</v>
      </c>
    </row>
    <row r="275" spans="1:37" hidden="1">
      <c r="A275" s="197" t="s">
        <v>111</v>
      </c>
      <c r="B275" s="197" t="str">
        <f t="shared" si="40"/>
        <v>M215.03</v>
      </c>
      <c r="C275" s="197" t="s">
        <v>183</v>
      </c>
      <c r="D275" s="226" t="s">
        <v>301</v>
      </c>
      <c r="E275" s="213">
        <f>VLOOKUP($A275,MasterData!$N$62:$X$111,2,FALSE)</f>
        <v>0.18</v>
      </c>
      <c r="F275" s="214">
        <f>ROUND(E275*MasterData!$C$4,2)</f>
        <v>9297.2999999999993</v>
      </c>
      <c r="G275" s="212">
        <f>VLOOKUP($A275,MasterData!$N$62:$X$111,3,FALSE)</f>
        <v>0.66</v>
      </c>
      <c r="H275" s="214">
        <f>ROUND(G275*MasterData!$D$4,2)</f>
        <v>27401.09</v>
      </c>
      <c r="I275" s="212">
        <f t="shared" si="33"/>
        <v>15</v>
      </c>
      <c r="J275" s="212">
        <f>VLOOKUP($A275,MasterData!$N$62:$X$111,4,FALSE)</f>
        <v>13.6</v>
      </c>
      <c r="K275" s="214">
        <f>ROUND(J275*MasterData!$F$26,2)</f>
        <v>638237.34</v>
      </c>
      <c r="L275" s="212">
        <f>VLOOKUP($A275,MasterData!$N$62:$X$111,5,FALSE)</f>
        <v>1.4</v>
      </c>
      <c r="M275" s="211">
        <f>ROUND(L275*MasterData!$F$4,2)</f>
        <v>41496</v>
      </c>
      <c r="N275" s="212">
        <f>VLOOKUP($A275,MasterData!$N$62:$X$111,6,FALSE)</f>
        <v>2.31</v>
      </c>
      <c r="O275" s="211">
        <f>ROUND(N275*MasterData!$G$26,2)</f>
        <v>94638.86</v>
      </c>
      <c r="P275" s="212">
        <f>VLOOKUP($A275,MasterData!$N$62:$X$111,7,FALSE)</f>
        <v>0.22</v>
      </c>
      <c r="Q275" s="214">
        <f>ROUND(P275*MasterData!$H$4,2)</f>
        <v>6520.8</v>
      </c>
      <c r="R275" s="212">
        <f>VLOOKUP($A275,MasterData!$N$62:$X$111,8,FALSE)</f>
        <v>0.12</v>
      </c>
      <c r="S275" s="211">
        <f>ROUND(R275*MasterData!$I$4,2)</f>
        <v>3863.81</v>
      </c>
      <c r="T275" s="215">
        <f t="shared" si="34"/>
        <v>821455.20000000007</v>
      </c>
      <c r="U275" s="211">
        <f>ROUND(T275*MasterData!$C$29,2)</f>
        <v>183266.66</v>
      </c>
      <c r="V275" s="211">
        <f>ROUND(T275*MasterData!$J$29,2)</f>
        <v>3039.38</v>
      </c>
      <c r="W275" s="201">
        <f t="shared" si="38"/>
        <v>1004721.8600000001</v>
      </c>
      <c r="X275" s="212">
        <f>VLOOKUP($A275,MasterData!$N$62:$X$111,10,FALSE)*52</f>
        <v>52</v>
      </c>
      <c r="Y275" s="211">
        <f>ROUND(X275*MasterData!$C$7,2)</f>
        <v>3138.72</v>
      </c>
      <c r="Z275" s="212">
        <f>VLOOKUP($A275,MasterData!$N$62:$X$111,11,FALSE)*52</f>
        <v>156</v>
      </c>
      <c r="AA275" s="211">
        <f>ROUND(Z275*MasterData!$D$7,2)</f>
        <v>6605.04</v>
      </c>
      <c r="AB275" s="215">
        <f t="shared" si="35"/>
        <v>9743.76</v>
      </c>
      <c r="AC275" s="216">
        <f>MasterData!$M$28</f>
        <v>15472.178595890411</v>
      </c>
      <c r="AD275" s="211">
        <f>MasterData!$D$30</f>
        <v>992.8</v>
      </c>
      <c r="AE275" s="211">
        <f>MasterData!$E$30</f>
        <v>2876.2</v>
      </c>
      <c r="AF275" s="211">
        <f>MasterData!$F$30</f>
        <v>0</v>
      </c>
      <c r="AG275" s="215">
        <f t="shared" si="36"/>
        <v>1033806.7985958905</v>
      </c>
      <c r="AH275" s="211">
        <f>ROUND(AG275*MasterData!$G$29,2)</f>
        <v>124056.82</v>
      </c>
      <c r="AI275" s="200">
        <f>((AG275+AH275)*MasterData!$I$29)-'Model Calculator'!W275*MasterData!$I$29</f>
        <v>2725.9233030068463</v>
      </c>
      <c r="AJ275" s="201">
        <f t="shared" si="37"/>
        <v>1163628.9218988973</v>
      </c>
      <c r="AK275" s="201">
        <f t="shared" si="39"/>
        <v>3353.4</v>
      </c>
    </row>
    <row r="276" spans="1:37" hidden="1">
      <c r="A276" s="197" t="s">
        <v>112</v>
      </c>
      <c r="B276" s="197" t="str">
        <f t="shared" si="40"/>
        <v>M215.53</v>
      </c>
      <c r="C276" s="197" t="s">
        <v>184</v>
      </c>
      <c r="D276" s="226" t="s">
        <v>301</v>
      </c>
      <c r="E276" s="213">
        <f>VLOOKUP($A276,MasterData!$N$62:$X$111,2,FALSE)</f>
        <v>0.18</v>
      </c>
      <c r="F276" s="214">
        <f>ROUND(E276*MasterData!$C$4,2)</f>
        <v>9297.2999999999993</v>
      </c>
      <c r="G276" s="212">
        <f>VLOOKUP($A276,MasterData!$N$62:$X$111,3,FALSE)</f>
        <v>0.66</v>
      </c>
      <c r="H276" s="214">
        <f>ROUND(G276*MasterData!$D$4,2)</f>
        <v>27401.09</v>
      </c>
      <c r="I276" s="212">
        <f t="shared" si="33"/>
        <v>15.5</v>
      </c>
      <c r="J276" s="212">
        <f>VLOOKUP($A276,MasterData!$N$62:$X$111,4,FALSE)</f>
        <v>14.1</v>
      </c>
      <c r="K276" s="214">
        <f>ROUND(J276*MasterData!$F$26,2)</f>
        <v>661701.94999999995</v>
      </c>
      <c r="L276" s="212">
        <f>VLOOKUP($A276,MasterData!$N$62:$X$111,5,FALSE)</f>
        <v>1.4</v>
      </c>
      <c r="M276" s="211">
        <f>ROUND(L276*MasterData!$F$4,2)</f>
        <v>41496</v>
      </c>
      <c r="N276" s="212">
        <f>VLOOKUP($A276,MasterData!$N$62:$X$111,6,FALSE)</f>
        <v>2.39</v>
      </c>
      <c r="O276" s="211">
        <f>ROUND(N276*MasterData!$G$26,2)</f>
        <v>97916.4</v>
      </c>
      <c r="P276" s="212">
        <f>VLOOKUP($A276,MasterData!$N$62:$X$111,7,FALSE)</f>
        <v>0.22</v>
      </c>
      <c r="Q276" s="214">
        <f>ROUND(P276*MasterData!$H$4,2)</f>
        <v>6520.8</v>
      </c>
      <c r="R276" s="212">
        <f>VLOOKUP($A276,MasterData!$N$62:$X$111,8,FALSE)</f>
        <v>0.12</v>
      </c>
      <c r="S276" s="211">
        <f>ROUND(R276*MasterData!$I$4,2)</f>
        <v>3863.81</v>
      </c>
      <c r="T276" s="215">
        <f t="shared" si="34"/>
        <v>848197.35000000009</v>
      </c>
      <c r="U276" s="211">
        <f>ROUND(T276*MasterData!$C$29,2)</f>
        <v>189232.83</v>
      </c>
      <c r="V276" s="211">
        <f>ROUND(T276*MasterData!$J$29,2)</f>
        <v>3138.33</v>
      </c>
      <c r="W276" s="201">
        <f t="shared" si="38"/>
        <v>1037430.18</v>
      </c>
      <c r="X276" s="212">
        <f>VLOOKUP($A276,MasterData!$N$62:$X$111,10,FALSE)*52</f>
        <v>52</v>
      </c>
      <c r="Y276" s="211">
        <f>ROUND(X276*MasterData!$C$7,2)</f>
        <v>3138.72</v>
      </c>
      <c r="Z276" s="212">
        <f>VLOOKUP($A276,MasterData!$N$62:$X$111,11,FALSE)*52</f>
        <v>156</v>
      </c>
      <c r="AA276" s="211">
        <f>ROUND(Z276*MasterData!$D$7,2)</f>
        <v>6605.04</v>
      </c>
      <c r="AB276" s="215">
        <f t="shared" si="35"/>
        <v>9743.76</v>
      </c>
      <c r="AC276" s="216">
        <f>MasterData!$M$28</f>
        <v>15472.178595890411</v>
      </c>
      <c r="AD276" s="211">
        <f>MasterData!$D$30</f>
        <v>992.8</v>
      </c>
      <c r="AE276" s="211">
        <f>MasterData!$E$30</f>
        <v>2876.2</v>
      </c>
      <c r="AF276" s="211">
        <f>MasterData!$F$30</f>
        <v>0</v>
      </c>
      <c r="AG276" s="215">
        <f t="shared" si="36"/>
        <v>1066515.1185958905</v>
      </c>
      <c r="AH276" s="211">
        <f>ROUND(AG276*MasterData!$G$29,2)</f>
        <v>127981.81</v>
      </c>
      <c r="AI276" s="200">
        <f>((AG276+AH276)*MasterData!$I$29)-'Model Calculator'!W276*MasterData!$I$29</f>
        <v>2795.7881250068494</v>
      </c>
      <c r="AJ276" s="201">
        <f t="shared" si="37"/>
        <v>1200431.0467208975</v>
      </c>
      <c r="AK276" s="201">
        <f t="shared" si="39"/>
        <v>3459.46</v>
      </c>
    </row>
    <row r="277" spans="1:37" hidden="1">
      <c r="A277" s="197" t="s">
        <v>89</v>
      </c>
      <c r="B277" s="197" t="str">
        <f t="shared" si="40"/>
        <v>M203.54</v>
      </c>
      <c r="C277" s="197" t="s">
        <v>185</v>
      </c>
      <c r="D277" s="226" t="s">
        <v>301</v>
      </c>
      <c r="E277" s="213">
        <f>VLOOKUP($A277,MasterData!$N$62:$X$111,2,FALSE)</f>
        <v>0.18</v>
      </c>
      <c r="F277" s="214">
        <f>ROUND(E277*MasterData!$C$4,2)</f>
        <v>9297.2999999999993</v>
      </c>
      <c r="G277" s="212">
        <f>VLOOKUP($A277,MasterData!$N$62:$X$111,3,FALSE)</f>
        <v>0.66</v>
      </c>
      <c r="H277" s="214">
        <f>ROUND(G277*MasterData!$D$4,2)</f>
        <v>27401.09</v>
      </c>
      <c r="I277" s="212">
        <f t="shared" si="33"/>
        <v>3.5</v>
      </c>
      <c r="J277" s="212">
        <f>VLOOKUP($A277,MasterData!$N$62:$X$111,4,FALSE)</f>
        <v>2.1</v>
      </c>
      <c r="K277" s="214">
        <f>ROUND(J277*MasterData!$H$26,2)</f>
        <v>0</v>
      </c>
      <c r="L277" s="212">
        <f>VLOOKUP($A277,MasterData!$N$62:$X$111,5,FALSE)</f>
        <v>1.4</v>
      </c>
      <c r="M277" s="211">
        <f>ROUND(L277*MasterData!$F$4,2)</f>
        <v>41496</v>
      </c>
      <c r="N277" s="212">
        <f>VLOOKUP($A277,MasterData!$N$62:$X$111,6,FALSE)</f>
        <v>0.54</v>
      </c>
      <c r="O277" s="211">
        <f>ROUND(N277*MasterData!$I$26,2)</f>
        <v>0</v>
      </c>
      <c r="P277" s="212">
        <f>VLOOKUP($A277,MasterData!$N$62:$X$111,7,FALSE)</f>
        <v>0.22</v>
      </c>
      <c r="Q277" s="214">
        <f>ROUND(P277*MasterData!$H$4,2)</f>
        <v>6520.8</v>
      </c>
      <c r="R277" s="212">
        <f>VLOOKUP($A277,MasterData!$N$62:$X$111,8,FALSE)</f>
        <v>0.12</v>
      </c>
      <c r="S277" s="211">
        <f>ROUND(R277*MasterData!$I$4,2)</f>
        <v>3863.81</v>
      </c>
      <c r="T277" s="215">
        <f t="shared" si="34"/>
        <v>88579</v>
      </c>
      <c r="U277" s="211">
        <f>ROUND(T277*MasterData!$C$29,2)</f>
        <v>19761.97</v>
      </c>
      <c r="V277" s="211">
        <f>ROUND(T277*MasterData!$J$29,2)</f>
        <v>327.74</v>
      </c>
      <c r="W277" s="201">
        <f t="shared" si="38"/>
        <v>108340.97</v>
      </c>
      <c r="X277" s="212">
        <f>VLOOKUP($A277,MasterData!$N$62:$X$111,10,FALSE)*52</f>
        <v>52</v>
      </c>
      <c r="Y277" s="211">
        <f>ROUND(X277*MasterData!$C$7,2)</f>
        <v>3138.72</v>
      </c>
      <c r="Z277" s="212">
        <f>VLOOKUP($A277,MasterData!$N$62:$X$111,11,FALSE)*52</f>
        <v>156</v>
      </c>
      <c r="AA277" s="211">
        <f>ROUND(Z277*MasterData!$D$7,2)</f>
        <v>6605.04</v>
      </c>
      <c r="AB277" s="215">
        <f t="shared" si="35"/>
        <v>9743.76</v>
      </c>
      <c r="AC277" s="216">
        <f>MasterData!$M$28</f>
        <v>15472.178595890411</v>
      </c>
      <c r="AD277" s="211">
        <f>MasterData!$D$30</f>
        <v>992.8</v>
      </c>
      <c r="AE277" s="211">
        <f>MasterData!$E$30</f>
        <v>2876.2</v>
      </c>
      <c r="AF277" s="211">
        <f>MasterData!$F$30</f>
        <v>0</v>
      </c>
      <c r="AG277" s="215">
        <f t="shared" si="36"/>
        <v>137425.90859589042</v>
      </c>
      <c r="AH277" s="211">
        <f>ROUND(AG277*MasterData!$G$29,2)</f>
        <v>16491.11</v>
      </c>
      <c r="AI277" s="200">
        <f>((AG277+AH277)*MasterData!$I$29)-'Model Calculator'!W277*MasterData!$I$29</f>
        <v>811.25366500684959</v>
      </c>
      <c r="AJ277" s="201">
        <f t="shared" si="37"/>
        <v>155056.01226089726</v>
      </c>
      <c r="AK277" s="201">
        <f t="shared" si="39"/>
        <v>446.85</v>
      </c>
    </row>
    <row r="278" spans="1:37" hidden="1">
      <c r="A278" s="197" t="s">
        <v>90</v>
      </c>
      <c r="B278" s="197" t="str">
        <f t="shared" si="40"/>
        <v>M204.04</v>
      </c>
      <c r="C278" s="197" t="s">
        <v>186</v>
      </c>
      <c r="D278" s="226" t="s">
        <v>301</v>
      </c>
      <c r="E278" s="213">
        <f>VLOOKUP($A278,MasterData!$N$62:$X$111,2,FALSE)</f>
        <v>0.18</v>
      </c>
      <c r="F278" s="214">
        <f>ROUND(E278*MasterData!$C$4,2)</f>
        <v>9297.2999999999993</v>
      </c>
      <c r="G278" s="212">
        <f>VLOOKUP($A278,MasterData!$N$62:$X$111,3,FALSE)</f>
        <v>0.66</v>
      </c>
      <c r="H278" s="214">
        <f>ROUND(G278*MasterData!$D$4,2)</f>
        <v>27401.09</v>
      </c>
      <c r="I278" s="212">
        <f t="shared" si="33"/>
        <v>4</v>
      </c>
      <c r="J278" s="212">
        <f>VLOOKUP($A278,MasterData!$N$62:$X$111,4,FALSE)</f>
        <v>2.6</v>
      </c>
      <c r="K278" s="214">
        <f>ROUND(J278*MasterData!$H$26,2)</f>
        <v>0</v>
      </c>
      <c r="L278" s="212">
        <f>VLOOKUP($A278,MasterData!$N$62:$X$111,5,FALSE)</f>
        <v>1.4</v>
      </c>
      <c r="M278" s="211">
        <f>ROUND(L278*MasterData!$F$4,2)</f>
        <v>41496</v>
      </c>
      <c r="N278" s="212">
        <f>VLOOKUP($A278,MasterData!$N$62:$X$111,6,FALSE)</f>
        <v>0.62</v>
      </c>
      <c r="O278" s="211">
        <f>ROUND(N278*MasterData!$I$26,2)</f>
        <v>0</v>
      </c>
      <c r="P278" s="212">
        <f>VLOOKUP($A278,MasterData!$N$62:$X$111,7,FALSE)</f>
        <v>0.22</v>
      </c>
      <c r="Q278" s="214">
        <f>ROUND(P278*MasterData!$H$4,2)</f>
        <v>6520.8</v>
      </c>
      <c r="R278" s="212">
        <f>VLOOKUP($A278,MasterData!$N$62:$X$111,8,FALSE)</f>
        <v>0.12</v>
      </c>
      <c r="S278" s="211">
        <f>ROUND(R278*MasterData!$I$4,2)</f>
        <v>3863.81</v>
      </c>
      <c r="T278" s="215">
        <f t="shared" si="34"/>
        <v>88579</v>
      </c>
      <c r="U278" s="211">
        <f>ROUND(T278*MasterData!$C$29,2)</f>
        <v>19761.97</v>
      </c>
      <c r="V278" s="211">
        <f>ROUND(T278*MasterData!$J$29,2)</f>
        <v>327.74</v>
      </c>
      <c r="W278" s="201">
        <f t="shared" si="38"/>
        <v>108340.97</v>
      </c>
      <c r="X278" s="212">
        <f>VLOOKUP($A278,MasterData!$N$62:$X$111,10,FALSE)*52</f>
        <v>52</v>
      </c>
      <c r="Y278" s="211">
        <f>ROUND(X278*MasterData!$C$7,2)</f>
        <v>3138.72</v>
      </c>
      <c r="Z278" s="212">
        <f>VLOOKUP($A278,MasterData!$N$62:$X$111,11,FALSE)*52</f>
        <v>156</v>
      </c>
      <c r="AA278" s="211">
        <f>ROUND(Z278*MasterData!$D$7,2)</f>
        <v>6605.04</v>
      </c>
      <c r="AB278" s="215">
        <f t="shared" si="35"/>
        <v>9743.76</v>
      </c>
      <c r="AC278" s="216">
        <f>MasterData!$M$28</f>
        <v>15472.178595890411</v>
      </c>
      <c r="AD278" s="211">
        <f>MasterData!$D$30</f>
        <v>992.8</v>
      </c>
      <c r="AE278" s="211">
        <f>MasterData!$E$30</f>
        <v>2876.2</v>
      </c>
      <c r="AF278" s="211">
        <f>MasterData!$F$30</f>
        <v>0</v>
      </c>
      <c r="AG278" s="215">
        <f t="shared" si="36"/>
        <v>137425.90859589042</v>
      </c>
      <c r="AH278" s="211">
        <f>ROUND(AG278*MasterData!$G$29,2)</f>
        <v>16491.11</v>
      </c>
      <c r="AI278" s="200">
        <f>((AG278+AH278)*MasterData!$I$29)-'Model Calculator'!W278*MasterData!$I$29</f>
        <v>811.25366500684959</v>
      </c>
      <c r="AJ278" s="201">
        <f t="shared" si="37"/>
        <v>155056.01226089726</v>
      </c>
      <c r="AK278" s="201">
        <f t="shared" si="39"/>
        <v>446.85</v>
      </c>
    </row>
    <row r="279" spans="1:37" hidden="1">
      <c r="A279" s="197" t="s">
        <v>91</v>
      </c>
      <c r="B279" s="197" t="str">
        <f t="shared" si="40"/>
        <v>M204.54</v>
      </c>
      <c r="C279" s="197" t="s">
        <v>187</v>
      </c>
      <c r="D279" s="226" t="s">
        <v>301</v>
      </c>
      <c r="E279" s="213">
        <f>VLOOKUP($A279,MasterData!$N$62:$X$111,2,FALSE)</f>
        <v>0.18</v>
      </c>
      <c r="F279" s="214">
        <f>ROUND(E279*MasterData!$C$4,2)</f>
        <v>9297.2999999999993</v>
      </c>
      <c r="G279" s="212">
        <f>VLOOKUP($A279,MasterData!$N$62:$X$111,3,FALSE)</f>
        <v>0.66</v>
      </c>
      <c r="H279" s="214">
        <f>ROUND(G279*MasterData!$D$4,2)</f>
        <v>27401.09</v>
      </c>
      <c r="I279" s="212">
        <f t="shared" si="33"/>
        <v>4.5</v>
      </c>
      <c r="J279" s="212">
        <f>VLOOKUP($A279,MasterData!$N$62:$X$111,4,FALSE)</f>
        <v>3.1</v>
      </c>
      <c r="K279" s="214">
        <f>ROUND(J279*MasterData!$H$26,2)</f>
        <v>0</v>
      </c>
      <c r="L279" s="212">
        <f>VLOOKUP($A279,MasterData!$N$62:$X$111,5,FALSE)</f>
        <v>1.4</v>
      </c>
      <c r="M279" s="211">
        <f>ROUND(L279*MasterData!$F$4,2)</f>
        <v>41496</v>
      </c>
      <c r="N279" s="212">
        <f>VLOOKUP($A279,MasterData!$N$62:$X$111,6,FALSE)</f>
        <v>0.69</v>
      </c>
      <c r="O279" s="211">
        <f>ROUND(N279*MasterData!$I$26,2)</f>
        <v>0</v>
      </c>
      <c r="P279" s="212">
        <f>VLOOKUP($A279,MasterData!$N$62:$X$111,7,FALSE)</f>
        <v>0.22</v>
      </c>
      <c r="Q279" s="214">
        <f>ROUND(P279*MasterData!$H$4,2)</f>
        <v>6520.8</v>
      </c>
      <c r="R279" s="212">
        <f>VLOOKUP($A279,MasterData!$N$62:$X$111,8,FALSE)</f>
        <v>0.12</v>
      </c>
      <c r="S279" s="211">
        <f>ROUND(R279*MasterData!$I$4,2)</f>
        <v>3863.81</v>
      </c>
      <c r="T279" s="215">
        <f t="shared" si="34"/>
        <v>88579</v>
      </c>
      <c r="U279" s="211">
        <f>ROUND(T279*MasterData!$C$29,2)</f>
        <v>19761.97</v>
      </c>
      <c r="V279" s="211">
        <f>ROUND(T279*MasterData!$J$29,2)</f>
        <v>327.74</v>
      </c>
      <c r="W279" s="201">
        <f t="shared" si="38"/>
        <v>108340.97</v>
      </c>
      <c r="X279" s="212">
        <f>VLOOKUP($A279,MasterData!$N$62:$X$111,10,FALSE)*52</f>
        <v>52</v>
      </c>
      <c r="Y279" s="211">
        <f>ROUND(X279*MasterData!$C$7,2)</f>
        <v>3138.72</v>
      </c>
      <c r="Z279" s="212">
        <f>VLOOKUP($A279,MasterData!$N$62:$X$111,11,FALSE)*52</f>
        <v>156</v>
      </c>
      <c r="AA279" s="211">
        <f>ROUND(Z279*MasterData!$D$7,2)</f>
        <v>6605.04</v>
      </c>
      <c r="AB279" s="215">
        <f t="shared" si="35"/>
        <v>9743.76</v>
      </c>
      <c r="AC279" s="216">
        <f>MasterData!$M$28</f>
        <v>15472.178595890411</v>
      </c>
      <c r="AD279" s="211">
        <f>MasterData!$D$30</f>
        <v>992.8</v>
      </c>
      <c r="AE279" s="211">
        <f>MasterData!$E$30</f>
        <v>2876.2</v>
      </c>
      <c r="AF279" s="211">
        <f>MasterData!$F$30</f>
        <v>0</v>
      </c>
      <c r="AG279" s="215">
        <f t="shared" si="36"/>
        <v>137425.90859589042</v>
      </c>
      <c r="AH279" s="211">
        <f>ROUND(AG279*MasterData!$G$29,2)</f>
        <v>16491.11</v>
      </c>
      <c r="AI279" s="200">
        <f>((AG279+AH279)*MasterData!$I$29)-'Model Calculator'!W279*MasterData!$I$29</f>
        <v>811.25366500684959</v>
      </c>
      <c r="AJ279" s="201">
        <f t="shared" si="37"/>
        <v>155056.01226089726</v>
      </c>
      <c r="AK279" s="201">
        <f t="shared" si="39"/>
        <v>446.85</v>
      </c>
    </row>
    <row r="280" spans="1:37" hidden="1">
      <c r="A280" s="197" t="s">
        <v>92</v>
      </c>
      <c r="B280" s="197" t="str">
        <f t="shared" si="40"/>
        <v>M205.04</v>
      </c>
      <c r="C280" s="197" t="s">
        <v>188</v>
      </c>
      <c r="D280" s="226" t="s">
        <v>301</v>
      </c>
      <c r="E280" s="213">
        <f>VLOOKUP($A280,MasterData!$N$62:$X$111,2,FALSE)</f>
        <v>0.18</v>
      </c>
      <c r="F280" s="214">
        <f>ROUND(E280*MasterData!$C$4,2)</f>
        <v>9297.2999999999993</v>
      </c>
      <c r="G280" s="212">
        <f>VLOOKUP($A280,MasterData!$N$62:$X$111,3,FALSE)</f>
        <v>0.66</v>
      </c>
      <c r="H280" s="214">
        <f>ROUND(G280*MasterData!$D$4,2)</f>
        <v>27401.09</v>
      </c>
      <c r="I280" s="212">
        <f t="shared" si="33"/>
        <v>5</v>
      </c>
      <c r="J280" s="212">
        <f>VLOOKUP($A280,MasterData!$N$62:$X$111,4,FALSE)</f>
        <v>3.6</v>
      </c>
      <c r="K280" s="214">
        <f>ROUND(J280*MasterData!$H$26,2)</f>
        <v>0</v>
      </c>
      <c r="L280" s="212">
        <f>VLOOKUP($A280,MasterData!$N$62:$X$111,5,FALSE)</f>
        <v>1.4</v>
      </c>
      <c r="M280" s="211">
        <f>ROUND(L280*MasterData!$F$4,2)</f>
        <v>41496</v>
      </c>
      <c r="N280" s="212">
        <f>VLOOKUP($A280,MasterData!$N$62:$X$111,6,FALSE)</f>
        <v>0.77</v>
      </c>
      <c r="O280" s="211">
        <f>ROUND(N280*MasterData!$I$26,2)</f>
        <v>0</v>
      </c>
      <c r="P280" s="212">
        <f>VLOOKUP($A280,MasterData!$N$62:$X$111,7,FALSE)</f>
        <v>0.22</v>
      </c>
      <c r="Q280" s="214">
        <f>ROUND(P280*MasterData!$H$4,2)</f>
        <v>6520.8</v>
      </c>
      <c r="R280" s="212">
        <f>VLOOKUP($A280,MasterData!$N$62:$X$111,8,FALSE)</f>
        <v>0.12</v>
      </c>
      <c r="S280" s="211">
        <f>ROUND(R280*MasterData!$I$4,2)</f>
        <v>3863.81</v>
      </c>
      <c r="T280" s="215">
        <f t="shared" si="34"/>
        <v>88579</v>
      </c>
      <c r="U280" s="211">
        <f>ROUND(T280*MasterData!$C$29,2)</f>
        <v>19761.97</v>
      </c>
      <c r="V280" s="211">
        <f>ROUND(T280*MasterData!$J$29,2)</f>
        <v>327.74</v>
      </c>
      <c r="W280" s="201">
        <f t="shared" si="38"/>
        <v>108340.97</v>
      </c>
      <c r="X280" s="212">
        <f>VLOOKUP($A280,MasterData!$N$62:$X$111,10,FALSE)*52</f>
        <v>52</v>
      </c>
      <c r="Y280" s="211">
        <f>ROUND(X280*MasterData!$C$7,2)</f>
        <v>3138.72</v>
      </c>
      <c r="Z280" s="212">
        <f>VLOOKUP($A280,MasterData!$N$62:$X$111,11,FALSE)*52</f>
        <v>156</v>
      </c>
      <c r="AA280" s="211">
        <f>ROUND(Z280*MasterData!$D$7,2)</f>
        <v>6605.04</v>
      </c>
      <c r="AB280" s="215">
        <f t="shared" si="35"/>
        <v>9743.76</v>
      </c>
      <c r="AC280" s="216">
        <f>MasterData!$M$28</f>
        <v>15472.178595890411</v>
      </c>
      <c r="AD280" s="211">
        <f>MasterData!$D$30</f>
        <v>992.8</v>
      </c>
      <c r="AE280" s="211">
        <f>MasterData!$E$30</f>
        <v>2876.2</v>
      </c>
      <c r="AF280" s="211">
        <f>MasterData!$F$30</f>
        <v>0</v>
      </c>
      <c r="AG280" s="215">
        <f t="shared" si="36"/>
        <v>137425.90859589042</v>
      </c>
      <c r="AH280" s="211">
        <f>ROUND(AG280*MasterData!$G$29,2)</f>
        <v>16491.11</v>
      </c>
      <c r="AI280" s="200">
        <f>((AG280+AH280)*MasterData!$I$29)-'Model Calculator'!W280*MasterData!$I$29</f>
        <v>811.25366500684959</v>
      </c>
      <c r="AJ280" s="201">
        <f t="shared" si="37"/>
        <v>155056.01226089726</v>
      </c>
      <c r="AK280" s="201">
        <f t="shared" si="39"/>
        <v>446.85</v>
      </c>
    </row>
    <row r="281" spans="1:37" hidden="1">
      <c r="A281" s="197" t="s">
        <v>93</v>
      </c>
      <c r="B281" s="197" t="str">
        <f t="shared" si="40"/>
        <v>M205.54</v>
      </c>
      <c r="C281" s="197" t="s">
        <v>189</v>
      </c>
      <c r="D281" s="226" t="s">
        <v>301</v>
      </c>
      <c r="E281" s="213">
        <f>VLOOKUP($A281,MasterData!$N$62:$X$111,2,FALSE)</f>
        <v>0.18</v>
      </c>
      <c r="F281" s="214">
        <f>ROUND(E281*MasterData!$C$4,2)</f>
        <v>9297.2999999999993</v>
      </c>
      <c r="G281" s="212">
        <f>VLOOKUP($A281,MasterData!$N$62:$X$111,3,FALSE)</f>
        <v>0.66</v>
      </c>
      <c r="H281" s="214">
        <f>ROUND(G281*MasterData!$D$4,2)</f>
        <v>27401.09</v>
      </c>
      <c r="I281" s="212">
        <f t="shared" ref="I281:I311" si="41">J281+L281</f>
        <v>5.5</v>
      </c>
      <c r="J281" s="212">
        <f>VLOOKUP($A281,MasterData!$N$62:$X$111,4,FALSE)</f>
        <v>4.0999999999999996</v>
      </c>
      <c r="K281" s="214">
        <f>ROUND(J281*MasterData!$H$26,2)</f>
        <v>0</v>
      </c>
      <c r="L281" s="212">
        <f>VLOOKUP($A281,MasterData!$N$62:$X$111,5,FALSE)</f>
        <v>1.4</v>
      </c>
      <c r="M281" s="211">
        <f>ROUND(L281*MasterData!$F$4,2)</f>
        <v>41496</v>
      </c>
      <c r="N281" s="212">
        <f>VLOOKUP($A281,MasterData!$N$62:$X$111,6,FALSE)</f>
        <v>0.85</v>
      </c>
      <c r="O281" s="211">
        <f>ROUND(N281*MasterData!$I$26,2)</f>
        <v>0</v>
      </c>
      <c r="P281" s="212">
        <f>VLOOKUP($A281,MasterData!$N$62:$X$111,7,FALSE)</f>
        <v>0.22</v>
      </c>
      <c r="Q281" s="214">
        <f>ROUND(P281*MasterData!$H$4,2)</f>
        <v>6520.8</v>
      </c>
      <c r="R281" s="212">
        <f>VLOOKUP($A281,MasterData!$N$62:$X$111,8,FALSE)</f>
        <v>0.12</v>
      </c>
      <c r="S281" s="211">
        <f>ROUND(R281*MasterData!$I$4,2)</f>
        <v>3863.81</v>
      </c>
      <c r="T281" s="215">
        <f t="shared" ref="T281:T302" si="42">F281+H281+K281+M281+O281+Q281+S281</f>
        <v>88579</v>
      </c>
      <c r="U281" s="211">
        <f>ROUND(T281*MasterData!$C$29,2)</f>
        <v>19761.97</v>
      </c>
      <c r="V281" s="211">
        <f>ROUND(T281*MasterData!$J$29,2)</f>
        <v>327.74</v>
      </c>
      <c r="W281" s="201">
        <f t="shared" si="38"/>
        <v>108340.97</v>
      </c>
      <c r="X281" s="212">
        <f>VLOOKUP($A281,MasterData!$N$62:$X$111,10,FALSE)*52</f>
        <v>52</v>
      </c>
      <c r="Y281" s="211">
        <f>ROUND(X281*MasterData!$C$7,2)</f>
        <v>3138.72</v>
      </c>
      <c r="Z281" s="212">
        <f>VLOOKUP($A281,MasterData!$N$62:$X$111,11,FALSE)*52</f>
        <v>156</v>
      </c>
      <c r="AA281" s="211">
        <f>ROUND(Z281*MasterData!$D$7,2)</f>
        <v>6605.04</v>
      </c>
      <c r="AB281" s="215">
        <f t="shared" ref="AB281:AB302" si="43">AA281+Y281</f>
        <v>9743.76</v>
      </c>
      <c r="AC281" s="216">
        <f>MasterData!$M$28</f>
        <v>15472.178595890411</v>
      </c>
      <c r="AD281" s="211">
        <f>MasterData!$D$30</f>
        <v>992.8</v>
      </c>
      <c r="AE281" s="211">
        <f>MasterData!$E$30</f>
        <v>2876.2</v>
      </c>
      <c r="AF281" s="211">
        <f>MasterData!$F$30</f>
        <v>0</v>
      </c>
      <c r="AG281" s="215">
        <f t="shared" si="36"/>
        <v>137425.90859589042</v>
      </c>
      <c r="AH281" s="211">
        <f>ROUND(AG281*MasterData!$G$29,2)</f>
        <v>16491.11</v>
      </c>
      <c r="AI281" s="200">
        <f>((AG281+AH281)*MasterData!$I$29)-'Model Calculator'!W281*MasterData!$I$29</f>
        <v>811.25366500684959</v>
      </c>
      <c r="AJ281" s="201">
        <f t="shared" si="37"/>
        <v>155056.01226089726</v>
      </c>
      <c r="AK281" s="201">
        <f t="shared" si="39"/>
        <v>446.85</v>
      </c>
    </row>
    <row r="282" spans="1:37" hidden="1">
      <c r="A282" s="197" t="s">
        <v>213</v>
      </c>
      <c r="B282" s="197" t="str">
        <f t="shared" si="40"/>
        <v>M206.64</v>
      </c>
      <c r="C282" s="197" t="s">
        <v>190</v>
      </c>
      <c r="D282" s="226" t="s">
        <v>301</v>
      </c>
      <c r="E282" s="213">
        <f>VLOOKUP($A282,MasterData!$N$62:$X$111,2,FALSE)</f>
        <v>0.18</v>
      </c>
      <c r="F282" s="214">
        <f>ROUND(E282*MasterData!$C$4,2)</f>
        <v>9297.2999999999993</v>
      </c>
      <c r="G282" s="212">
        <f>VLOOKUP($A282,MasterData!$N$62:$X$111,3,FALSE)</f>
        <v>0.66</v>
      </c>
      <c r="H282" s="214">
        <f>ROUND(G282*MasterData!$D$4,2)</f>
        <v>27401.09</v>
      </c>
      <c r="I282" s="212">
        <f t="shared" si="41"/>
        <v>6</v>
      </c>
      <c r="J282" s="212">
        <f>VLOOKUP($A282,MasterData!$N$62:$X$111,4,FALSE)</f>
        <v>4.5999999999999996</v>
      </c>
      <c r="K282" s="214">
        <f>ROUND(J282*MasterData!$H$26,2)</f>
        <v>0</v>
      </c>
      <c r="L282" s="212">
        <f>VLOOKUP($A282,MasterData!$N$62:$X$111,5,FALSE)</f>
        <v>1.4</v>
      </c>
      <c r="M282" s="211">
        <f>ROUND(L282*MasterData!$F$4,2)</f>
        <v>41496</v>
      </c>
      <c r="N282" s="212">
        <f>VLOOKUP($A282,MasterData!$N$62:$X$111,6,FALSE)</f>
        <v>0.92</v>
      </c>
      <c r="O282" s="211">
        <f>ROUND(N282*MasterData!$I$26,2)</f>
        <v>0</v>
      </c>
      <c r="P282" s="212">
        <f>VLOOKUP($A282,MasterData!$N$62:$X$111,7,FALSE)</f>
        <v>0.22</v>
      </c>
      <c r="Q282" s="214">
        <f>ROUND(P282*MasterData!$H$4,2)</f>
        <v>6520.8</v>
      </c>
      <c r="R282" s="212">
        <f>VLOOKUP($A282,MasterData!$N$62:$X$111,8,FALSE)</f>
        <v>0.12</v>
      </c>
      <c r="S282" s="211">
        <f>ROUND(R282*MasterData!$I$4,2)</f>
        <v>3863.81</v>
      </c>
      <c r="T282" s="215">
        <f t="shared" si="42"/>
        <v>88579</v>
      </c>
      <c r="U282" s="211">
        <f>ROUND(T282*MasterData!$C$29,2)</f>
        <v>19761.97</v>
      </c>
      <c r="V282" s="211">
        <f>ROUND(T282*MasterData!$J$29,2)</f>
        <v>327.74</v>
      </c>
      <c r="W282" s="201">
        <f t="shared" si="38"/>
        <v>108340.97</v>
      </c>
      <c r="X282" s="212">
        <f>VLOOKUP($A282,MasterData!$N$62:$X$111,10,FALSE)*52</f>
        <v>52</v>
      </c>
      <c r="Y282" s="211">
        <f>ROUND(X282*MasterData!$C$7,2)</f>
        <v>3138.72</v>
      </c>
      <c r="Z282" s="212">
        <f>VLOOKUP($A282,MasterData!$N$62:$X$111,11,FALSE)*52</f>
        <v>156</v>
      </c>
      <c r="AA282" s="211">
        <f>ROUND(Z282*MasterData!$D$7,2)</f>
        <v>6605.04</v>
      </c>
      <c r="AB282" s="215">
        <f t="shared" si="43"/>
        <v>9743.76</v>
      </c>
      <c r="AC282" s="216">
        <f>MasterData!$M$28</f>
        <v>15472.178595890411</v>
      </c>
      <c r="AD282" s="211">
        <f>MasterData!$D$30</f>
        <v>992.8</v>
      </c>
      <c r="AE282" s="211">
        <f>MasterData!$E$30</f>
        <v>2876.2</v>
      </c>
      <c r="AF282" s="211">
        <f>MasterData!$F$30</f>
        <v>0</v>
      </c>
      <c r="AG282" s="215">
        <f t="shared" si="36"/>
        <v>137425.90859589042</v>
      </c>
      <c r="AH282" s="211">
        <f>ROUND(AG282*MasterData!$G$29,2)</f>
        <v>16491.11</v>
      </c>
      <c r="AI282" s="200">
        <f>((AG282+AH282)*MasterData!$I$29)-'Model Calculator'!W282*MasterData!$I$29</f>
        <v>811.25366500684959</v>
      </c>
      <c r="AJ282" s="201">
        <f t="shared" si="37"/>
        <v>155056.01226089726</v>
      </c>
      <c r="AK282" s="201">
        <f t="shared" si="39"/>
        <v>446.85</v>
      </c>
    </row>
    <row r="283" spans="1:37" hidden="1">
      <c r="A283" s="197" t="s">
        <v>94</v>
      </c>
      <c r="B283" s="197" t="str">
        <f t="shared" si="40"/>
        <v>M206.54</v>
      </c>
      <c r="C283" s="197" t="s">
        <v>191</v>
      </c>
      <c r="D283" s="226" t="s">
        <v>301</v>
      </c>
      <c r="E283" s="213">
        <f>VLOOKUP($A283,MasterData!$N$62:$X$111,2,FALSE)</f>
        <v>0.18</v>
      </c>
      <c r="F283" s="214">
        <f>ROUND(E283*MasterData!$C$4,2)</f>
        <v>9297.2999999999993</v>
      </c>
      <c r="G283" s="212">
        <f>VLOOKUP($A283,MasterData!$N$62:$X$111,3,FALSE)</f>
        <v>0.66</v>
      </c>
      <c r="H283" s="214">
        <f>ROUND(G283*MasterData!$D$4,2)</f>
        <v>27401.09</v>
      </c>
      <c r="I283" s="212">
        <f t="shared" si="41"/>
        <v>6.5</v>
      </c>
      <c r="J283" s="212">
        <f>VLOOKUP($A283,MasterData!$N$62:$X$111,4,FALSE)</f>
        <v>5.0999999999999996</v>
      </c>
      <c r="K283" s="214">
        <f>ROUND(J283*MasterData!$H$26,2)</f>
        <v>0</v>
      </c>
      <c r="L283" s="212">
        <f>VLOOKUP($A283,MasterData!$N$62:$X$111,5,FALSE)</f>
        <v>1.4</v>
      </c>
      <c r="M283" s="211">
        <f>ROUND(L283*MasterData!$F$4,2)</f>
        <v>41496</v>
      </c>
      <c r="N283" s="212">
        <f>VLOOKUP($A283,MasterData!$N$62:$X$111,6,FALSE)</f>
        <v>1</v>
      </c>
      <c r="O283" s="211">
        <f>ROUND(N283*MasterData!$I$26,2)</f>
        <v>0</v>
      </c>
      <c r="P283" s="212">
        <f>VLOOKUP($A283,MasterData!$N$62:$X$111,7,FALSE)</f>
        <v>0.22</v>
      </c>
      <c r="Q283" s="214">
        <f>ROUND(P283*MasterData!$H$4,2)</f>
        <v>6520.8</v>
      </c>
      <c r="R283" s="212">
        <f>VLOOKUP($A283,MasterData!$N$62:$X$111,8,FALSE)</f>
        <v>0.12</v>
      </c>
      <c r="S283" s="211">
        <f>ROUND(R283*MasterData!$I$4,2)</f>
        <v>3863.81</v>
      </c>
      <c r="T283" s="215">
        <f t="shared" si="42"/>
        <v>88579</v>
      </c>
      <c r="U283" s="211">
        <f>ROUND(T283*MasterData!$C$29,2)</f>
        <v>19761.97</v>
      </c>
      <c r="V283" s="211">
        <f>ROUND(T283*MasterData!$J$29,2)</f>
        <v>327.74</v>
      </c>
      <c r="W283" s="201">
        <f t="shared" si="38"/>
        <v>108340.97</v>
      </c>
      <c r="X283" s="212">
        <f>VLOOKUP($A283,MasterData!$N$62:$X$111,10,FALSE)*52</f>
        <v>52</v>
      </c>
      <c r="Y283" s="211">
        <f>ROUND(X283*MasterData!$C$7,2)</f>
        <v>3138.72</v>
      </c>
      <c r="Z283" s="212">
        <f>VLOOKUP($A283,MasterData!$N$62:$X$111,11,FALSE)*52</f>
        <v>156</v>
      </c>
      <c r="AA283" s="211">
        <f>ROUND(Z283*MasterData!$D$7,2)</f>
        <v>6605.04</v>
      </c>
      <c r="AB283" s="215">
        <f t="shared" si="43"/>
        <v>9743.76</v>
      </c>
      <c r="AC283" s="216">
        <f>MasterData!$M$28</f>
        <v>15472.178595890411</v>
      </c>
      <c r="AD283" s="211">
        <f>MasterData!$D$30</f>
        <v>992.8</v>
      </c>
      <c r="AE283" s="211">
        <f>MasterData!$E$30</f>
        <v>2876.2</v>
      </c>
      <c r="AF283" s="211">
        <f>MasterData!$F$30</f>
        <v>0</v>
      </c>
      <c r="AG283" s="215">
        <f t="shared" si="36"/>
        <v>137425.90859589042</v>
      </c>
      <c r="AH283" s="211">
        <f>ROUND(AG283*MasterData!$G$29,2)</f>
        <v>16491.11</v>
      </c>
      <c r="AI283" s="200">
        <f>((AG283+AH283)*MasterData!$I$29)-'Model Calculator'!W283*MasterData!$I$29</f>
        <v>811.25366500684959</v>
      </c>
      <c r="AJ283" s="201">
        <f t="shared" si="37"/>
        <v>155056.01226089726</v>
      </c>
      <c r="AK283" s="201">
        <f t="shared" si="39"/>
        <v>446.85</v>
      </c>
    </row>
    <row r="284" spans="1:37" hidden="1">
      <c r="A284" s="197" t="s">
        <v>95</v>
      </c>
      <c r="B284" s="197" t="str">
        <f t="shared" si="40"/>
        <v>M207.04</v>
      </c>
      <c r="C284" s="197" t="s">
        <v>192</v>
      </c>
      <c r="D284" s="226" t="s">
        <v>301</v>
      </c>
      <c r="E284" s="213">
        <f>VLOOKUP($A284,MasterData!$N$62:$X$111,2,FALSE)</f>
        <v>0.18</v>
      </c>
      <c r="F284" s="214">
        <f>ROUND(E284*MasterData!$C$4,2)</f>
        <v>9297.2999999999993</v>
      </c>
      <c r="G284" s="212">
        <f>VLOOKUP($A284,MasterData!$N$62:$X$111,3,FALSE)</f>
        <v>0.66</v>
      </c>
      <c r="H284" s="214">
        <f>ROUND(G284*MasterData!$D$4,2)</f>
        <v>27401.09</v>
      </c>
      <c r="I284" s="212">
        <f t="shared" si="41"/>
        <v>7</v>
      </c>
      <c r="J284" s="212">
        <f>VLOOKUP($A284,MasterData!$N$62:$X$111,4,FALSE)</f>
        <v>5.6</v>
      </c>
      <c r="K284" s="214">
        <f>ROUND(J284*MasterData!$H$26,2)</f>
        <v>0</v>
      </c>
      <c r="L284" s="212">
        <f>VLOOKUP($A284,MasterData!$N$62:$X$111,5,FALSE)</f>
        <v>1.4</v>
      </c>
      <c r="M284" s="211">
        <f>ROUND(L284*MasterData!$F$4,2)</f>
        <v>41496</v>
      </c>
      <c r="N284" s="212">
        <f>VLOOKUP($A284,MasterData!$N$62:$X$111,6,FALSE)</f>
        <v>1.08</v>
      </c>
      <c r="O284" s="211">
        <f>ROUND(N284*MasterData!$I$26,2)</f>
        <v>0</v>
      </c>
      <c r="P284" s="212">
        <f>VLOOKUP($A284,MasterData!$N$62:$X$111,7,FALSE)</f>
        <v>0.22</v>
      </c>
      <c r="Q284" s="214">
        <f>ROUND(P284*MasterData!$H$4,2)</f>
        <v>6520.8</v>
      </c>
      <c r="R284" s="212">
        <f>VLOOKUP($A284,MasterData!$N$62:$X$111,8,FALSE)</f>
        <v>0.12</v>
      </c>
      <c r="S284" s="211">
        <f>ROUND(R284*MasterData!$I$4,2)</f>
        <v>3863.81</v>
      </c>
      <c r="T284" s="215">
        <f t="shared" si="42"/>
        <v>88579</v>
      </c>
      <c r="U284" s="211">
        <f>ROUND(T284*MasterData!$C$29,2)</f>
        <v>19761.97</v>
      </c>
      <c r="V284" s="211">
        <f>ROUND(T284*MasterData!$J$29,2)</f>
        <v>327.74</v>
      </c>
      <c r="W284" s="201">
        <f t="shared" si="38"/>
        <v>108340.97</v>
      </c>
      <c r="X284" s="212">
        <f>VLOOKUP($A284,MasterData!$N$62:$X$111,10,FALSE)*52</f>
        <v>52</v>
      </c>
      <c r="Y284" s="211">
        <f>ROUND(X284*MasterData!$C$7,2)</f>
        <v>3138.72</v>
      </c>
      <c r="Z284" s="212">
        <f>VLOOKUP($A284,MasterData!$N$62:$X$111,11,FALSE)*52</f>
        <v>156</v>
      </c>
      <c r="AA284" s="211">
        <f>ROUND(Z284*MasterData!$D$7,2)</f>
        <v>6605.04</v>
      </c>
      <c r="AB284" s="215">
        <f t="shared" si="43"/>
        <v>9743.76</v>
      </c>
      <c r="AC284" s="216">
        <f>MasterData!$M$28</f>
        <v>15472.178595890411</v>
      </c>
      <c r="AD284" s="211">
        <f>MasterData!$D$30</f>
        <v>992.8</v>
      </c>
      <c r="AE284" s="211">
        <f>MasterData!$E$30</f>
        <v>2876.2</v>
      </c>
      <c r="AF284" s="211">
        <f>MasterData!$F$30</f>
        <v>0</v>
      </c>
      <c r="AG284" s="215">
        <f t="shared" si="36"/>
        <v>137425.90859589042</v>
      </c>
      <c r="AH284" s="211">
        <f>ROUND(AG284*MasterData!$G$29,2)</f>
        <v>16491.11</v>
      </c>
      <c r="AI284" s="200">
        <f>((AG284+AH284)*MasterData!$I$29)-'Model Calculator'!W284*MasterData!$I$29</f>
        <v>811.25366500684959</v>
      </c>
      <c r="AJ284" s="201">
        <f t="shared" si="37"/>
        <v>155056.01226089726</v>
      </c>
      <c r="AK284" s="201">
        <f t="shared" si="39"/>
        <v>446.85</v>
      </c>
    </row>
    <row r="285" spans="1:37" hidden="1">
      <c r="A285" s="197" t="s">
        <v>96</v>
      </c>
      <c r="B285" s="197" t="str">
        <f t="shared" si="40"/>
        <v>M207.54</v>
      </c>
      <c r="C285" s="197" t="s">
        <v>193</v>
      </c>
      <c r="D285" s="226" t="s">
        <v>301</v>
      </c>
      <c r="E285" s="213">
        <f>VLOOKUP($A285,MasterData!$N$62:$X$111,2,FALSE)</f>
        <v>0.18</v>
      </c>
      <c r="F285" s="214">
        <f>ROUND(E285*MasterData!$C$4,2)</f>
        <v>9297.2999999999993</v>
      </c>
      <c r="G285" s="212">
        <f>VLOOKUP($A285,MasterData!$N$62:$X$111,3,FALSE)</f>
        <v>0.66</v>
      </c>
      <c r="H285" s="214">
        <f>ROUND(G285*MasterData!$D$4,2)</f>
        <v>27401.09</v>
      </c>
      <c r="I285" s="212">
        <f t="shared" si="41"/>
        <v>7.5</v>
      </c>
      <c r="J285" s="212">
        <f>VLOOKUP($A285,MasterData!$N$62:$X$111,4,FALSE)</f>
        <v>6.1</v>
      </c>
      <c r="K285" s="214">
        <f>ROUND(J285*MasterData!$H$26,2)</f>
        <v>0</v>
      </c>
      <c r="L285" s="212">
        <f>VLOOKUP($A285,MasterData!$N$62:$X$111,5,FALSE)</f>
        <v>1.4</v>
      </c>
      <c r="M285" s="211">
        <f>ROUND(L285*MasterData!$F$4,2)</f>
        <v>41496</v>
      </c>
      <c r="N285" s="212">
        <f>VLOOKUP($A285,MasterData!$N$62:$X$111,6,FALSE)</f>
        <v>1.1599999999999999</v>
      </c>
      <c r="O285" s="211">
        <f>ROUND(N285*MasterData!$I$26,2)</f>
        <v>0</v>
      </c>
      <c r="P285" s="212">
        <f>VLOOKUP($A285,MasterData!$N$62:$X$111,7,FALSE)</f>
        <v>0.22</v>
      </c>
      <c r="Q285" s="214">
        <f>ROUND(P285*MasterData!$H$4,2)</f>
        <v>6520.8</v>
      </c>
      <c r="R285" s="212">
        <f>VLOOKUP($A285,MasterData!$N$62:$X$111,8,FALSE)</f>
        <v>0.12</v>
      </c>
      <c r="S285" s="211">
        <f>ROUND(R285*MasterData!$I$4,2)</f>
        <v>3863.81</v>
      </c>
      <c r="T285" s="215">
        <f t="shared" si="42"/>
        <v>88579</v>
      </c>
      <c r="U285" s="211">
        <f>ROUND(T285*MasterData!$C$29,2)</f>
        <v>19761.97</v>
      </c>
      <c r="V285" s="211">
        <f>ROUND(T285*MasterData!$J$29,2)</f>
        <v>327.74</v>
      </c>
      <c r="W285" s="201">
        <f t="shared" si="38"/>
        <v>108340.97</v>
      </c>
      <c r="X285" s="212">
        <f>VLOOKUP($A285,MasterData!$N$62:$X$111,10,FALSE)*52</f>
        <v>52</v>
      </c>
      <c r="Y285" s="211">
        <f>ROUND(X285*MasterData!$C$7,2)</f>
        <v>3138.72</v>
      </c>
      <c r="Z285" s="212">
        <f>VLOOKUP($A285,MasterData!$N$62:$X$111,11,FALSE)*52</f>
        <v>156</v>
      </c>
      <c r="AA285" s="211">
        <f>ROUND(Z285*MasterData!$D$7,2)</f>
        <v>6605.04</v>
      </c>
      <c r="AB285" s="215">
        <f t="shared" si="43"/>
        <v>9743.76</v>
      </c>
      <c r="AC285" s="216">
        <f>MasterData!$M$28</f>
        <v>15472.178595890411</v>
      </c>
      <c r="AD285" s="211">
        <f>MasterData!$D$30</f>
        <v>992.8</v>
      </c>
      <c r="AE285" s="211">
        <f>MasterData!$E$30</f>
        <v>2876.2</v>
      </c>
      <c r="AF285" s="211">
        <f>MasterData!$F$30</f>
        <v>0</v>
      </c>
      <c r="AG285" s="215">
        <f t="shared" si="36"/>
        <v>137425.90859589042</v>
      </c>
      <c r="AH285" s="211">
        <f>ROUND(AG285*MasterData!$G$29,2)</f>
        <v>16491.11</v>
      </c>
      <c r="AI285" s="200">
        <f>((AG285+AH285)*MasterData!$I$29)-'Model Calculator'!W285*MasterData!$I$29</f>
        <v>811.25366500684959</v>
      </c>
      <c r="AJ285" s="201">
        <f t="shared" si="37"/>
        <v>155056.01226089726</v>
      </c>
      <c r="AK285" s="201">
        <f t="shared" si="39"/>
        <v>446.85</v>
      </c>
    </row>
    <row r="286" spans="1:37" hidden="1">
      <c r="A286" s="197" t="s">
        <v>97</v>
      </c>
      <c r="B286" s="197" t="str">
        <f t="shared" si="40"/>
        <v>M208.04</v>
      </c>
      <c r="C286" s="197" t="s">
        <v>194</v>
      </c>
      <c r="D286" s="226" t="s">
        <v>301</v>
      </c>
      <c r="E286" s="213">
        <f>VLOOKUP($A286,MasterData!$N$62:$X$111,2,FALSE)</f>
        <v>0.18</v>
      </c>
      <c r="F286" s="214">
        <f>ROUND(E286*MasterData!$C$4,2)</f>
        <v>9297.2999999999993</v>
      </c>
      <c r="G286" s="212">
        <f>VLOOKUP($A286,MasterData!$N$62:$X$111,3,FALSE)</f>
        <v>0.66</v>
      </c>
      <c r="H286" s="214">
        <f>ROUND(G286*MasterData!$D$4,2)</f>
        <v>27401.09</v>
      </c>
      <c r="I286" s="212">
        <f t="shared" si="41"/>
        <v>8</v>
      </c>
      <c r="J286" s="212">
        <f>VLOOKUP($A286,MasterData!$N$62:$X$111,4,FALSE)</f>
        <v>6.6</v>
      </c>
      <c r="K286" s="214">
        <f>ROUND(J286*MasterData!$H$26,2)</f>
        <v>0</v>
      </c>
      <c r="L286" s="212">
        <f>VLOOKUP($A286,MasterData!$N$62:$X$111,5,FALSE)</f>
        <v>1.4</v>
      </c>
      <c r="M286" s="211">
        <f>ROUND(L286*MasterData!$F$4,2)</f>
        <v>41496</v>
      </c>
      <c r="N286" s="212">
        <f>VLOOKUP($A286,MasterData!$N$62:$X$111,6,FALSE)</f>
        <v>1.23</v>
      </c>
      <c r="O286" s="211">
        <f>ROUND(N286*MasterData!$I$26,2)</f>
        <v>0</v>
      </c>
      <c r="P286" s="212">
        <f>VLOOKUP($A286,MasterData!$N$62:$X$111,7,FALSE)</f>
        <v>0.22</v>
      </c>
      <c r="Q286" s="214">
        <f>ROUND(P286*MasterData!$H$4,2)</f>
        <v>6520.8</v>
      </c>
      <c r="R286" s="212">
        <f>VLOOKUP($A286,MasterData!$N$62:$X$111,8,FALSE)</f>
        <v>0.12</v>
      </c>
      <c r="S286" s="211">
        <f>ROUND(R286*MasterData!$I$4,2)</f>
        <v>3863.81</v>
      </c>
      <c r="T286" s="215">
        <f t="shared" si="42"/>
        <v>88579</v>
      </c>
      <c r="U286" s="211">
        <f>ROUND(T286*MasterData!$C$29,2)</f>
        <v>19761.97</v>
      </c>
      <c r="V286" s="211">
        <f>ROUND(T286*MasterData!$J$29,2)</f>
        <v>327.74</v>
      </c>
      <c r="W286" s="201">
        <f t="shared" si="38"/>
        <v>108340.97</v>
      </c>
      <c r="X286" s="212">
        <f>VLOOKUP($A286,MasterData!$N$62:$X$111,10,FALSE)*52</f>
        <v>52</v>
      </c>
      <c r="Y286" s="211">
        <f>ROUND(X286*MasterData!$C$7,2)</f>
        <v>3138.72</v>
      </c>
      <c r="Z286" s="212">
        <f>VLOOKUP($A286,MasterData!$N$62:$X$111,11,FALSE)*52</f>
        <v>156</v>
      </c>
      <c r="AA286" s="211">
        <f>ROUND(Z286*MasterData!$D$7,2)</f>
        <v>6605.04</v>
      </c>
      <c r="AB286" s="215">
        <f t="shared" si="43"/>
        <v>9743.76</v>
      </c>
      <c r="AC286" s="216">
        <f>MasterData!$M$28</f>
        <v>15472.178595890411</v>
      </c>
      <c r="AD286" s="211">
        <f>MasterData!$D$30</f>
        <v>992.8</v>
      </c>
      <c r="AE286" s="211">
        <f>MasterData!$E$30</f>
        <v>2876.2</v>
      </c>
      <c r="AF286" s="211">
        <f>MasterData!$F$30</f>
        <v>0</v>
      </c>
      <c r="AG286" s="215">
        <f t="shared" si="36"/>
        <v>137425.90859589042</v>
      </c>
      <c r="AH286" s="211">
        <f>ROUND(AG286*MasterData!$G$29,2)</f>
        <v>16491.11</v>
      </c>
      <c r="AI286" s="200">
        <f>((AG286+AH286)*MasterData!$I$29)-'Model Calculator'!W286*MasterData!$I$29</f>
        <v>811.25366500684959</v>
      </c>
      <c r="AJ286" s="201">
        <f t="shared" si="37"/>
        <v>155056.01226089726</v>
      </c>
      <c r="AK286" s="201">
        <f t="shared" si="39"/>
        <v>446.85</v>
      </c>
    </row>
    <row r="287" spans="1:37" hidden="1">
      <c r="A287" s="197" t="s">
        <v>98</v>
      </c>
      <c r="B287" s="197" t="str">
        <f t="shared" si="40"/>
        <v>M208.54</v>
      </c>
      <c r="C287" s="197" t="s">
        <v>195</v>
      </c>
      <c r="D287" s="226" t="s">
        <v>301</v>
      </c>
      <c r="E287" s="213">
        <f>VLOOKUP($A287,MasterData!$N$62:$X$111,2,FALSE)</f>
        <v>0.18</v>
      </c>
      <c r="F287" s="214">
        <f>ROUND(E287*MasterData!$C$4,2)</f>
        <v>9297.2999999999993</v>
      </c>
      <c r="G287" s="212">
        <f>VLOOKUP($A287,MasterData!$N$62:$X$111,3,FALSE)</f>
        <v>0.66</v>
      </c>
      <c r="H287" s="214">
        <f>ROUND(G287*MasterData!$D$4,2)</f>
        <v>27401.09</v>
      </c>
      <c r="I287" s="212">
        <f t="shared" si="41"/>
        <v>8.5</v>
      </c>
      <c r="J287" s="212">
        <f>VLOOKUP($A287,MasterData!$N$62:$X$111,4,FALSE)</f>
        <v>7.1</v>
      </c>
      <c r="K287" s="214">
        <f>ROUND(J287*MasterData!$H$26,2)</f>
        <v>0</v>
      </c>
      <c r="L287" s="212">
        <f>VLOOKUP($A287,MasterData!$N$62:$X$111,5,FALSE)</f>
        <v>1.4</v>
      </c>
      <c r="M287" s="211">
        <f>ROUND(L287*MasterData!$F$4,2)</f>
        <v>41496</v>
      </c>
      <c r="N287" s="212">
        <f>VLOOKUP($A287,MasterData!$N$62:$X$111,6,FALSE)</f>
        <v>1.31</v>
      </c>
      <c r="O287" s="211">
        <f>ROUND(N287*MasterData!$I$26,2)</f>
        <v>0</v>
      </c>
      <c r="P287" s="212">
        <f>VLOOKUP($A287,MasterData!$N$62:$X$111,7,FALSE)</f>
        <v>0.22</v>
      </c>
      <c r="Q287" s="214">
        <f>ROUND(P287*MasterData!$H$4,2)</f>
        <v>6520.8</v>
      </c>
      <c r="R287" s="212">
        <f>VLOOKUP($A287,MasterData!$N$62:$X$111,8,FALSE)</f>
        <v>0.12</v>
      </c>
      <c r="S287" s="211">
        <f>ROUND(R287*MasterData!$I$4,2)</f>
        <v>3863.81</v>
      </c>
      <c r="T287" s="215">
        <f t="shared" si="42"/>
        <v>88579</v>
      </c>
      <c r="U287" s="211">
        <f>ROUND(T287*MasterData!$C$29,2)</f>
        <v>19761.97</v>
      </c>
      <c r="V287" s="211">
        <f>ROUND(T287*MasterData!$J$29,2)</f>
        <v>327.74</v>
      </c>
      <c r="W287" s="201">
        <f t="shared" si="38"/>
        <v>108340.97</v>
      </c>
      <c r="X287" s="212">
        <f>VLOOKUP($A287,MasterData!$N$62:$X$111,10,FALSE)*52</f>
        <v>52</v>
      </c>
      <c r="Y287" s="211">
        <f>ROUND(X287*MasterData!$C$7,2)</f>
        <v>3138.72</v>
      </c>
      <c r="Z287" s="212">
        <f>VLOOKUP($A287,MasterData!$N$62:$X$111,11,FALSE)*52</f>
        <v>156</v>
      </c>
      <c r="AA287" s="211">
        <f>ROUND(Z287*MasterData!$D$7,2)</f>
        <v>6605.04</v>
      </c>
      <c r="AB287" s="215">
        <f t="shared" si="43"/>
        <v>9743.76</v>
      </c>
      <c r="AC287" s="216">
        <f>MasterData!$M$28</f>
        <v>15472.178595890411</v>
      </c>
      <c r="AD287" s="211">
        <f>MasterData!$D$30</f>
        <v>992.8</v>
      </c>
      <c r="AE287" s="211">
        <f>MasterData!$E$30</f>
        <v>2876.2</v>
      </c>
      <c r="AF287" s="211">
        <f>MasterData!$F$30</f>
        <v>0</v>
      </c>
      <c r="AG287" s="215">
        <f t="shared" si="36"/>
        <v>137425.90859589042</v>
      </c>
      <c r="AH287" s="211">
        <f>ROUND(AG287*MasterData!$G$29,2)</f>
        <v>16491.11</v>
      </c>
      <c r="AI287" s="200">
        <f>((AG287+AH287)*MasterData!$I$29)-'Model Calculator'!W287*MasterData!$I$29</f>
        <v>811.25366500684959</v>
      </c>
      <c r="AJ287" s="201">
        <f t="shared" si="37"/>
        <v>155056.01226089726</v>
      </c>
      <c r="AK287" s="201">
        <f t="shared" si="39"/>
        <v>446.85</v>
      </c>
    </row>
    <row r="288" spans="1:37" hidden="1">
      <c r="A288" s="197" t="s">
        <v>99</v>
      </c>
      <c r="B288" s="197" t="str">
        <f t="shared" si="40"/>
        <v>M209.04</v>
      </c>
      <c r="C288" s="197" t="s">
        <v>196</v>
      </c>
      <c r="D288" s="226" t="s">
        <v>301</v>
      </c>
      <c r="E288" s="213">
        <f>VLOOKUP($A288,MasterData!$N$62:$X$111,2,FALSE)</f>
        <v>0.18</v>
      </c>
      <c r="F288" s="214">
        <f>ROUND(E288*MasterData!$C$4,2)</f>
        <v>9297.2999999999993</v>
      </c>
      <c r="G288" s="212">
        <f>VLOOKUP($A288,MasterData!$N$62:$X$111,3,FALSE)</f>
        <v>0.66</v>
      </c>
      <c r="H288" s="214">
        <f>ROUND(G288*MasterData!$D$4,2)</f>
        <v>27401.09</v>
      </c>
      <c r="I288" s="212">
        <f t="shared" si="41"/>
        <v>9</v>
      </c>
      <c r="J288" s="212">
        <f>VLOOKUP($A288,MasterData!$N$62:$X$111,4,FALSE)</f>
        <v>7.6</v>
      </c>
      <c r="K288" s="214">
        <f>ROUND(J288*MasterData!$H$26,2)</f>
        <v>0</v>
      </c>
      <c r="L288" s="212">
        <f>VLOOKUP($A288,MasterData!$N$62:$X$111,5,FALSE)</f>
        <v>1.4</v>
      </c>
      <c r="M288" s="211">
        <f>ROUND(L288*MasterData!$F$4,2)</f>
        <v>41496</v>
      </c>
      <c r="N288" s="212">
        <f>VLOOKUP($A288,MasterData!$N$62:$X$111,6,FALSE)</f>
        <v>1.39</v>
      </c>
      <c r="O288" s="211">
        <f>ROUND(N288*MasterData!$I$26,2)</f>
        <v>0</v>
      </c>
      <c r="P288" s="212">
        <f>VLOOKUP($A288,MasterData!$N$62:$X$111,7,FALSE)</f>
        <v>0.22</v>
      </c>
      <c r="Q288" s="214">
        <f>ROUND(P288*MasterData!$H$4,2)</f>
        <v>6520.8</v>
      </c>
      <c r="R288" s="212">
        <f>VLOOKUP($A288,MasterData!$N$62:$X$111,8,FALSE)</f>
        <v>0.12</v>
      </c>
      <c r="S288" s="211">
        <f>ROUND(R288*MasterData!$I$4,2)</f>
        <v>3863.81</v>
      </c>
      <c r="T288" s="215">
        <f t="shared" si="42"/>
        <v>88579</v>
      </c>
      <c r="U288" s="211">
        <f>ROUND(T288*MasterData!$C$29,2)</f>
        <v>19761.97</v>
      </c>
      <c r="V288" s="211">
        <f>ROUND(T288*MasterData!$J$29,2)</f>
        <v>327.74</v>
      </c>
      <c r="W288" s="201">
        <f t="shared" si="38"/>
        <v>108340.97</v>
      </c>
      <c r="X288" s="212">
        <f>VLOOKUP($A288,MasterData!$N$62:$X$111,10,FALSE)*52</f>
        <v>52</v>
      </c>
      <c r="Y288" s="211">
        <f>ROUND(X288*MasterData!$C$7,2)</f>
        <v>3138.72</v>
      </c>
      <c r="Z288" s="212">
        <f>VLOOKUP($A288,MasterData!$N$62:$X$111,11,FALSE)*52</f>
        <v>156</v>
      </c>
      <c r="AA288" s="211">
        <f>ROUND(Z288*MasterData!$D$7,2)</f>
        <v>6605.04</v>
      </c>
      <c r="AB288" s="215">
        <f t="shared" si="43"/>
        <v>9743.76</v>
      </c>
      <c r="AC288" s="216">
        <f>MasterData!$M$28</f>
        <v>15472.178595890411</v>
      </c>
      <c r="AD288" s="211">
        <f>MasterData!$D$30</f>
        <v>992.8</v>
      </c>
      <c r="AE288" s="211">
        <f>MasterData!$E$30</f>
        <v>2876.2</v>
      </c>
      <c r="AF288" s="211">
        <f>MasterData!$F$30</f>
        <v>0</v>
      </c>
      <c r="AG288" s="215">
        <f t="shared" si="36"/>
        <v>137425.90859589042</v>
      </c>
      <c r="AH288" s="211">
        <f>ROUND(AG288*MasterData!$G$29,2)</f>
        <v>16491.11</v>
      </c>
      <c r="AI288" s="200">
        <f>((AG288+AH288)*MasterData!$I$29)-'Model Calculator'!W288*MasterData!$I$29</f>
        <v>811.25366500684959</v>
      </c>
      <c r="AJ288" s="201">
        <f t="shared" si="37"/>
        <v>155056.01226089726</v>
      </c>
      <c r="AK288" s="201">
        <f t="shared" si="39"/>
        <v>446.85</v>
      </c>
    </row>
    <row r="289" spans="1:37" hidden="1">
      <c r="A289" s="197" t="s">
        <v>100</v>
      </c>
      <c r="B289" s="197" t="str">
        <f t="shared" si="40"/>
        <v>M209.54</v>
      </c>
      <c r="C289" s="197" t="s">
        <v>197</v>
      </c>
      <c r="D289" s="226" t="s">
        <v>301</v>
      </c>
      <c r="E289" s="213">
        <f>VLOOKUP($A289,MasterData!$N$62:$X$111,2,FALSE)</f>
        <v>0.18</v>
      </c>
      <c r="F289" s="214">
        <f>ROUND(E289*MasterData!$C$4,2)</f>
        <v>9297.2999999999993</v>
      </c>
      <c r="G289" s="212">
        <f>VLOOKUP($A289,MasterData!$N$62:$X$111,3,FALSE)</f>
        <v>0.66</v>
      </c>
      <c r="H289" s="214">
        <f>ROUND(G289*MasterData!$D$4,2)</f>
        <v>27401.09</v>
      </c>
      <c r="I289" s="212">
        <f t="shared" si="41"/>
        <v>9.5</v>
      </c>
      <c r="J289" s="212">
        <f>VLOOKUP($A289,MasterData!$N$62:$X$111,4,FALSE)</f>
        <v>8.1</v>
      </c>
      <c r="K289" s="214">
        <f>ROUND(J289*MasterData!$H$26,2)</f>
        <v>0</v>
      </c>
      <c r="L289" s="212">
        <f>VLOOKUP($A289,MasterData!$N$62:$X$111,5,FALSE)</f>
        <v>1.4</v>
      </c>
      <c r="M289" s="211">
        <f>ROUND(L289*MasterData!$F$4,2)</f>
        <v>41496</v>
      </c>
      <c r="N289" s="212">
        <f>VLOOKUP($A289,MasterData!$N$62:$X$111,6,FALSE)</f>
        <v>1.46</v>
      </c>
      <c r="O289" s="211">
        <f>ROUND(N289*MasterData!$I$26,2)</f>
        <v>0</v>
      </c>
      <c r="P289" s="212">
        <f>VLOOKUP($A289,MasterData!$N$62:$X$111,7,FALSE)</f>
        <v>0.22</v>
      </c>
      <c r="Q289" s="214">
        <f>ROUND(P289*MasterData!$H$4,2)</f>
        <v>6520.8</v>
      </c>
      <c r="R289" s="212">
        <f>VLOOKUP($A289,MasterData!$N$62:$X$111,8,FALSE)</f>
        <v>0.12</v>
      </c>
      <c r="S289" s="211">
        <f>ROUND(R289*MasterData!$I$4,2)</f>
        <v>3863.81</v>
      </c>
      <c r="T289" s="215">
        <f t="shared" si="42"/>
        <v>88579</v>
      </c>
      <c r="U289" s="211">
        <f>ROUND(T289*MasterData!$C$29,2)</f>
        <v>19761.97</v>
      </c>
      <c r="V289" s="211">
        <f>ROUND(T289*MasterData!$J$29,2)</f>
        <v>327.74</v>
      </c>
      <c r="W289" s="201">
        <f t="shared" si="38"/>
        <v>108340.97</v>
      </c>
      <c r="X289" s="212">
        <f>VLOOKUP($A289,MasterData!$N$62:$X$111,10,FALSE)*52</f>
        <v>52</v>
      </c>
      <c r="Y289" s="211">
        <f>ROUND(X289*MasterData!$C$7,2)</f>
        <v>3138.72</v>
      </c>
      <c r="Z289" s="212">
        <f>VLOOKUP($A289,MasterData!$N$62:$X$111,11,FALSE)*52</f>
        <v>156</v>
      </c>
      <c r="AA289" s="211">
        <f>ROUND(Z289*MasterData!$D$7,2)</f>
        <v>6605.04</v>
      </c>
      <c r="AB289" s="215">
        <f t="shared" si="43"/>
        <v>9743.76</v>
      </c>
      <c r="AC289" s="216">
        <f>MasterData!$M$28</f>
        <v>15472.178595890411</v>
      </c>
      <c r="AD289" s="211">
        <f>MasterData!$D$30</f>
        <v>992.8</v>
      </c>
      <c r="AE289" s="211">
        <f>MasterData!$E$30</f>
        <v>2876.2</v>
      </c>
      <c r="AF289" s="211">
        <f>MasterData!$F$30</f>
        <v>0</v>
      </c>
      <c r="AG289" s="215">
        <f t="shared" si="36"/>
        <v>137425.90859589042</v>
      </c>
      <c r="AH289" s="211">
        <f>ROUND(AG289*MasterData!$G$29,2)</f>
        <v>16491.11</v>
      </c>
      <c r="AI289" s="200">
        <f>((AG289+AH289)*MasterData!$I$29)-'Model Calculator'!W289*MasterData!$I$29</f>
        <v>811.25366500684959</v>
      </c>
      <c r="AJ289" s="201">
        <f t="shared" si="37"/>
        <v>155056.01226089726</v>
      </c>
      <c r="AK289" s="201">
        <f t="shared" si="39"/>
        <v>446.85</v>
      </c>
    </row>
    <row r="290" spans="1:37" hidden="1">
      <c r="A290" s="197" t="s">
        <v>101</v>
      </c>
      <c r="B290" s="197" t="str">
        <f t="shared" si="40"/>
        <v>M210.04</v>
      </c>
      <c r="C290" s="197" t="s">
        <v>198</v>
      </c>
      <c r="D290" s="226" t="s">
        <v>301</v>
      </c>
      <c r="E290" s="213">
        <f>VLOOKUP($A290,MasterData!$N$62:$X$111,2,FALSE)</f>
        <v>0.18</v>
      </c>
      <c r="F290" s="214">
        <f>ROUND(E290*MasterData!$C$4,2)</f>
        <v>9297.2999999999993</v>
      </c>
      <c r="G290" s="212">
        <f>VLOOKUP($A290,MasterData!$N$62:$X$111,3,FALSE)</f>
        <v>0.66</v>
      </c>
      <c r="H290" s="214">
        <f>ROUND(G290*MasterData!$D$4,2)</f>
        <v>27401.09</v>
      </c>
      <c r="I290" s="212">
        <f t="shared" si="41"/>
        <v>10</v>
      </c>
      <c r="J290" s="212">
        <f>VLOOKUP($A290,MasterData!$N$62:$X$111,4,FALSE)</f>
        <v>8.6</v>
      </c>
      <c r="K290" s="214">
        <f>ROUND(J290*MasterData!$H$26,2)</f>
        <v>0</v>
      </c>
      <c r="L290" s="212">
        <f>VLOOKUP($A290,MasterData!$N$62:$X$111,5,FALSE)</f>
        <v>1.4</v>
      </c>
      <c r="M290" s="211">
        <f>ROUND(L290*MasterData!$F$4,2)</f>
        <v>41496</v>
      </c>
      <c r="N290" s="212">
        <f>VLOOKUP($A290,MasterData!$N$62:$X$111,6,FALSE)</f>
        <v>1.54</v>
      </c>
      <c r="O290" s="211">
        <f>ROUND(N290*MasterData!$I$26,2)</f>
        <v>0</v>
      </c>
      <c r="P290" s="212">
        <f>VLOOKUP($A290,MasterData!$N$62:$X$111,7,FALSE)</f>
        <v>0.22</v>
      </c>
      <c r="Q290" s="214">
        <f>ROUND(P290*MasterData!$H$4,2)</f>
        <v>6520.8</v>
      </c>
      <c r="R290" s="212">
        <f>VLOOKUP($A290,MasterData!$N$62:$X$111,8,FALSE)</f>
        <v>0.12</v>
      </c>
      <c r="S290" s="211">
        <f>ROUND(R290*MasterData!$I$4,2)</f>
        <v>3863.81</v>
      </c>
      <c r="T290" s="215">
        <f t="shared" si="42"/>
        <v>88579</v>
      </c>
      <c r="U290" s="211">
        <f>ROUND(T290*MasterData!$C$29,2)</f>
        <v>19761.97</v>
      </c>
      <c r="V290" s="211">
        <f>ROUND(T290*MasterData!$J$29,2)</f>
        <v>327.74</v>
      </c>
      <c r="W290" s="201">
        <f t="shared" si="38"/>
        <v>108340.97</v>
      </c>
      <c r="X290" s="212">
        <f>VLOOKUP($A290,MasterData!$N$62:$X$111,10,FALSE)*52</f>
        <v>52</v>
      </c>
      <c r="Y290" s="211">
        <f>ROUND(X290*MasterData!$C$7,2)</f>
        <v>3138.72</v>
      </c>
      <c r="Z290" s="212">
        <f>VLOOKUP($A290,MasterData!$N$62:$X$111,11,FALSE)*52</f>
        <v>156</v>
      </c>
      <c r="AA290" s="211">
        <f>ROUND(Z290*MasterData!$D$7,2)</f>
        <v>6605.04</v>
      </c>
      <c r="AB290" s="215">
        <f t="shared" si="43"/>
        <v>9743.76</v>
      </c>
      <c r="AC290" s="216">
        <f>MasterData!$M$28</f>
        <v>15472.178595890411</v>
      </c>
      <c r="AD290" s="211">
        <f>MasterData!$D$30</f>
        <v>992.8</v>
      </c>
      <c r="AE290" s="211">
        <f>MasterData!$E$30</f>
        <v>2876.2</v>
      </c>
      <c r="AF290" s="211">
        <f>MasterData!$F$30</f>
        <v>0</v>
      </c>
      <c r="AG290" s="215">
        <f t="shared" si="36"/>
        <v>137425.90859589042</v>
      </c>
      <c r="AH290" s="211">
        <f>ROUND(AG290*MasterData!$G$29,2)</f>
        <v>16491.11</v>
      </c>
      <c r="AI290" s="200">
        <f>((AG290+AH290)*MasterData!$I$29)-'Model Calculator'!W290*MasterData!$I$29</f>
        <v>811.25366500684959</v>
      </c>
      <c r="AJ290" s="201">
        <f t="shared" si="37"/>
        <v>155056.01226089726</v>
      </c>
      <c r="AK290" s="201">
        <f t="shared" si="39"/>
        <v>446.85</v>
      </c>
    </row>
    <row r="291" spans="1:37" hidden="1">
      <c r="A291" s="197" t="s">
        <v>102</v>
      </c>
      <c r="B291" s="197" t="str">
        <f t="shared" si="40"/>
        <v>M210.54</v>
      </c>
      <c r="C291" s="197" t="s">
        <v>199</v>
      </c>
      <c r="D291" s="226" t="s">
        <v>301</v>
      </c>
      <c r="E291" s="213">
        <f>VLOOKUP($A291,MasterData!$N$62:$X$111,2,FALSE)</f>
        <v>0.18</v>
      </c>
      <c r="F291" s="214">
        <f>ROUND(E291*MasterData!$C$4,2)</f>
        <v>9297.2999999999993</v>
      </c>
      <c r="G291" s="212">
        <f>VLOOKUP($A291,MasterData!$N$62:$X$111,3,FALSE)</f>
        <v>0.66</v>
      </c>
      <c r="H291" s="214">
        <f>ROUND(G291*MasterData!$D$4,2)</f>
        <v>27401.09</v>
      </c>
      <c r="I291" s="212">
        <f t="shared" si="41"/>
        <v>10.5</v>
      </c>
      <c r="J291" s="212">
        <f>VLOOKUP($A291,MasterData!$N$62:$X$111,4,FALSE)</f>
        <v>9.1</v>
      </c>
      <c r="K291" s="214">
        <f>ROUND(J291*MasterData!$H$26,2)</f>
        <v>0</v>
      </c>
      <c r="L291" s="212">
        <f>VLOOKUP($A291,MasterData!$N$62:$X$111,5,FALSE)</f>
        <v>1.4</v>
      </c>
      <c r="M291" s="211">
        <f>ROUND(L291*MasterData!$F$4,2)</f>
        <v>41496</v>
      </c>
      <c r="N291" s="212">
        <f>VLOOKUP($A291,MasterData!$N$62:$X$111,6,FALSE)</f>
        <v>1.62</v>
      </c>
      <c r="O291" s="211">
        <f>ROUND(N291*MasterData!$I$26,2)</f>
        <v>0</v>
      </c>
      <c r="P291" s="212">
        <f>VLOOKUP($A291,MasterData!$N$62:$X$111,7,FALSE)</f>
        <v>0.22</v>
      </c>
      <c r="Q291" s="214">
        <f>ROUND(P291*MasterData!$H$4,2)</f>
        <v>6520.8</v>
      </c>
      <c r="R291" s="212">
        <f>VLOOKUP($A291,MasterData!$N$62:$X$111,8,FALSE)</f>
        <v>0.12</v>
      </c>
      <c r="S291" s="211">
        <f>ROUND(R291*MasterData!$I$4,2)</f>
        <v>3863.81</v>
      </c>
      <c r="T291" s="215">
        <f t="shared" si="42"/>
        <v>88579</v>
      </c>
      <c r="U291" s="211">
        <f>ROUND(T291*MasterData!$C$29,2)</f>
        <v>19761.97</v>
      </c>
      <c r="V291" s="211">
        <f>ROUND(T291*MasterData!$J$29,2)</f>
        <v>327.74</v>
      </c>
      <c r="W291" s="201">
        <f t="shared" si="38"/>
        <v>108340.97</v>
      </c>
      <c r="X291" s="212">
        <f>VLOOKUP($A291,MasterData!$N$62:$X$111,10,FALSE)*52</f>
        <v>52</v>
      </c>
      <c r="Y291" s="211">
        <f>ROUND(X291*MasterData!$C$7,2)</f>
        <v>3138.72</v>
      </c>
      <c r="Z291" s="212">
        <f>VLOOKUP($A291,MasterData!$N$62:$X$111,11,FALSE)*52</f>
        <v>156</v>
      </c>
      <c r="AA291" s="211">
        <f>ROUND(Z291*MasterData!$D$7,2)</f>
        <v>6605.04</v>
      </c>
      <c r="AB291" s="215">
        <f t="shared" si="43"/>
        <v>9743.76</v>
      </c>
      <c r="AC291" s="216">
        <f>MasterData!$M$28</f>
        <v>15472.178595890411</v>
      </c>
      <c r="AD291" s="211">
        <f>MasterData!$D$30</f>
        <v>992.8</v>
      </c>
      <c r="AE291" s="211">
        <f>MasterData!$E$30</f>
        <v>2876.2</v>
      </c>
      <c r="AF291" s="211">
        <f>MasterData!$F$30</f>
        <v>0</v>
      </c>
      <c r="AG291" s="215">
        <f t="shared" si="36"/>
        <v>137425.90859589042</v>
      </c>
      <c r="AH291" s="211">
        <f>ROUND(AG291*MasterData!$G$29,2)</f>
        <v>16491.11</v>
      </c>
      <c r="AI291" s="200">
        <f>((AG291+AH291)*MasterData!$I$29)-'Model Calculator'!W291*MasterData!$I$29</f>
        <v>811.25366500684959</v>
      </c>
      <c r="AJ291" s="201">
        <f t="shared" si="37"/>
        <v>155056.01226089726</v>
      </c>
      <c r="AK291" s="201">
        <f t="shared" si="39"/>
        <v>446.85</v>
      </c>
    </row>
    <row r="292" spans="1:37" hidden="1">
      <c r="A292" s="197" t="s">
        <v>103</v>
      </c>
      <c r="B292" s="197" t="str">
        <f t="shared" si="40"/>
        <v>M211.04</v>
      </c>
      <c r="C292" s="197" t="s">
        <v>200</v>
      </c>
      <c r="D292" s="226" t="s">
        <v>301</v>
      </c>
      <c r="E292" s="213">
        <f>VLOOKUP($A292,MasterData!$N$62:$X$111,2,FALSE)</f>
        <v>0.18</v>
      </c>
      <c r="F292" s="214">
        <f>ROUND(E292*MasterData!$C$4,2)</f>
        <v>9297.2999999999993</v>
      </c>
      <c r="G292" s="212">
        <f>VLOOKUP($A292,MasterData!$N$62:$X$111,3,FALSE)</f>
        <v>0.66</v>
      </c>
      <c r="H292" s="214">
        <f>ROUND(G292*MasterData!$D$4,2)</f>
        <v>27401.09</v>
      </c>
      <c r="I292" s="212">
        <f t="shared" si="41"/>
        <v>11</v>
      </c>
      <c r="J292" s="212">
        <f>VLOOKUP($A292,MasterData!$N$62:$X$111,4,FALSE)</f>
        <v>9.6</v>
      </c>
      <c r="K292" s="214">
        <f>ROUND(J292*MasterData!$H$26,2)</f>
        <v>0</v>
      </c>
      <c r="L292" s="212">
        <f>VLOOKUP($A292,MasterData!$N$62:$X$111,5,FALSE)</f>
        <v>1.4</v>
      </c>
      <c r="M292" s="211">
        <f>ROUND(L292*MasterData!$F$4,2)</f>
        <v>41496</v>
      </c>
      <c r="N292" s="212">
        <f>VLOOKUP($A292,MasterData!$N$62:$X$111,6,FALSE)</f>
        <v>1.69</v>
      </c>
      <c r="O292" s="211">
        <f>ROUND(N292*MasterData!$I$26,2)</f>
        <v>0</v>
      </c>
      <c r="P292" s="212">
        <f>VLOOKUP($A292,MasterData!$N$62:$X$111,7,FALSE)</f>
        <v>0.22</v>
      </c>
      <c r="Q292" s="214">
        <f>ROUND(P292*MasterData!$H$4,2)</f>
        <v>6520.8</v>
      </c>
      <c r="R292" s="212">
        <f>VLOOKUP($A292,MasterData!$N$62:$X$111,8,FALSE)</f>
        <v>0.12</v>
      </c>
      <c r="S292" s="211">
        <f>ROUND(R292*MasterData!$I$4,2)</f>
        <v>3863.81</v>
      </c>
      <c r="T292" s="215">
        <f t="shared" si="42"/>
        <v>88579</v>
      </c>
      <c r="U292" s="211">
        <f>ROUND(T292*MasterData!$C$29,2)</f>
        <v>19761.97</v>
      </c>
      <c r="V292" s="211">
        <f>ROUND(T292*MasterData!$J$29,2)</f>
        <v>327.74</v>
      </c>
      <c r="W292" s="201">
        <f t="shared" si="38"/>
        <v>108340.97</v>
      </c>
      <c r="X292" s="212">
        <f>VLOOKUP($A292,MasterData!$N$62:$X$111,10,FALSE)*52</f>
        <v>52</v>
      </c>
      <c r="Y292" s="211">
        <f>ROUND(X292*MasterData!$C$7,2)</f>
        <v>3138.72</v>
      </c>
      <c r="Z292" s="212">
        <f>VLOOKUP($A292,MasterData!$N$62:$X$111,11,FALSE)*52</f>
        <v>156</v>
      </c>
      <c r="AA292" s="211">
        <f>ROUND(Z292*MasterData!$D$7,2)</f>
        <v>6605.04</v>
      </c>
      <c r="AB292" s="215">
        <f t="shared" si="43"/>
        <v>9743.76</v>
      </c>
      <c r="AC292" s="216">
        <f>MasterData!$M$28</f>
        <v>15472.178595890411</v>
      </c>
      <c r="AD292" s="211">
        <f>MasterData!$D$30</f>
        <v>992.8</v>
      </c>
      <c r="AE292" s="211">
        <f>MasterData!$E$30</f>
        <v>2876.2</v>
      </c>
      <c r="AF292" s="211">
        <f>MasterData!$F$30</f>
        <v>0</v>
      </c>
      <c r="AG292" s="215">
        <f t="shared" si="36"/>
        <v>137425.90859589042</v>
      </c>
      <c r="AH292" s="211">
        <f>ROUND(AG292*MasterData!$G$29,2)</f>
        <v>16491.11</v>
      </c>
      <c r="AI292" s="200">
        <f>((AG292+AH292)*MasterData!$I$29)-'Model Calculator'!W292*MasterData!$I$29</f>
        <v>811.25366500684959</v>
      </c>
      <c r="AJ292" s="201">
        <f t="shared" si="37"/>
        <v>155056.01226089726</v>
      </c>
      <c r="AK292" s="201">
        <f t="shared" si="39"/>
        <v>446.85</v>
      </c>
    </row>
    <row r="293" spans="1:37" hidden="1">
      <c r="A293" s="197" t="s">
        <v>104</v>
      </c>
      <c r="B293" s="197" t="str">
        <f t="shared" si="40"/>
        <v>M211.54</v>
      </c>
      <c r="C293" s="197" t="s">
        <v>201</v>
      </c>
      <c r="D293" s="226" t="s">
        <v>301</v>
      </c>
      <c r="E293" s="213">
        <f>VLOOKUP($A293,MasterData!$N$62:$X$111,2,FALSE)</f>
        <v>0.18</v>
      </c>
      <c r="F293" s="214">
        <f>ROUND(E293*MasterData!$C$4,2)</f>
        <v>9297.2999999999993</v>
      </c>
      <c r="G293" s="212">
        <f>VLOOKUP($A293,MasterData!$N$62:$X$111,3,FALSE)</f>
        <v>0.66</v>
      </c>
      <c r="H293" s="214">
        <f>ROUND(G293*MasterData!$D$4,2)</f>
        <v>27401.09</v>
      </c>
      <c r="I293" s="212">
        <f t="shared" si="41"/>
        <v>11.5</v>
      </c>
      <c r="J293" s="212">
        <f>VLOOKUP($A293,MasterData!$N$62:$X$111,4,FALSE)</f>
        <v>10.1</v>
      </c>
      <c r="K293" s="214">
        <f>ROUND(J293*MasterData!$H$26,2)</f>
        <v>0</v>
      </c>
      <c r="L293" s="212">
        <f>VLOOKUP($A293,MasterData!$N$62:$X$111,5,FALSE)</f>
        <v>1.4</v>
      </c>
      <c r="M293" s="211">
        <f>ROUND(L293*MasterData!$F$4,2)</f>
        <v>41496</v>
      </c>
      <c r="N293" s="212">
        <f>VLOOKUP($A293,MasterData!$N$62:$X$111,6,FALSE)</f>
        <v>1.77</v>
      </c>
      <c r="O293" s="211">
        <f>ROUND(N293*MasterData!$I$26,2)</f>
        <v>0</v>
      </c>
      <c r="P293" s="212">
        <f>VLOOKUP($A293,MasterData!$N$62:$X$111,7,FALSE)</f>
        <v>0.22</v>
      </c>
      <c r="Q293" s="214">
        <f>ROUND(P293*MasterData!$H$4,2)</f>
        <v>6520.8</v>
      </c>
      <c r="R293" s="212">
        <f>VLOOKUP($A293,MasterData!$N$62:$X$111,8,FALSE)</f>
        <v>0.12</v>
      </c>
      <c r="S293" s="211">
        <f>ROUND(R293*MasterData!$I$4,2)</f>
        <v>3863.81</v>
      </c>
      <c r="T293" s="215">
        <f t="shared" si="42"/>
        <v>88579</v>
      </c>
      <c r="U293" s="211">
        <f>ROUND(T293*MasterData!$C$29,2)</f>
        <v>19761.97</v>
      </c>
      <c r="V293" s="211">
        <f>ROUND(T293*MasterData!$J$29,2)</f>
        <v>327.74</v>
      </c>
      <c r="W293" s="201">
        <f t="shared" si="38"/>
        <v>108340.97</v>
      </c>
      <c r="X293" s="212">
        <f>VLOOKUP($A293,MasterData!$N$62:$X$111,10,FALSE)*52</f>
        <v>52</v>
      </c>
      <c r="Y293" s="211">
        <f>ROUND(X293*MasterData!$C$7,2)</f>
        <v>3138.72</v>
      </c>
      <c r="Z293" s="212">
        <f>VLOOKUP($A293,MasterData!$N$62:$X$111,11,FALSE)*52</f>
        <v>156</v>
      </c>
      <c r="AA293" s="211">
        <f>ROUND(Z293*MasterData!$D$7,2)</f>
        <v>6605.04</v>
      </c>
      <c r="AB293" s="215">
        <f t="shared" si="43"/>
        <v>9743.76</v>
      </c>
      <c r="AC293" s="216">
        <f>MasterData!$M$28</f>
        <v>15472.178595890411</v>
      </c>
      <c r="AD293" s="211">
        <f>MasterData!$D$30</f>
        <v>992.8</v>
      </c>
      <c r="AE293" s="211">
        <f>MasterData!$E$30</f>
        <v>2876.2</v>
      </c>
      <c r="AF293" s="211">
        <f>MasterData!$F$30</f>
        <v>0</v>
      </c>
      <c r="AG293" s="215">
        <f t="shared" si="36"/>
        <v>137425.90859589042</v>
      </c>
      <c r="AH293" s="211">
        <f>ROUND(AG293*MasterData!$G$29,2)</f>
        <v>16491.11</v>
      </c>
      <c r="AI293" s="200">
        <f>((AG293+AH293)*MasterData!$I$29)-'Model Calculator'!W293*MasterData!$I$29</f>
        <v>811.25366500684959</v>
      </c>
      <c r="AJ293" s="201">
        <f t="shared" si="37"/>
        <v>155056.01226089726</v>
      </c>
      <c r="AK293" s="201">
        <f t="shared" si="39"/>
        <v>446.85</v>
      </c>
    </row>
    <row r="294" spans="1:37" hidden="1">
      <c r="A294" s="197" t="s">
        <v>105</v>
      </c>
      <c r="B294" s="197" t="str">
        <f t="shared" si="40"/>
        <v>M212.04</v>
      </c>
      <c r="C294" s="197" t="s">
        <v>202</v>
      </c>
      <c r="D294" s="226" t="s">
        <v>301</v>
      </c>
      <c r="E294" s="213">
        <f>VLOOKUP($A294,MasterData!$N$62:$X$111,2,FALSE)</f>
        <v>0.18</v>
      </c>
      <c r="F294" s="214">
        <f>ROUND(E294*MasterData!$C$4,2)</f>
        <v>9297.2999999999993</v>
      </c>
      <c r="G294" s="212">
        <f>VLOOKUP($A294,MasterData!$N$62:$X$111,3,FALSE)</f>
        <v>0.66</v>
      </c>
      <c r="H294" s="214">
        <f>ROUND(G294*MasterData!$D$4,2)</f>
        <v>27401.09</v>
      </c>
      <c r="I294" s="212">
        <f t="shared" si="41"/>
        <v>12</v>
      </c>
      <c r="J294" s="212">
        <f>VLOOKUP($A294,MasterData!$N$62:$X$111,4,FALSE)</f>
        <v>10.6</v>
      </c>
      <c r="K294" s="214">
        <f>ROUND(J294*MasterData!$H$26,2)</f>
        <v>0</v>
      </c>
      <c r="L294" s="212">
        <f>VLOOKUP($A294,MasterData!$N$62:$X$111,5,FALSE)</f>
        <v>1.4</v>
      </c>
      <c r="M294" s="211">
        <f>ROUND(L294*MasterData!$F$4,2)</f>
        <v>41496</v>
      </c>
      <c r="N294" s="212">
        <f>VLOOKUP($A294,MasterData!$N$62:$X$111,6,FALSE)</f>
        <v>1.85</v>
      </c>
      <c r="O294" s="211">
        <f>ROUND(N294*MasterData!$I$26,2)</f>
        <v>0</v>
      </c>
      <c r="P294" s="212">
        <f>VLOOKUP($A294,MasterData!$N$62:$X$111,7,FALSE)</f>
        <v>0.22</v>
      </c>
      <c r="Q294" s="214">
        <f>ROUND(P294*MasterData!$H$4,2)</f>
        <v>6520.8</v>
      </c>
      <c r="R294" s="212">
        <f>VLOOKUP($A294,MasterData!$N$62:$X$111,8,FALSE)</f>
        <v>0.12</v>
      </c>
      <c r="S294" s="211">
        <f>ROUND(R294*MasterData!$I$4,2)</f>
        <v>3863.81</v>
      </c>
      <c r="T294" s="215">
        <f t="shared" si="42"/>
        <v>88579</v>
      </c>
      <c r="U294" s="211">
        <f>ROUND(T294*MasterData!$C$29,2)</f>
        <v>19761.97</v>
      </c>
      <c r="V294" s="211">
        <f>ROUND(T294*MasterData!$J$29,2)</f>
        <v>327.74</v>
      </c>
      <c r="W294" s="201">
        <f t="shared" si="38"/>
        <v>108340.97</v>
      </c>
      <c r="X294" s="212">
        <f>VLOOKUP($A294,MasterData!$N$62:$X$111,10,FALSE)*52</f>
        <v>52</v>
      </c>
      <c r="Y294" s="211">
        <f>ROUND(X294*MasterData!$C$7,2)</f>
        <v>3138.72</v>
      </c>
      <c r="Z294" s="212">
        <f>VLOOKUP($A294,MasterData!$N$62:$X$111,11,FALSE)*52</f>
        <v>156</v>
      </c>
      <c r="AA294" s="211">
        <f>ROUND(Z294*MasterData!$D$7,2)</f>
        <v>6605.04</v>
      </c>
      <c r="AB294" s="215">
        <f t="shared" si="43"/>
        <v>9743.76</v>
      </c>
      <c r="AC294" s="216">
        <f>MasterData!$M$28</f>
        <v>15472.178595890411</v>
      </c>
      <c r="AD294" s="211">
        <f>MasterData!$D$30</f>
        <v>992.8</v>
      </c>
      <c r="AE294" s="211">
        <f>MasterData!$E$30</f>
        <v>2876.2</v>
      </c>
      <c r="AF294" s="211">
        <f>MasterData!$F$30</f>
        <v>0</v>
      </c>
      <c r="AG294" s="215">
        <f t="shared" si="36"/>
        <v>137425.90859589042</v>
      </c>
      <c r="AH294" s="211">
        <f>ROUND(AG294*MasterData!$G$29,2)</f>
        <v>16491.11</v>
      </c>
      <c r="AI294" s="200">
        <f>((AG294+AH294)*MasterData!$I$29)-'Model Calculator'!W294*MasterData!$I$29</f>
        <v>811.25366500684959</v>
      </c>
      <c r="AJ294" s="201">
        <f t="shared" si="37"/>
        <v>155056.01226089726</v>
      </c>
      <c r="AK294" s="201">
        <f t="shared" si="39"/>
        <v>446.85</v>
      </c>
    </row>
    <row r="295" spans="1:37" hidden="1">
      <c r="A295" s="197" t="s">
        <v>106</v>
      </c>
      <c r="B295" s="197" t="str">
        <f t="shared" si="40"/>
        <v>M212.54</v>
      </c>
      <c r="C295" s="197" t="s">
        <v>203</v>
      </c>
      <c r="D295" s="226" t="s">
        <v>301</v>
      </c>
      <c r="E295" s="213">
        <f>VLOOKUP($A295,MasterData!$N$62:$X$111,2,FALSE)</f>
        <v>0.18</v>
      </c>
      <c r="F295" s="214">
        <f>ROUND(E295*MasterData!$C$4,2)</f>
        <v>9297.2999999999993</v>
      </c>
      <c r="G295" s="212">
        <f>VLOOKUP($A295,MasterData!$N$62:$X$111,3,FALSE)</f>
        <v>0.66</v>
      </c>
      <c r="H295" s="214">
        <f>ROUND(G295*MasterData!$D$4,2)</f>
        <v>27401.09</v>
      </c>
      <c r="I295" s="212">
        <f t="shared" si="41"/>
        <v>12.5</v>
      </c>
      <c r="J295" s="212">
        <f>VLOOKUP($A295,MasterData!$N$62:$X$111,4,FALSE)</f>
        <v>11.1</v>
      </c>
      <c r="K295" s="214">
        <f>ROUND(J295*MasterData!$H$26,2)</f>
        <v>0</v>
      </c>
      <c r="L295" s="212">
        <f>VLOOKUP($A295,MasterData!$N$62:$X$111,5,FALSE)</f>
        <v>1.4</v>
      </c>
      <c r="M295" s="211">
        <f>ROUND(L295*MasterData!$F$4,2)</f>
        <v>41496</v>
      </c>
      <c r="N295" s="212">
        <f>VLOOKUP($A295,MasterData!$N$62:$X$111,6,FALSE)</f>
        <v>1.93</v>
      </c>
      <c r="O295" s="211">
        <f>ROUND(N295*MasterData!$I$26,2)</f>
        <v>0</v>
      </c>
      <c r="P295" s="212">
        <f>VLOOKUP($A295,MasterData!$N$62:$X$111,7,FALSE)</f>
        <v>0.22</v>
      </c>
      <c r="Q295" s="214">
        <f>ROUND(P295*MasterData!$H$4,2)</f>
        <v>6520.8</v>
      </c>
      <c r="R295" s="212">
        <f>VLOOKUP($A295,MasterData!$N$62:$X$111,8,FALSE)</f>
        <v>0.12</v>
      </c>
      <c r="S295" s="211">
        <f>ROUND(R295*MasterData!$I$4,2)</f>
        <v>3863.81</v>
      </c>
      <c r="T295" s="215">
        <f t="shared" si="42"/>
        <v>88579</v>
      </c>
      <c r="U295" s="211">
        <f>ROUND(T295*MasterData!$C$29,2)</f>
        <v>19761.97</v>
      </c>
      <c r="V295" s="211">
        <f>ROUND(T295*MasterData!$J$29,2)</f>
        <v>327.74</v>
      </c>
      <c r="W295" s="201">
        <f t="shared" si="38"/>
        <v>108340.97</v>
      </c>
      <c r="X295" s="212">
        <f>VLOOKUP($A295,MasterData!$N$62:$X$111,10,FALSE)*52</f>
        <v>52</v>
      </c>
      <c r="Y295" s="211">
        <f>ROUND(X295*MasterData!$C$7,2)</f>
        <v>3138.72</v>
      </c>
      <c r="Z295" s="212">
        <f>VLOOKUP($A295,MasterData!$N$62:$X$111,11,FALSE)*52</f>
        <v>156</v>
      </c>
      <c r="AA295" s="211">
        <f>ROUND(Z295*MasterData!$D$7,2)</f>
        <v>6605.04</v>
      </c>
      <c r="AB295" s="215">
        <f t="shared" si="43"/>
        <v>9743.76</v>
      </c>
      <c r="AC295" s="216">
        <f>MasterData!$M$28</f>
        <v>15472.178595890411</v>
      </c>
      <c r="AD295" s="211">
        <f>MasterData!$D$30</f>
        <v>992.8</v>
      </c>
      <c r="AE295" s="211">
        <f>MasterData!$E$30</f>
        <v>2876.2</v>
      </c>
      <c r="AF295" s="211">
        <f>MasterData!$F$30</f>
        <v>0</v>
      </c>
      <c r="AG295" s="215">
        <f t="shared" si="36"/>
        <v>137425.90859589042</v>
      </c>
      <c r="AH295" s="211">
        <f>ROUND(AG295*MasterData!$G$29,2)</f>
        <v>16491.11</v>
      </c>
      <c r="AI295" s="200">
        <f>((AG295+AH295)*MasterData!$I$29)-'Model Calculator'!W295*MasterData!$I$29</f>
        <v>811.25366500684959</v>
      </c>
      <c r="AJ295" s="201">
        <f t="shared" si="37"/>
        <v>155056.01226089726</v>
      </c>
      <c r="AK295" s="201">
        <f t="shared" si="39"/>
        <v>446.85</v>
      </c>
    </row>
    <row r="296" spans="1:37" hidden="1">
      <c r="A296" s="197" t="s">
        <v>107</v>
      </c>
      <c r="B296" s="197" t="str">
        <f t="shared" si="40"/>
        <v>M213.04</v>
      </c>
      <c r="C296" s="197" t="s">
        <v>204</v>
      </c>
      <c r="D296" s="226" t="s">
        <v>301</v>
      </c>
      <c r="E296" s="213">
        <f>VLOOKUP($A296,MasterData!$N$62:$X$111,2,FALSE)</f>
        <v>0.18</v>
      </c>
      <c r="F296" s="214">
        <f>ROUND(E296*MasterData!$C$4,2)</f>
        <v>9297.2999999999993</v>
      </c>
      <c r="G296" s="212">
        <f>VLOOKUP($A296,MasterData!$N$62:$X$111,3,FALSE)</f>
        <v>0.66</v>
      </c>
      <c r="H296" s="214">
        <f>ROUND(G296*MasterData!$D$4,2)</f>
        <v>27401.09</v>
      </c>
      <c r="I296" s="212">
        <f t="shared" si="41"/>
        <v>13</v>
      </c>
      <c r="J296" s="212">
        <f>VLOOKUP($A296,MasterData!$N$62:$X$111,4,FALSE)</f>
        <v>11.6</v>
      </c>
      <c r="K296" s="214">
        <f>ROUND(J296*MasterData!$H$26,2)</f>
        <v>0</v>
      </c>
      <c r="L296" s="212">
        <f>VLOOKUP($A296,MasterData!$N$62:$X$111,5,FALSE)</f>
        <v>1.4</v>
      </c>
      <c r="M296" s="211">
        <f>ROUND(L296*MasterData!$F$4,2)</f>
        <v>41496</v>
      </c>
      <c r="N296" s="212">
        <f>VLOOKUP($A296,MasterData!$N$62:$X$111,6,FALSE)</f>
        <v>2</v>
      </c>
      <c r="O296" s="211">
        <f>ROUND(N296*MasterData!$I$26,2)</f>
        <v>0</v>
      </c>
      <c r="P296" s="212">
        <f>VLOOKUP($A296,MasterData!$N$62:$X$111,7,FALSE)</f>
        <v>0.22</v>
      </c>
      <c r="Q296" s="214">
        <f>ROUND(P296*MasterData!$H$4,2)</f>
        <v>6520.8</v>
      </c>
      <c r="R296" s="212">
        <f>VLOOKUP($A296,MasterData!$N$62:$X$111,8,FALSE)</f>
        <v>0.12</v>
      </c>
      <c r="S296" s="211">
        <f>ROUND(R296*MasterData!$I$4,2)</f>
        <v>3863.81</v>
      </c>
      <c r="T296" s="215">
        <f t="shared" si="42"/>
        <v>88579</v>
      </c>
      <c r="U296" s="211">
        <f>ROUND(T296*MasterData!$C$29,2)</f>
        <v>19761.97</v>
      </c>
      <c r="V296" s="211">
        <f>ROUND(T296*MasterData!$J$29,2)</f>
        <v>327.74</v>
      </c>
      <c r="W296" s="201">
        <f t="shared" si="38"/>
        <v>108340.97</v>
      </c>
      <c r="X296" s="212">
        <f>VLOOKUP($A296,MasterData!$N$62:$X$111,10,FALSE)*52</f>
        <v>52</v>
      </c>
      <c r="Y296" s="211">
        <f>ROUND(X296*MasterData!$C$7,2)</f>
        <v>3138.72</v>
      </c>
      <c r="Z296" s="212">
        <f>VLOOKUP($A296,MasterData!$N$62:$X$111,11,FALSE)*52</f>
        <v>156</v>
      </c>
      <c r="AA296" s="211">
        <f>ROUND(Z296*MasterData!$D$7,2)</f>
        <v>6605.04</v>
      </c>
      <c r="AB296" s="215">
        <f t="shared" si="43"/>
        <v>9743.76</v>
      </c>
      <c r="AC296" s="216">
        <f>MasterData!$M$28</f>
        <v>15472.178595890411</v>
      </c>
      <c r="AD296" s="211">
        <f>MasterData!$D$30</f>
        <v>992.8</v>
      </c>
      <c r="AE296" s="211">
        <f>MasterData!$E$30</f>
        <v>2876.2</v>
      </c>
      <c r="AF296" s="211">
        <f>MasterData!$F$30</f>
        <v>0</v>
      </c>
      <c r="AG296" s="215">
        <f t="shared" si="36"/>
        <v>137425.90859589042</v>
      </c>
      <c r="AH296" s="211">
        <f>ROUND(AG296*MasterData!$G$29,2)</f>
        <v>16491.11</v>
      </c>
      <c r="AI296" s="200">
        <f>((AG296+AH296)*MasterData!$I$29)-'Model Calculator'!W296*MasterData!$I$29</f>
        <v>811.25366500684959</v>
      </c>
      <c r="AJ296" s="201">
        <f t="shared" si="37"/>
        <v>155056.01226089726</v>
      </c>
      <c r="AK296" s="201">
        <f t="shared" si="39"/>
        <v>446.85</v>
      </c>
    </row>
    <row r="297" spans="1:37" hidden="1">
      <c r="A297" s="197" t="s">
        <v>108</v>
      </c>
      <c r="B297" s="197" t="str">
        <f t="shared" si="40"/>
        <v>M213.54</v>
      </c>
      <c r="C297" s="197" t="s">
        <v>205</v>
      </c>
      <c r="D297" s="226" t="s">
        <v>301</v>
      </c>
      <c r="E297" s="213">
        <f>VLOOKUP($A297,MasterData!$N$62:$X$111,2,FALSE)</f>
        <v>0.18</v>
      </c>
      <c r="F297" s="214">
        <f>ROUND(E297*MasterData!$C$4,2)</f>
        <v>9297.2999999999993</v>
      </c>
      <c r="G297" s="212">
        <f>VLOOKUP($A297,MasterData!$N$62:$X$111,3,FALSE)</f>
        <v>0.66</v>
      </c>
      <c r="H297" s="214">
        <f>ROUND(G297*MasterData!$D$4,2)</f>
        <v>27401.09</v>
      </c>
      <c r="I297" s="212">
        <f t="shared" si="41"/>
        <v>13.5</v>
      </c>
      <c r="J297" s="212">
        <f>VLOOKUP($A297,MasterData!$N$62:$X$111,4,FALSE)</f>
        <v>12.1</v>
      </c>
      <c r="K297" s="214">
        <f>ROUND(J297*MasterData!$H$26,2)</f>
        <v>0</v>
      </c>
      <c r="L297" s="212">
        <f>VLOOKUP($A297,MasterData!$N$62:$X$111,5,FALSE)</f>
        <v>1.4</v>
      </c>
      <c r="M297" s="211">
        <f>ROUND(L297*MasterData!$F$4,2)</f>
        <v>41496</v>
      </c>
      <c r="N297" s="212">
        <f>VLOOKUP($A297,MasterData!$N$62:$X$111,6,FALSE)</f>
        <v>2.08</v>
      </c>
      <c r="O297" s="211">
        <f>ROUND(N297*MasterData!$I$26,2)</f>
        <v>0</v>
      </c>
      <c r="P297" s="212">
        <f>VLOOKUP($A297,MasterData!$N$62:$X$111,7,FALSE)</f>
        <v>0.22</v>
      </c>
      <c r="Q297" s="214">
        <f>ROUND(P297*MasterData!$H$4,2)</f>
        <v>6520.8</v>
      </c>
      <c r="R297" s="212">
        <f>VLOOKUP($A297,MasterData!$N$62:$X$111,8,FALSE)</f>
        <v>0.12</v>
      </c>
      <c r="S297" s="211">
        <f>ROUND(R297*MasterData!$I$4,2)</f>
        <v>3863.81</v>
      </c>
      <c r="T297" s="215">
        <f t="shared" si="42"/>
        <v>88579</v>
      </c>
      <c r="U297" s="211">
        <f>ROUND(T297*MasterData!$C$29,2)</f>
        <v>19761.97</v>
      </c>
      <c r="V297" s="211">
        <f>ROUND(T297*MasterData!$J$29,2)</f>
        <v>327.74</v>
      </c>
      <c r="W297" s="201">
        <f t="shared" si="38"/>
        <v>108340.97</v>
      </c>
      <c r="X297" s="212">
        <f>VLOOKUP($A297,MasterData!$N$62:$X$111,10,FALSE)*52</f>
        <v>52</v>
      </c>
      <c r="Y297" s="211">
        <f>ROUND(X297*MasterData!$C$7,2)</f>
        <v>3138.72</v>
      </c>
      <c r="Z297" s="212">
        <f>VLOOKUP($A297,MasterData!$N$62:$X$111,11,FALSE)*52</f>
        <v>156</v>
      </c>
      <c r="AA297" s="211">
        <f>ROUND(Z297*MasterData!$D$7,2)</f>
        <v>6605.04</v>
      </c>
      <c r="AB297" s="215">
        <f t="shared" si="43"/>
        <v>9743.76</v>
      </c>
      <c r="AC297" s="216">
        <f>MasterData!$M$28</f>
        <v>15472.178595890411</v>
      </c>
      <c r="AD297" s="211">
        <f>MasterData!$D$30</f>
        <v>992.8</v>
      </c>
      <c r="AE297" s="211">
        <f>MasterData!$E$30</f>
        <v>2876.2</v>
      </c>
      <c r="AF297" s="211">
        <f>MasterData!$F$30</f>
        <v>0</v>
      </c>
      <c r="AG297" s="215">
        <f t="shared" si="36"/>
        <v>137425.90859589042</v>
      </c>
      <c r="AH297" s="211">
        <f>ROUND(AG297*MasterData!$G$29,2)</f>
        <v>16491.11</v>
      </c>
      <c r="AI297" s="200">
        <f>((AG297+AH297)*MasterData!$I$29)-'Model Calculator'!W297*MasterData!$I$29</f>
        <v>811.25366500684959</v>
      </c>
      <c r="AJ297" s="201">
        <f t="shared" si="37"/>
        <v>155056.01226089726</v>
      </c>
      <c r="AK297" s="201">
        <f t="shared" si="39"/>
        <v>446.85</v>
      </c>
    </row>
    <row r="298" spans="1:37" hidden="1">
      <c r="A298" s="197" t="s">
        <v>109</v>
      </c>
      <c r="B298" s="197" t="str">
        <f t="shared" si="40"/>
        <v>M214.04</v>
      </c>
      <c r="C298" s="197" t="s">
        <v>206</v>
      </c>
      <c r="D298" s="226" t="s">
        <v>301</v>
      </c>
      <c r="E298" s="213">
        <f>VLOOKUP($A298,MasterData!$N$62:$X$111,2,FALSE)</f>
        <v>0.18</v>
      </c>
      <c r="F298" s="214">
        <f>ROUND(E298*MasterData!$C$4,2)</f>
        <v>9297.2999999999993</v>
      </c>
      <c r="G298" s="212">
        <f>VLOOKUP($A298,MasterData!$N$62:$X$111,3,FALSE)</f>
        <v>0.66</v>
      </c>
      <c r="H298" s="214">
        <f>ROUND(G298*MasterData!$D$4,2)</f>
        <v>27401.09</v>
      </c>
      <c r="I298" s="212">
        <f t="shared" si="41"/>
        <v>14</v>
      </c>
      <c r="J298" s="212">
        <f>VLOOKUP($A298,MasterData!$N$62:$X$111,4,FALSE)</f>
        <v>12.6</v>
      </c>
      <c r="K298" s="214">
        <f>ROUND(J298*MasterData!$H$26,2)</f>
        <v>0</v>
      </c>
      <c r="L298" s="212">
        <f>VLOOKUP($A298,MasterData!$N$62:$X$111,5,FALSE)</f>
        <v>1.4</v>
      </c>
      <c r="M298" s="211">
        <f>ROUND(L298*MasterData!$F$4,2)</f>
        <v>41496</v>
      </c>
      <c r="N298" s="212">
        <f>VLOOKUP($A298,MasterData!$N$62:$X$111,6,FALSE)</f>
        <v>2.16</v>
      </c>
      <c r="O298" s="211">
        <f>ROUND(N298*MasterData!$I$26,2)</f>
        <v>0</v>
      </c>
      <c r="P298" s="212">
        <f>VLOOKUP($A298,MasterData!$N$62:$X$111,7,FALSE)</f>
        <v>0.22</v>
      </c>
      <c r="Q298" s="214">
        <f>ROUND(P298*MasterData!$H$4,2)</f>
        <v>6520.8</v>
      </c>
      <c r="R298" s="212">
        <f>VLOOKUP($A298,MasterData!$N$62:$X$111,8,FALSE)</f>
        <v>0.12</v>
      </c>
      <c r="S298" s="211">
        <f>ROUND(R298*MasterData!$I$4,2)</f>
        <v>3863.81</v>
      </c>
      <c r="T298" s="215">
        <f t="shared" si="42"/>
        <v>88579</v>
      </c>
      <c r="U298" s="211">
        <f>ROUND(T298*MasterData!$C$29,2)</f>
        <v>19761.97</v>
      </c>
      <c r="V298" s="211">
        <f>ROUND(T298*MasterData!$J$29,2)</f>
        <v>327.74</v>
      </c>
      <c r="W298" s="201">
        <f t="shared" si="38"/>
        <v>108340.97</v>
      </c>
      <c r="X298" s="212">
        <f>VLOOKUP($A298,MasterData!$N$62:$X$111,10,FALSE)*52</f>
        <v>52</v>
      </c>
      <c r="Y298" s="211">
        <f>ROUND(X298*MasterData!$C$7,2)</f>
        <v>3138.72</v>
      </c>
      <c r="Z298" s="212">
        <f>VLOOKUP($A298,MasterData!$N$62:$X$111,11,FALSE)*52</f>
        <v>156</v>
      </c>
      <c r="AA298" s="211">
        <f>ROUND(Z298*MasterData!$D$7,2)</f>
        <v>6605.04</v>
      </c>
      <c r="AB298" s="215">
        <f t="shared" si="43"/>
        <v>9743.76</v>
      </c>
      <c r="AC298" s="216">
        <f>MasterData!$M$28</f>
        <v>15472.178595890411</v>
      </c>
      <c r="AD298" s="211">
        <f>MasterData!$D$30</f>
        <v>992.8</v>
      </c>
      <c r="AE298" s="211">
        <f>MasterData!$E$30</f>
        <v>2876.2</v>
      </c>
      <c r="AF298" s="211">
        <f>MasterData!$F$30</f>
        <v>0</v>
      </c>
      <c r="AG298" s="215">
        <f t="shared" si="36"/>
        <v>137425.90859589042</v>
      </c>
      <c r="AH298" s="211">
        <f>ROUND(AG298*MasterData!$G$29,2)</f>
        <v>16491.11</v>
      </c>
      <c r="AI298" s="200">
        <f>((AG298+AH298)*MasterData!$I$29)-'Model Calculator'!W298*MasterData!$I$29</f>
        <v>811.25366500684959</v>
      </c>
      <c r="AJ298" s="201">
        <f t="shared" si="37"/>
        <v>155056.01226089726</v>
      </c>
      <c r="AK298" s="201">
        <f t="shared" si="39"/>
        <v>446.85</v>
      </c>
    </row>
    <row r="299" spans="1:37" hidden="1">
      <c r="A299" s="197" t="s">
        <v>110</v>
      </c>
      <c r="B299" s="197" t="str">
        <f t="shared" si="40"/>
        <v>M214.54</v>
      </c>
      <c r="C299" s="197" t="s">
        <v>207</v>
      </c>
      <c r="D299" s="226" t="s">
        <v>301</v>
      </c>
      <c r="E299" s="213">
        <f>VLOOKUP($A299,MasterData!$N$62:$X$111,2,FALSE)</f>
        <v>0.18</v>
      </c>
      <c r="F299" s="214">
        <f>ROUND(E299*MasterData!$C$4,2)</f>
        <v>9297.2999999999993</v>
      </c>
      <c r="G299" s="212">
        <f>VLOOKUP($A299,MasterData!$N$62:$X$111,3,FALSE)</f>
        <v>0.66</v>
      </c>
      <c r="H299" s="214">
        <f>ROUND(G299*MasterData!$D$4,2)</f>
        <v>27401.09</v>
      </c>
      <c r="I299" s="212">
        <f t="shared" si="41"/>
        <v>14.5</v>
      </c>
      <c r="J299" s="212">
        <f>VLOOKUP($A299,MasterData!$N$62:$X$111,4,FALSE)</f>
        <v>13.1</v>
      </c>
      <c r="K299" s="214">
        <f>ROUND(J299*MasterData!$H$26,2)</f>
        <v>0</v>
      </c>
      <c r="L299" s="212">
        <f>VLOOKUP($A299,MasterData!$N$62:$X$111,5,FALSE)</f>
        <v>1.4</v>
      </c>
      <c r="M299" s="211">
        <f>ROUND(L299*MasterData!$F$4,2)</f>
        <v>41496</v>
      </c>
      <c r="N299" s="212">
        <f>VLOOKUP($A299,MasterData!$N$62:$X$111,6,FALSE)</f>
        <v>2.23</v>
      </c>
      <c r="O299" s="211">
        <f>ROUND(N299*MasterData!$I$26,2)</f>
        <v>0</v>
      </c>
      <c r="P299" s="212">
        <f>VLOOKUP($A299,MasterData!$N$62:$X$111,7,FALSE)</f>
        <v>0.22</v>
      </c>
      <c r="Q299" s="214">
        <f>ROUND(P299*MasterData!$H$4,2)</f>
        <v>6520.8</v>
      </c>
      <c r="R299" s="212">
        <f>VLOOKUP($A299,MasterData!$N$62:$X$111,8,FALSE)</f>
        <v>0.12</v>
      </c>
      <c r="S299" s="211">
        <f>ROUND(R299*MasterData!$I$4,2)</f>
        <v>3863.81</v>
      </c>
      <c r="T299" s="215">
        <f t="shared" si="42"/>
        <v>88579</v>
      </c>
      <c r="U299" s="211">
        <f>ROUND(T299*MasterData!$C$29,2)</f>
        <v>19761.97</v>
      </c>
      <c r="V299" s="211">
        <f>ROUND(T299*MasterData!$J$29,2)</f>
        <v>327.74</v>
      </c>
      <c r="W299" s="201">
        <f t="shared" si="38"/>
        <v>108340.97</v>
      </c>
      <c r="X299" s="212">
        <f>VLOOKUP($A299,MasterData!$N$62:$X$111,10,FALSE)*52</f>
        <v>52</v>
      </c>
      <c r="Y299" s="211">
        <f>ROUND(X299*MasterData!$C$7,2)</f>
        <v>3138.72</v>
      </c>
      <c r="Z299" s="212">
        <f>VLOOKUP($A299,MasterData!$N$62:$X$111,11,FALSE)*52</f>
        <v>156</v>
      </c>
      <c r="AA299" s="211">
        <f>ROUND(Z299*MasterData!$D$7,2)</f>
        <v>6605.04</v>
      </c>
      <c r="AB299" s="215">
        <f t="shared" si="43"/>
        <v>9743.76</v>
      </c>
      <c r="AC299" s="216">
        <f>MasterData!$M$28</f>
        <v>15472.178595890411</v>
      </c>
      <c r="AD299" s="211">
        <f>MasterData!$D$30</f>
        <v>992.8</v>
      </c>
      <c r="AE299" s="211">
        <f>MasterData!$E$30</f>
        <v>2876.2</v>
      </c>
      <c r="AF299" s="211">
        <f>MasterData!$F$30</f>
        <v>0</v>
      </c>
      <c r="AG299" s="215">
        <f t="shared" si="36"/>
        <v>137425.90859589042</v>
      </c>
      <c r="AH299" s="211">
        <f>ROUND(AG299*MasterData!$G$29,2)</f>
        <v>16491.11</v>
      </c>
      <c r="AI299" s="200">
        <f>((AG299+AH299)*MasterData!$I$29)-'Model Calculator'!W299*MasterData!$I$29</f>
        <v>811.25366500684959</v>
      </c>
      <c r="AJ299" s="201">
        <f t="shared" si="37"/>
        <v>155056.01226089726</v>
      </c>
      <c r="AK299" s="201">
        <f t="shared" si="39"/>
        <v>446.85</v>
      </c>
    </row>
    <row r="300" spans="1:37" hidden="1">
      <c r="A300" s="197" t="s">
        <v>111</v>
      </c>
      <c r="B300" s="197" t="str">
        <f t="shared" si="40"/>
        <v>M215.04</v>
      </c>
      <c r="C300" s="197" t="s">
        <v>208</v>
      </c>
      <c r="D300" s="226" t="s">
        <v>301</v>
      </c>
      <c r="E300" s="213">
        <f>VLOOKUP($A300,MasterData!$N$62:$X$111,2,FALSE)</f>
        <v>0.18</v>
      </c>
      <c r="F300" s="214">
        <f>ROUND(E300*MasterData!$C$4,2)</f>
        <v>9297.2999999999993</v>
      </c>
      <c r="G300" s="212">
        <f>VLOOKUP($A300,MasterData!$N$62:$X$111,3,FALSE)</f>
        <v>0.66</v>
      </c>
      <c r="H300" s="214">
        <f>ROUND(G300*MasterData!$D$4,2)</f>
        <v>27401.09</v>
      </c>
      <c r="I300" s="212">
        <f t="shared" si="41"/>
        <v>15</v>
      </c>
      <c r="J300" s="212">
        <f>VLOOKUP($A300,MasterData!$N$62:$X$111,4,FALSE)</f>
        <v>13.6</v>
      </c>
      <c r="K300" s="214">
        <f>ROUND(J300*MasterData!$H$26,2)</f>
        <v>0</v>
      </c>
      <c r="L300" s="212">
        <f>VLOOKUP($A300,MasterData!$N$62:$X$111,5,FALSE)</f>
        <v>1.4</v>
      </c>
      <c r="M300" s="211">
        <f>ROUND(L300*MasterData!$F$4,2)</f>
        <v>41496</v>
      </c>
      <c r="N300" s="212">
        <f>VLOOKUP($A300,MasterData!$N$62:$X$111,6,FALSE)</f>
        <v>2.31</v>
      </c>
      <c r="O300" s="211">
        <f>ROUND(N300*MasterData!$I$26,2)</f>
        <v>0</v>
      </c>
      <c r="P300" s="212">
        <f>VLOOKUP($A300,MasterData!$N$62:$X$111,7,FALSE)</f>
        <v>0.22</v>
      </c>
      <c r="Q300" s="214">
        <f>ROUND(P300*MasterData!$H$4,2)</f>
        <v>6520.8</v>
      </c>
      <c r="R300" s="212">
        <f>VLOOKUP($A300,MasterData!$N$62:$X$111,8,FALSE)</f>
        <v>0.12</v>
      </c>
      <c r="S300" s="211">
        <f>ROUND(R300*MasterData!$I$4,2)</f>
        <v>3863.81</v>
      </c>
      <c r="T300" s="215">
        <f t="shared" si="42"/>
        <v>88579</v>
      </c>
      <c r="U300" s="211">
        <f>ROUND(T300*MasterData!$C$29,2)</f>
        <v>19761.97</v>
      </c>
      <c r="V300" s="211">
        <f>ROUND(T300*MasterData!$J$29,2)</f>
        <v>327.74</v>
      </c>
      <c r="W300" s="201">
        <f t="shared" si="38"/>
        <v>108340.97</v>
      </c>
      <c r="X300" s="212">
        <f>VLOOKUP($A300,MasterData!$N$62:$X$111,10,FALSE)*52</f>
        <v>52</v>
      </c>
      <c r="Y300" s="211">
        <f>ROUND(X300*MasterData!$C$7,2)</f>
        <v>3138.72</v>
      </c>
      <c r="Z300" s="212">
        <f>VLOOKUP($A300,MasterData!$N$62:$X$111,11,FALSE)*52</f>
        <v>156</v>
      </c>
      <c r="AA300" s="211">
        <f>ROUND(Z300*MasterData!$D$7,2)</f>
        <v>6605.04</v>
      </c>
      <c r="AB300" s="215">
        <f t="shared" si="43"/>
        <v>9743.76</v>
      </c>
      <c r="AC300" s="216">
        <f>MasterData!$M$28</f>
        <v>15472.178595890411</v>
      </c>
      <c r="AD300" s="211">
        <f>MasterData!$D$30</f>
        <v>992.8</v>
      </c>
      <c r="AE300" s="211">
        <f>MasterData!$E$30</f>
        <v>2876.2</v>
      </c>
      <c r="AF300" s="211">
        <f>MasterData!$F$30</f>
        <v>0</v>
      </c>
      <c r="AG300" s="215">
        <f t="shared" si="36"/>
        <v>137425.90859589042</v>
      </c>
      <c r="AH300" s="211">
        <f>ROUND(AG300*MasterData!$G$29,2)</f>
        <v>16491.11</v>
      </c>
      <c r="AI300" s="200">
        <f>((AG300+AH300)*MasterData!$I$29)-'Model Calculator'!W300*MasterData!$I$29</f>
        <v>811.25366500684959</v>
      </c>
      <c r="AJ300" s="201">
        <f t="shared" si="37"/>
        <v>155056.01226089726</v>
      </c>
      <c r="AK300" s="201">
        <f t="shared" si="39"/>
        <v>446.85</v>
      </c>
    </row>
    <row r="301" spans="1:37" hidden="1">
      <c r="A301" s="197" t="s">
        <v>112</v>
      </c>
      <c r="B301" s="197" t="str">
        <f t="shared" si="40"/>
        <v>M215.54</v>
      </c>
      <c r="C301" s="197" t="s">
        <v>209</v>
      </c>
      <c r="D301" s="226" t="s">
        <v>301</v>
      </c>
      <c r="E301" s="213">
        <f>VLOOKUP($A301,MasterData!$N$62:$X$111,2,FALSE)</f>
        <v>0.18</v>
      </c>
      <c r="F301" s="214">
        <f>ROUND(E301*MasterData!$C$4,2)</f>
        <v>9297.2999999999993</v>
      </c>
      <c r="G301" s="212">
        <f>VLOOKUP($A301,MasterData!$N$62:$X$111,3,FALSE)</f>
        <v>0.66</v>
      </c>
      <c r="H301" s="214">
        <f>ROUND(G301*MasterData!$D$4,2)</f>
        <v>27401.09</v>
      </c>
      <c r="I301" s="212">
        <f t="shared" si="41"/>
        <v>15.5</v>
      </c>
      <c r="J301" s="212">
        <f>VLOOKUP($A301,MasterData!$N$62:$X$111,4,FALSE)</f>
        <v>14.1</v>
      </c>
      <c r="K301" s="214">
        <f>ROUND(J301*MasterData!$H$26,2)</f>
        <v>0</v>
      </c>
      <c r="L301" s="212">
        <f>VLOOKUP($A301,MasterData!$N$62:$X$111,5,FALSE)</f>
        <v>1.4</v>
      </c>
      <c r="M301" s="211">
        <f>ROUND(L301*MasterData!$F$4,2)</f>
        <v>41496</v>
      </c>
      <c r="N301" s="212">
        <f>VLOOKUP($A301,MasterData!$N$62:$X$111,6,FALSE)</f>
        <v>2.39</v>
      </c>
      <c r="O301" s="211">
        <f>ROUND(N301*MasterData!$I$26,2)</f>
        <v>0</v>
      </c>
      <c r="P301" s="212">
        <f>VLOOKUP($A301,MasterData!$N$62:$X$111,7,FALSE)</f>
        <v>0.22</v>
      </c>
      <c r="Q301" s="214">
        <f>ROUND(P301*MasterData!$H$4,2)</f>
        <v>6520.8</v>
      </c>
      <c r="R301" s="212">
        <f>VLOOKUP($A301,MasterData!$N$62:$X$111,8,FALSE)</f>
        <v>0.12</v>
      </c>
      <c r="S301" s="211">
        <f>ROUND(R301*MasterData!$I$4,2)</f>
        <v>3863.81</v>
      </c>
      <c r="T301" s="215">
        <f t="shared" si="42"/>
        <v>88579</v>
      </c>
      <c r="U301" s="211">
        <f>ROUND(T301*MasterData!$C$29,2)</f>
        <v>19761.97</v>
      </c>
      <c r="V301" s="211">
        <f>ROUND(T301*MasterData!$J$29,2)</f>
        <v>327.74</v>
      </c>
      <c r="W301" s="201">
        <f t="shared" si="38"/>
        <v>108340.97</v>
      </c>
      <c r="X301" s="212">
        <f>VLOOKUP($A301,MasterData!$N$62:$X$111,10,FALSE)*52</f>
        <v>52</v>
      </c>
      <c r="Y301" s="211">
        <f>ROUND(X301*MasterData!$C$7,2)</f>
        <v>3138.72</v>
      </c>
      <c r="Z301" s="212">
        <f>VLOOKUP($A301,MasterData!$N$62:$X$111,11,FALSE)*52</f>
        <v>156</v>
      </c>
      <c r="AA301" s="211">
        <f>ROUND(Z301*MasterData!$D$7,2)</f>
        <v>6605.04</v>
      </c>
      <c r="AB301" s="215">
        <f t="shared" si="43"/>
        <v>9743.76</v>
      </c>
      <c r="AC301" s="216">
        <f>MasterData!$M$28</f>
        <v>15472.178595890411</v>
      </c>
      <c r="AD301" s="211">
        <f>MasterData!$D$30</f>
        <v>992.8</v>
      </c>
      <c r="AE301" s="211">
        <f>MasterData!$E$30</f>
        <v>2876.2</v>
      </c>
      <c r="AF301" s="211">
        <f>MasterData!$F$30</f>
        <v>0</v>
      </c>
      <c r="AG301" s="215">
        <f t="shared" si="36"/>
        <v>137425.90859589042</v>
      </c>
      <c r="AH301" s="211">
        <f>ROUND(AG301*MasterData!$G$29,2)</f>
        <v>16491.11</v>
      </c>
      <c r="AI301" s="200">
        <f>((AG301+AH301)*MasterData!$I$29)-'Model Calculator'!W301*MasterData!$I$29</f>
        <v>811.25366500684959</v>
      </c>
      <c r="AJ301" s="201">
        <f t="shared" si="37"/>
        <v>155056.01226089726</v>
      </c>
      <c r="AK301" s="201">
        <f t="shared" si="39"/>
        <v>446.85</v>
      </c>
    </row>
    <row r="302" spans="1:37">
      <c r="A302" s="197" t="s">
        <v>299</v>
      </c>
      <c r="B302" s="197" t="str">
        <f t="shared" ref="B302:B311" si="44">CONCATENATE(LEFT(C302,1),LEFT(D302,1),MID(C302,2,4))</f>
        <v>B103.0</v>
      </c>
      <c r="C302" s="197" t="s">
        <v>299</v>
      </c>
      <c r="D302" s="197">
        <v>1</v>
      </c>
      <c r="E302" s="213">
        <f>VLOOKUP($A302,MasterData!$B$116:$L$125,2,FALSE)</f>
        <v>0.09</v>
      </c>
      <c r="F302" s="214">
        <f>ROUND(E302*MasterData!$C$4,2)</f>
        <v>4648.6499999999996</v>
      </c>
      <c r="G302" s="213">
        <f>VLOOKUP($A302,MasterData!$B$116:$L$125,3,FALSE)</f>
        <v>0.25</v>
      </c>
      <c r="H302" s="214">
        <f>ROUND(G302*MasterData!$D$4,2)</f>
        <v>10379.200000000001</v>
      </c>
      <c r="I302" s="212">
        <f t="shared" si="41"/>
        <v>3</v>
      </c>
      <c r="J302" s="213">
        <f>VLOOKUP($A302,MasterData!$B$116:$L$125,4,FALSE)</f>
        <v>1.6</v>
      </c>
      <c r="K302" s="214">
        <f>ROUND(J302*MasterData!$E$3,2)</f>
        <v>51517.440000000002</v>
      </c>
      <c r="L302" s="213">
        <f>VLOOKUP($A302,MasterData!$B$116:$L$125,5,FALSE)</f>
        <v>1.4</v>
      </c>
      <c r="M302" s="211">
        <f>ROUND(L302*MasterData!$F$4,2)</f>
        <v>41496</v>
      </c>
      <c r="N302" s="213">
        <f>VLOOKUP($A302,MasterData!$B$116:$L$125,6,FALSE)</f>
        <v>0.46</v>
      </c>
      <c r="O302" s="211">
        <f>ROUND(N302*MasterData!$G$3,2)</f>
        <v>14811.26</v>
      </c>
      <c r="P302" s="213">
        <f>VLOOKUP($A302,MasterData!$B$116:$L$125,7,FALSE)</f>
        <v>0.22</v>
      </c>
      <c r="Q302" s="214">
        <f>ROUND(P302*MasterData!$H$4,2)</f>
        <v>6520.8</v>
      </c>
      <c r="R302" s="213">
        <f>VLOOKUP($A302,MasterData!$B$116:$L$125,8,FALSE)</f>
        <v>0.03</v>
      </c>
      <c r="S302" s="211">
        <f>ROUND(R302*MasterData!$I$3,2)</f>
        <v>965.95</v>
      </c>
      <c r="T302" s="215">
        <f t="shared" si="42"/>
        <v>130339.3</v>
      </c>
      <c r="U302" s="211">
        <f>ROUND(T302*MasterData!$C$29,2)</f>
        <v>29078.7</v>
      </c>
      <c r="V302" s="211">
        <f>ROUND(T302*MasterData!$J$29,2)</f>
        <v>482.26</v>
      </c>
      <c r="W302" s="201">
        <f t="shared" si="38"/>
        <v>159418</v>
      </c>
      <c r="X302" s="212">
        <f>VLOOKUP($A302,MasterData!$B$116:$L$125,10,FALSE)*52</f>
        <v>52</v>
      </c>
      <c r="Y302" s="211">
        <f>ROUND(X302*MasterData!$C$7,2)</f>
        <v>3138.72</v>
      </c>
      <c r="Z302" s="212">
        <f>VLOOKUP($A302,MasterData!$B$116:$L$125,11,FALSE)*52</f>
        <v>52</v>
      </c>
      <c r="AA302" s="211">
        <f>ROUND(Z302*MasterData!$D$7,2)</f>
        <v>2201.6799999999998</v>
      </c>
      <c r="AB302" s="215">
        <f t="shared" si="43"/>
        <v>5340.4</v>
      </c>
      <c r="AC302" s="202">
        <f>MasterData!$M$27</f>
        <v>11374.854166666666</v>
      </c>
      <c r="AD302" s="200">
        <f>MasterData!$D$31</f>
        <v>496.4</v>
      </c>
      <c r="AE302" s="201">
        <f>MasterData!$E$31</f>
        <v>1438.1</v>
      </c>
      <c r="AF302" s="201">
        <f>MasterData!$F$31</f>
        <v>0</v>
      </c>
      <c r="AG302" s="215">
        <f t="shared" si="36"/>
        <v>178067.75416666665</v>
      </c>
      <c r="AH302" s="211">
        <f>ROUND(AG302*MasterData!$G$29,2)</f>
        <v>21368.13</v>
      </c>
      <c r="AI302" s="200">
        <f>((AG302+AH302)*MasterData!$I$29)-'Model Calculator'!W302*MasterData!$I$29</f>
        <v>712.31833816666676</v>
      </c>
      <c r="AJ302" s="201">
        <f t="shared" si="37"/>
        <v>200630.46250483333</v>
      </c>
      <c r="AK302" s="201">
        <f t="shared" si="39"/>
        <v>578.19000000000005</v>
      </c>
    </row>
    <row r="303" spans="1:37">
      <c r="A303" s="197" t="s">
        <v>300</v>
      </c>
      <c r="B303" s="197" t="str">
        <f t="shared" si="44"/>
        <v>I103.0</v>
      </c>
      <c r="C303" s="197" t="s">
        <v>300</v>
      </c>
      <c r="D303" s="197">
        <v>1</v>
      </c>
      <c r="E303" s="213">
        <f>VLOOKUP($A303,MasterData!$B$116:$L$125,2,FALSE)</f>
        <v>0.09</v>
      </c>
      <c r="F303" s="214">
        <f>ROUND(E303*MasterData!$C$4,2)</f>
        <v>4648.6499999999996</v>
      </c>
      <c r="G303" s="213">
        <f>VLOOKUP($A303,MasterData!$B$116:$L$125,3,FALSE)</f>
        <v>0.25</v>
      </c>
      <c r="H303" s="214">
        <f>ROUND(G303*MasterData!$D$4,2)</f>
        <v>10379.200000000001</v>
      </c>
      <c r="I303" s="212">
        <f t="shared" si="41"/>
        <v>3</v>
      </c>
      <c r="J303" s="213">
        <f>VLOOKUP($A303,MasterData!$B$116:$L$125,4,FALSE)</f>
        <v>1.6</v>
      </c>
      <c r="K303" s="214">
        <f>ROUND(J303*MasterData!$E$4,2)</f>
        <v>53305.599999999999</v>
      </c>
      <c r="L303" s="213">
        <f>VLOOKUP($A303,MasterData!$B$116:$L$125,5,FALSE)</f>
        <v>1.4</v>
      </c>
      <c r="M303" s="211">
        <f>ROUND(L303*MasterData!$F$4,2)</f>
        <v>41496</v>
      </c>
      <c r="N303" s="213">
        <f>VLOOKUP($A303,MasterData!$B$116:$L$125,6,FALSE)</f>
        <v>0.46</v>
      </c>
      <c r="O303" s="211">
        <f>ROUND(N303*MasterData!$G$4,2)</f>
        <v>15325.36</v>
      </c>
      <c r="P303" s="213">
        <f>VLOOKUP($A303,MasterData!$B$116:$L$125,7,FALSE)</f>
        <v>0.22</v>
      </c>
      <c r="Q303" s="214">
        <f>ROUND(P303*MasterData!$H$4,2)</f>
        <v>6520.8</v>
      </c>
      <c r="R303" s="213">
        <f>VLOOKUP($A303,MasterData!$B$116:$L$125,8,FALSE)</f>
        <v>0.03</v>
      </c>
      <c r="S303" s="211">
        <f>ROUND(R303*MasterData!$I$3,2)</f>
        <v>965.95</v>
      </c>
      <c r="T303" s="215">
        <f t="shared" ref="T303:T311" si="45">F303+H303+K303+M303+O303+Q303+S303</f>
        <v>132641.56</v>
      </c>
      <c r="U303" s="211">
        <f>ROUND(T303*MasterData!$C$29,2)</f>
        <v>29592.33</v>
      </c>
      <c r="V303" s="211">
        <f>ROUND(T303*MasterData!$J$29,2)</f>
        <v>490.77</v>
      </c>
      <c r="W303" s="201">
        <f t="shared" si="38"/>
        <v>162233.89000000001</v>
      </c>
      <c r="X303" s="212">
        <f>VLOOKUP($A303,MasterData!$B$116:$L$125,10,FALSE)*52</f>
        <v>52</v>
      </c>
      <c r="Y303" s="211">
        <f>ROUND(X303*MasterData!$C$7,2)</f>
        <v>3138.72</v>
      </c>
      <c r="Z303" s="212">
        <f>VLOOKUP($A303,MasterData!$B$116:$L$125,11,FALSE)*52</f>
        <v>52</v>
      </c>
      <c r="AA303" s="211">
        <f>ROUND(Z303*MasterData!$D$7,2)</f>
        <v>2201.6799999999998</v>
      </c>
      <c r="AB303" s="215">
        <f t="shared" ref="AB303:AB311" si="46">AA303+Y303</f>
        <v>5340.4</v>
      </c>
      <c r="AC303" s="202">
        <f>MasterData!$M$27</f>
        <v>11374.854166666666</v>
      </c>
      <c r="AD303" s="200">
        <f>MasterData!$D$31</f>
        <v>496.4</v>
      </c>
      <c r="AE303" s="201">
        <f>MasterData!$E$31</f>
        <v>1438.1</v>
      </c>
      <c r="AF303" s="201">
        <f>MasterData!$F$31</f>
        <v>0</v>
      </c>
      <c r="AG303" s="215">
        <f t="shared" si="36"/>
        <v>180883.64416666667</v>
      </c>
      <c r="AH303" s="211">
        <f>ROUND(AG303*MasterData!$G$29,2)</f>
        <v>21706.04</v>
      </c>
      <c r="AI303" s="200">
        <f>((AG303+AH303)*MasterData!$I$29)-'Model Calculator'!W303*MasterData!$I$29</f>
        <v>718.33313616666646</v>
      </c>
      <c r="AJ303" s="201">
        <f t="shared" si="37"/>
        <v>203798.78730283334</v>
      </c>
      <c r="AK303" s="201">
        <f t="shared" si="39"/>
        <v>587.32000000000005</v>
      </c>
    </row>
    <row r="304" spans="1:37">
      <c r="A304" s="197" t="s">
        <v>89</v>
      </c>
      <c r="B304" s="197" t="str">
        <f t="shared" si="44"/>
        <v>I103.5</v>
      </c>
      <c r="C304" s="197" t="s">
        <v>89</v>
      </c>
      <c r="D304" s="197">
        <v>1</v>
      </c>
      <c r="E304" s="213">
        <f>VLOOKUP($A304,MasterData!$B$116:$L$125,2,FALSE)</f>
        <v>0.09</v>
      </c>
      <c r="F304" s="214">
        <f>ROUND(E304*MasterData!$C$4,2)</f>
        <v>4648.6499999999996</v>
      </c>
      <c r="G304" s="213">
        <f>VLOOKUP($A304,MasterData!$B$116:$L$125,3,FALSE)</f>
        <v>0.25</v>
      </c>
      <c r="H304" s="214">
        <f>ROUND(G304*MasterData!$D$4,2)</f>
        <v>10379.200000000001</v>
      </c>
      <c r="I304" s="212">
        <f t="shared" si="41"/>
        <v>3.5</v>
      </c>
      <c r="J304" s="213">
        <f>VLOOKUP($A304,MasterData!$B$116:$L$125,4,FALSE)</f>
        <v>2.1</v>
      </c>
      <c r="K304" s="214">
        <f>ROUND(J304*MasterData!$E$4,2)</f>
        <v>69963.600000000006</v>
      </c>
      <c r="L304" s="213">
        <f>VLOOKUP($A304,MasterData!$B$116:$L$125,5,FALSE)</f>
        <v>1.4</v>
      </c>
      <c r="M304" s="211">
        <f>ROUND(L304*MasterData!$F$4,2)</f>
        <v>41496</v>
      </c>
      <c r="N304" s="213">
        <f>VLOOKUP($A304,MasterData!$B$116:$L$125,6,FALSE)</f>
        <v>0.54</v>
      </c>
      <c r="O304" s="211">
        <f>ROUND(N304*MasterData!$G$4,2)</f>
        <v>17990.64</v>
      </c>
      <c r="P304" s="213">
        <f>VLOOKUP($A304,MasterData!$B$116:$L$125,7,FALSE)</f>
        <v>0.22</v>
      </c>
      <c r="Q304" s="214">
        <f>ROUND(P304*MasterData!$H$4,2)</f>
        <v>6520.8</v>
      </c>
      <c r="R304" s="213">
        <f>VLOOKUP($A304,MasterData!$B$116:$L$125,8,FALSE)</f>
        <v>0.03</v>
      </c>
      <c r="S304" s="211">
        <f>ROUND(R304*MasterData!$I$3,2)</f>
        <v>965.95</v>
      </c>
      <c r="T304" s="215">
        <f t="shared" si="45"/>
        <v>151964.84000000003</v>
      </c>
      <c r="U304" s="211">
        <f>ROUND(T304*MasterData!$C$29,2)</f>
        <v>33903.360000000001</v>
      </c>
      <c r="V304" s="211">
        <f>ROUND(T304*MasterData!$J$29,2)</f>
        <v>562.27</v>
      </c>
      <c r="W304" s="201">
        <f t="shared" si="38"/>
        <v>185868.2</v>
      </c>
      <c r="X304" s="212">
        <f>VLOOKUP($A304,MasterData!$B$116:$L$125,10,FALSE)*52</f>
        <v>52</v>
      </c>
      <c r="Y304" s="211">
        <f>ROUND(X304*MasterData!$C$7,2)</f>
        <v>3138.72</v>
      </c>
      <c r="Z304" s="212">
        <f>VLOOKUP($A304,MasterData!$B$116:$L$125,11,FALSE)*52</f>
        <v>52</v>
      </c>
      <c r="AA304" s="211">
        <f>ROUND(Z304*MasterData!$D$7,2)</f>
        <v>2201.6799999999998</v>
      </c>
      <c r="AB304" s="215">
        <f t="shared" si="46"/>
        <v>5340.4</v>
      </c>
      <c r="AC304" s="202">
        <f>MasterData!$M$27</f>
        <v>11374.854166666666</v>
      </c>
      <c r="AD304" s="200">
        <f>MasterData!$D$31</f>
        <v>496.4</v>
      </c>
      <c r="AE304" s="201">
        <f>MasterData!$E$31</f>
        <v>1438.1</v>
      </c>
      <c r="AF304" s="201">
        <f>MasterData!$F$31</f>
        <v>0</v>
      </c>
      <c r="AG304" s="215">
        <f t="shared" si="36"/>
        <v>204517.95416666666</v>
      </c>
      <c r="AH304" s="211">
        <f>ROUND(AG304*MasterData!$G$29,2)</f>
        <v>24542.15</v>
      </c>
      <c r="AI304" s="200">
        <f>((AG304+AH304)*MasterData!$I$29)-'Model Calculator'!W304*MasterData!$I$29</f>
        <v>768.81589416666611</v>
      </c>
      <c r="AJ304" s="201">
        <f t="shared" si="37"/>
        <v>230391.19006083332</v>
      </c>
      <c r="AK304" s="201">
        <f t="shared" si="39"/>
        <v>663.95</v>
      </c>
    </row>
    <row r="305" spans="1:37">
      <c r="A305" s="197" t="s">
        <v>90</v>
      </c>
      <c r="B305" s="197" t="str">
        <f t="shared" si="44"/>
        <v>I104.0</v>
      </c>
      <c r="C305" s="197" t="s">
        <v>90</v>
      </c>
      <c r="D305" s="197">
        <v>1</v>
      </c>
      <c r="E305" s="213">
        <f>VLOOKUP($A305,MasterData!$B$116:$L$125,2,FALSE)</f>
        <v>0.09</v>
      </c>
      <c r="F305" s="214">
        <f>ROUND(E305*MasterData!$C$4,2)</f>
        <v>4648.6499999999996</v>
      </c>
      <c r="G305" s="213">
        <f>VLOOKUP($A305,MasterData!$B$116:$L$125,3,FALSE)</f>
        <v>0.25</v>
      </c>
      <c r="H305" s="214">
        <f>ROUND(G305*MasterData!$D$4,2)</f>
        <v>10379.200000000001</v>
      </c>
      <c r="I305" s="212">
        <f t="shared" si="41"/>
        <v>4</v>
      </c>
      <c r="J305" s="213">
        <f>VLOOKUP($A305,MasterData!$B$116:$L$125,4,FALSE)</f>
        <v>2.6</v>
      </c>
      <c r="K305" s="214">
        <f>ROUND(J305*MasterData!$E$4,2)</f>
        <v>86621.6</v>
      </c>
      <c r="L305" s="213">
        <f>VLOOKUP($A305,MasterData!$B$116:$L$125,5,FALSE)</f>
        <v>1.4</v>
      </c>
      <c r="M305" s="211">
        <f>ROUND(L305*MasterData!$F$4,2)</f>
        <v>41496</v>
      </c>
      <c r="N305" s="213">
        <f>VLOOKUP($A305,MasterData!$B$116:$L$125,6,FALSE)</f>
        <v>0.62</v>
      </c>
      <c r="O305" s="211">
        <f>ROUND(N305*MasterData!$G$4,2)</f>
        <v>20655.919999999998</v>
      </c>
      <c r="P305" s="213">
        <f>VLOOKUP($A305,MasterData!$B$116:$L$125,7,FALSE)</f>
        <v>0.22</v>
      </c>
      <c r="Q305" s="214">
        <f>ROUND(P305*MasterData!$H$4,2)</f>
        <v>6520.8</v>
      </c>
      <c r="R305" s="213">
        <f>VLOOKUP($A305,MasterData!$B$116:$L$125,8,FALSE)</f>
        <v>0.03</v>
      </c>
      <c r="S305" s="211">
        <f>ROUND(R305*MasterData!$I$3,2)</f>
        <v>965.95</v>
      </c>
      <c r="T305" s="215">
        <f t="shared" si="45"/>
        <v>171288.12</v>
      </c>
      <c r="U305" s="211">
        <f>ROUND(T305*MasterData!$C$29,2)</f>
        <v>38214.379999999997</v>
      </c>
      <c r="V305" s="211">
        <f>ROUND(T305*MasterData!$J$29,2)</f>
        <v>633.77</v>
      </c>
      <c r="W305" s="201">
        <f t="shared" si="38"/>
        <v>209502.5</v>
      </c>
      <c r="X305" s="212">
        <f>VLOOKUP($A305,MasterData!$B$116:$L$125,10,FALSE)*52</f>
        <v>52</v>
      </c>
      <c r="Y305" s="211">
        <f>ROUND(X305*MasterData!$C$7,2)</f>
        <v>3138.72</v>
      </c>
      <c r="Z305" s="212">
        <f>VLOOKUP($A305,MasterData!$B$116:$L$125,11,FALSE)*52</f>
        <v>52</v>
      </c>
      <c r="AA305" s="211">
        <f>ROUND(Z305*MasterData!$D$7,2)</f>
        <v>2201.6799999999998</v>
      </c>
      <c r="AB305" s="215">
        <f t="shared" si="46"/>
        <v>5340.4</v>
      </c>
      <c r="AC305" s="202">
        <f>MasterData!$M$27</f>
        <v>11374.854166666666</v>
      </c>
      <c r="AD305" s="200">
        <f>MasterData!$D$31</f>
        <v>496.4</v>
      </c>
      <c r="AE305" s="201">
        <f>MasterData!$E$31</f>
        <v>1438.1</v>
      </c>
      <c r="AF305" s="201">
        <f>MasterData!$F$31</f>
        <v>0</v>
      </c>
      <c r="AG305" s="215">
        <f t="shared" si="36"/>
        <v>228152.25416666665</v>
      </c>
      <c r="AH305" s="211">
        <f>ROUND(AG305*MasterData!$G$29,2)</f>
        <v>27378.27</v>
      </c>
      <c r="AI305" s="200">
        <f>((AG305+AH305)*MasterData!$I$29)-'Model Calculator'!W305*MasterData!$I$29</f>
        <v>819.29883016666599</v>
      </c>
      <c r="AJ305" s="201">
        <f t="shared" si="37"/>
        <v>256983.59299683329</v>
      </c>
      <c r="AK305" s="201">
        <f t="shared" si="39"/>
        <v>740.59</v>
      </c>
    </row>
    <row r="306" spans="1:37">
      <c r="A306" s="197" t="s">
        <v>91</v>
      </c>
      <c r="B306" s="197" t="str">
        <f t="shared" si="44"/>
        <v>I104.5</v>
      </c>
      <c r="C306" s="197" t="s">
        <v>91</v>
      </c>
      <c r="D306" s="197">
        <v>1</v>
      </c>
      <c r="E306" s="213">
        <f>VLOOKUP($A306,MasterData!$B$116:$L$125,2,FALSE)</f>
        <v>0.09</v>
      </c>
      <c r="F306" s="214">
        <f>ROUND(E306*MasterData!$C$4,2)</f>
        <v>4648.6499999999996</v>
      </c>
      <c r="G306" s="213">
        <f>VLOOKUP($A306,MasterData!$B$116:$L$125,3,FALSE)</f>
        <v>0.25</v>
      </c>
      <c r="H306" s="214">
        <f>ROUND(G306*MasterData!$D$4,2)</f>
        <v>10379.200000000001</v>
      </c>
      <c r="I306" s="212">
        <f t="shared" si="41"/>
        <v>4.5</v>
      </c>
      <c r="J306" s="213">
        <f>VLOOKUP($A306,MasterData!$B$116:$L$125,4,FALSE)</f>
        <v>3.1</v>
      </c>
      <c r="K306" s="214">
        <f>ROUND(J306*MasterData!$E$4,2)</f>
        <v>103279.6</v>
      </c>
      <c r="L306" s="213">
        <f>VLOOKUP($A306,MasterData!$B$116:$L$125,5,FALSE)</f>
        <v>1.4</v>
      </c>
      <c r="M306" s="211">
        <f>ROUND(L306*MasterData!$F$4,2)</f>
        <v>41496</v>
      </c>
      <c r="N306" s="213">
        <f>VLOOKUP($A306,MasterData!$B$116:$L$125,6,FALSE)</f>
        <v>0.69</v>
      </c>
      <c r="O306" s="211">
        <f>ROUND(N306*MasterData!$G$4,2)</f>
        <v>22988.04</v>
      </c>
      <c r="P306" s="213">
        <f>VLOOKUP($A306,MasterData!$B$116:$L$125,7,FALSE)</f>
        <v>0.22</v>
      </c>
      <c r="Q306" s="214">
        <f>ROUND(P306*MasterData!$H$4,2)</f>
        <v>6520.8</v>
      </c>
      <c r="R306" s="213">
        <f>VLOOKUP($A306,MasterData!$B$116:$L$125,8,FALSE)</f>
        <v>0.03</v>
      </c>
      <c r="S306" s="211">
        <f>ROUND(R306*MasterData!$I$3,2)</f>
        <v>965.95</v>
      </c>
      <c r="T306" s="215">
        <f t="shared" si="45"/>
        <v>190278.24000000002</v>
      </c>
      <c r="U306" s="211">
        <f>ROUND(T306*MasterData!$C$29,2)</f>
        <v>42451.08</v>
      </c>
      <c r="V306" s="211">
        <f>ROUND(T306*MasterData!$J$29,2)</f>
        <v>704.03</v>
      </c>
      <c r="W306" s="201">
        <f t="shared" si="38"/>
        <v>232729.32</v>
      </c>
      <c r="X306" s="212">
        <f>VLOOKUP($A306,MasterData!$B$116:$L$125,10,FALSE)*52</f>
        <v>52</v>
      </c>
      <c r="Y306" s="211">
        <f>ROUND(X306*MasterData!$C$7,2)</f>
        <v>3138.72</v>
      </c>
      <c r="Z306" s="212">
        <f>VLOOKUP($A306,MasterData!$B$116:$L$125,11,FALSE)*52</f>
        <v>52</v>
      </c>
      <c r="AA306" s="211">
        <f>ROUND(Z306*MasterData!$D$7,2)</f>
        <v>2201.6799999999998</v>
      </c>
      <c r="AB306" s="215">
        <f t="shared" si="46"/>
        <v>5340.4</v>
      </c>
      <c r="AC306" s="202">
        <f>MasterData!$M$27</f>
        <v>11374.854166666666</v>
      </c>
      <c r="AD306" s="200">
        <f>MasterData!$D$31</f>
        <v>496.4</v>
      </c>
      <c r="AE306" s="201">
        <f>MasterData!$E$31</f>
        <v>1438.1</v>
      </c>
      <c r="AF306" s="201">
        <f>MasterData!$F$31</f>
        <v>0</v>
      </c>
      <c r="AG306" s="215">
        <f t="shared" si="36"/>
        <v>251379.07416666666</v>
      </c>
      <c r="AH306" s="211">
        <f>ROUND(AG306*MasterData!$G$29,2)</f>
        <v>30165.49</v>
      </c>
      <c r="AI306" s="200">
        <f>((AG306+AH306)*MasterData!$I$29)-'Model Calculator'!W306*MasterData!$I$29</f>
        <v>868.91134616666659</v>
      </c>
      <c r="AJ306" s="201">
        <f t="shared" si="37"/>
        <v>283117.50551283336</v>
      </c>
      <c r="AK306" s="201">
        <f t="shared" si="39"/>
        <v>815.9</v>
      </c>
    </row>
    <row r="307" spans="1:37">
      <c r="A307" s="197" t="s">
        <v>92</v>
      </c>
      <c r="B307" s="197" t="str">
        <f t="shared" si="44"/>
        <v>I105.0</v>
      </c>
      <c r="C307" s="197" t="s">
        <v>92</v>
      </c>
      <c r="D307" s="197">
        <v>1</v>
      </c>
      <c r="E307" s="213">
        <f>VLOOKUP($A307,MasterData!$B$116:$L$125,2,FALSE)</f>
        <v>0.09</v>
      </c>
      <c r="F307" s="214">
        <f>ROUND(E307*MasterData!$C$4,2)</f>
        <v>4648.6499999999996</v>
      </c>
      <c r="G307" s="213">
        <f>VLOOKUP($A307,MasterData!$B$116:$L$125,3,FALSE)</f>
        <v>0.25</v>
      </c>
      <c r="H307" s="214">
        <f>ROUND(G307*MasterData!$D$4,2)</f>
        <v>10379.200000000001</v>
      </c>
      <c r="I307" s="212">
        <f t="shared" si="41"/>
        <v>5</v>
      </c>
      <c r="J307" s="213">
        <f>VLOOKUP($A307,MasterData!$B$116:$L$125,4,FALSE)</f>
        <v>3.6</v>
      </c>
      <c r="K307" s="214">
        <f>ROUND(J307*MasterData!$E$4,2)</f>
        <v>119937.60000000001</v>
      </c>
      <c r="L307" s="213">
        <f>VLOOKUP($A307,MasterData!$B$116:$L$125,5,FALSE)</f>
        <v>1.4</v>
      </c>
      <c r="M307" s="211">
        <f>ROUND(L307*MasterData!$F$4,2)</f>
        <v>41496</v>
      </c>
      <c r="N307" s="213">
        <f>VLOOKUP($A307,MasterData!$B$116:$L$125,6,FALSE)</f>
        <v>0.77</v>
      </c>
      <c r="O307" s="211">
        <f>ROUND(N307*MasterData!$G$4,2)</f>
        <v>25653.32</v>
      </c>
      <c r="P307" s="213">
        <f>VLOOKUP($A307,MasterData!$B$116:$L$125,7,FALSE)</f>
        <v>0.22</v>
      </c>
      <c r="Q307" s="214">
        <f>ROUND(P307*MasterData!$H$4,2)</f>
        <v>6520.8</v>
      </c>
      <c r="R307" s="213">
        <f>VLOOKUP($A307,MasterData!$B$116:$L$125,8,FALSE)</f>
        <v>0.03</v>
      </c>
      <c r="S307" s="211">
        <f>ROUND(R307*MasterData!$I$3,2)</f>
        <v>965.95</v>
      </c>
      <c r="T307" s="215">
        <f t="shared" si="45"/>
        <v>209601.52000000002</v>
      </c>
      <c r="U307" s="211">
        <f>ROUND(T307*MasterData!$C$29,2)</f>
        <v>46762.1</v>
      </c>
      <c r="V307" s="211">
        <f>ROUND(T307*MasterData!$J$29,2)</f>
        <v>775.53</v>
      </c>
      <c r="W307" s="201">
        <f t="shared" si="38"/>
        <v>256363.62000000002</v>
      </c>
      <c r="X307" s="212">
        <f>VLOOKUP($A307,MasterData!$B$116:$L$125,10,FALSE)*52</f>
        <v>52</v>
      </c>
      <c r="Y307" s="211">
        <f>ROUND(X307*MasterData!$C$7,2)</f>
        <v>3138.72</v>
      </c>
      <c r="Z307" s="212">
        <f>VLOOKUP($A307,MasterData!$B$116:$L$125,11,FALSE)*52</f>
        <v>52</v>
      </c>
      <c r="AA307" s="211">
        <f>ROUND(Z307*MasterData!$D$7,2)</f>
        <v>2201.6799999999998</v>
      </c>
      <c r="AB307" s="215">
        <f t="shared" si="46"/>
        <v>5340.4</v>
      </c>
      <c r="AC307" s="202">
        <f>MasterData!$M$27</f>
        <v>11374.854166666666</v>
      </c>
      <c r="AD307" s="200">
        <f>MasterData!$D$31</f>
        <v>496.4</v>
      </c>
      <c r="AE307" s="201">
        <f>MasterData!$E$31</f>
        <v>1438.1</v>
      </c>
      <c r="AF307" s="201">
        <f>MasterData!$F$31</f>
        <v>0</v>
      </c>
      <c r="AG307" s="215">
        <f t="shared" si="36"/>
        <v>275013.3741666667</v>
      </c>
      <c r="AH307" s="211">
        <f>ROUND(AG307*MasterData!$G$29,2)</f>
        <v>33001.599999999999</v>
      </c>
      <c r="AI307" s="200">
        <f>((AG307+AH307)*MasterData!$I$29)-'Model Calculator'!W307*MasterData!$I$29</f>
        <v>919.39410416666669</v>
      </c>
      <c r="AJ307" s="201">
        <f t="shared" si="37"/>
        <v>309709.89827083336</v>
      </c>
      <c r="AK307" s="201">
        <f t="shared" si="39"/>
        <v>892.54</v>
      </c>
    </row>
    <row r="308" spans="1:37">
      <c r="A308" s="197" t="s">
        <v>93</v>
      </c>
      <c r="B308" s="197" t="str">
        <f t="shared" si="44"/>
        <v>I105.5</v>
      </c>
      <c r="C308" s="197" t="s">
        <v>93</v>
      </c>
      <c r="D308" s="197">
        <v>1</v>
      </c>
      <c r="E308" s="213">
        <f>VLOOKUP($A308,MasterData!$B$116:$L$125,2,FALSE)</f>
        <v>0.09</v>
      </c>
      <c r="F308" s="214">
        <f>ROUND(E308*MasterData!$C$4,2)</f>
        <v>4648.6499999999996</v>
      </c>
      <c r="G308" s="213">
        <f>VLOOKUP($A308,MasterData!$B$116:$L$125,3,FALSE)</f>
        <v>0.25</v>
      </c>
      <c r="H308" s="214">
        <f>ROUND(G308*MasterData!$D$4,2)</f>
        <v>10379.200000000001</v>
      </c>
      <c r="I308" s="212">
        <f t="shared" si="41"/>
        <v>5.5</v>
      </c>
      <c r="J308" s="213">
        <f>VLOOKUP($A308,MasterData!$B$116:$L$125,4,FALSE)</f>
        <v>4.0999999999999996</v>
      </c>
      <c r="K308" s="214">
        <f>ROUND(J308*MasterData!$E$4,2)</f>
        <v>136595.6</v>
      </c>
      <c r="L308" s="213">
        <f>VLOOKUP($A308,MasterData!$B$116:$L$125,5,FALSE)</f>
        <v>1.4</v>
      </c>
      <c r="M308" s="211">
        <f>ROUND(L308*MasterData!$F$4,2)</f>
        <v>41496</v>
      </c>
      <c r="N308" s="213">
        <f>VLOOKUP($A308,MasterData!$B$116:$L$125,6,FALSE)</f>
        <v>0.85</v>
      </c>
      <c r="O308" s="211">
        <f>ROUND(N308*MasterData!$G$4,2)</f>
        <v>28318.6</v>
      </c>
      <c r="P308" s="213">
        <f>VLOOKUP($A308,MasterData!$B$116:$L$125,7,FALSE)</f>
        <v>0.22</v>
      </c>
      <c r="Q308" s="214">
        <f>ROUND(P308*MasterData!$H$4,2)</f>
        <v>6520.8</v>
      </c>
      <c r="R308" s="213">
        <f>VLOOKUP($A308,MasterData!$B$116:$L$125,8,FALSE)</f>
        <v>0.03</v>
      </c>
      <c r="S308" s="211">
        <f>ROUND(R308*MasterData!$I$3,2)</f>
        <v>965.95</v>
      </c>
      <c r="T308" s="215">
        <f t="shared" si="45"/>
        <v>228924.80000000002</v>
      </c>
      <c r="U308" s="211">
        <f>ROUND(T308*MasterData!$C$29,2)</f>
        <v>51073.120000000003</v>
      </c>
      <c r="V308" s="211">
        <f>ROUND(T308*MasterData!$J$29,2)</f>
        <v>847.02</v>
      </c>
      <c r="W308" s="201">
        <f t="shared" si="38"/>
        <v>279997.92000000004</v>
      </c>
      <c r="X308" s="212">
        <f>VLOOKUP($A308,MasterData!$B$116:$L$125,10,FALSE)*52</f>
        <v>52</v>
      </c>
      <c r="Y308" s="211">
        <f>ROUND(X308*MasterData!$C$7,2)</f>
        <v>3138.72</v>
      </c>
      <c r="Z308" s="212">
        <f>VLOOKUP($A308,MasterData!$B$116:$L$125,11,FALSE)*52</f>
        <v>52</v>
      </c>
      <c r="AA308" s="211">
        <f>ROUND(Z308*MasterData!$D$7,2)</f>
        <v>2201.6799999999998</v>
      </c>
      <c r="AB308" s="215">
        <f t="shared" si="46"/>
        <v>5340.4</v>
      </c>
      <c r="AC308" s="202">
        <f>MasterData!$M$27</f>
        <v>11374.854166666666</v>
      </c>
      <c r="AD308" s="200">
        <f>MasterData!$D$31</f>
        <v>496.4</v>
      </c>
      <c r="AE308" s="201">
        <f>MasterData!$E$31</f>
        <v>1438.1</v>
      </c>
      <c r="AF308" s="201">
        <f>MasterData!$F$31</f>
        <v>0</v>
      </c>
      <c r="AG308" s="215">
        <f t="shared" si="36"/>
        <v>298647.67416666675</v>
      </c>
      <c r="AH308" s="211">
        <f>ROUND(AG308*MasterData!$G$29,2)</f>
        <v>35837.72</v>
      </c>
      <c r="AI308" s="200">
        <f>((AG308+AH308)*MasterData!$I$29)-'Model Calculator'!W308*MasterData!$I$29</f>
        <v>969.87704016666794</v>
      </c>
      <c r="AJ308" s="201">
        <f t="shared" si="37"/>
        <v>336302.29120683344</v>
      </c>
      <c r="AK308" s="201">
        <f t="shared" si="39"/>
        <v>969.17</v>
      </c>
    </row>
    <row r="309" spans="1:37">
      <c r="A309" s="197" t="s">
        <v>213</v>
      </c>
      <c r="B309" s="197" t="str">
        <f t="shared" si="44"/>
        <v>I106.0</v>
      </c>
      <c r="C309" s="197" t="s">
        <v>213</v>
      </c>
      <c r="D309" s="197">
        <v>1</v>
      </c>
      <c r="E309" s="213">
        <f>VLOOKUP($A309,MasterData!$B$116:$L$125,2,FALSE)</f>
        <v>0.09</v>
      </c>
      <c r="F309" s="214">
        <f>ROUND(E309*MasterData!$C$4,2)</f>
        <v>4648.6499999999996</v>
      </c>
      <c r="G309" s="213">
        <f>VLOOKUP($A309,MasterData!$B$116:$L$125,3,FALSE)</f>
        <v>0.25</v>
      </c>
      <c r="H309" s="214">
        <f>ROUND(G309*MasterData!$D$4,2)</f>
        <v>10379.200000000001</v>
      </c>
      <c r="I309" s="212">
        <f t="shared" si="41"/>
        <v>6</v>
      </c>
      <c r="J309" s="213">
        <f>VLOOKUP($A309,MasterData!$B$116:$L$125,4,FALSE)</f>
        <v>4.5999999999999996</v>
      </c>
      <c r="K309" s="214">
        <f>ROUND(J309*MasterData!$E$4,2)</f>
        <v>153253.6</v>
      </c>
      <c r="L309" s="213">
        <f>VLOOKUP($A309,MasterData!$B$116:$L$125,5,FALSE)</f>
        <v>1.4</v>
      </c>
      <c r="M309" s="211">
        <f>ROUND(L309*MasterData!$F$4,2)</f>
        <v>41496</v>
      </c>
      <c r="N309" s="212">
        <f>VLOOKUP($A309,MasterData!$B$116:$L$125,6,FALSE)</f>
        <v>0.92</v>
      </c>
      <c r="O309" s="211">
        <f>ROUND(N309*MasterData!$G$4,2)</f>
        <v>30650.720000000001</v>
      </c>
      <c r="P309" s="213">
        <f>VLOOKUP($A309,MasterData!$B$116:$L$125,7,FALSE)</f>
        <v>0.22</v>
      </c>
      <c r="Q309" s="214">
        <f>ROUND(P309*MasterData!$H$4,2)</f>
        <v>6520.8</v>
      </c>
      <c r="R309" s="213">
        <f>VLOOKUP($A309,MasterData!$B$116:$L$125,8,FALSE)</f>
        <v>0.03</v>
      </c>
      <c r="S309" s="211">
        <f>ROUND(R309*MasterData!$I$3,2)</f>
        <v>965.95</v>
      </c>
      <c r="T309" s="215">
        <f t="shared" si="45"/>
        <v>247914.92</v>
      </c>
      <c r="U309" s="211">
        <f>ROUND(T309*MasterData!$C$29,2)</f>
        <v>55309.82</v>
      </c>
      <c r="V309" s="211">
        <f>ROUND(T309*MasterData!$J$29,2)</f>
        <v>917.29</v>
      </c>
      <c r="W309" s="201">
        <f t="shared" si="38"/>
        <v>303224.74</v>
      </c>
      <c r="X309" s="212">
        <f>VLOOKUP($A309,MasterData!$B$116:$L$125,10,FALSE)*52</f>
        <v>52</v>
      </c>
      <c r="Y309" s="211">
        <f>ROUND(X309*MasterData!$C$7,2)</f>
        <v>3138.72</v>
      </c>
      <c r="Z309" s="212">
        <f>VLOOKUP($A309,MasterData!$B$116:$L$125,11,FALSE)*52</f>
        <v>52</v>
      </c>
      <c r="AA309" s="211">
        <f>ROUND(Z309*MasterData!$D$7,2)</f>
        <v>2201.6799999999998</v>
      </c>
      <c r="AB309" s="215">
        <f t="shared" si="46"/>
        <v>5340.4</v>
      </c>
      <c r="AC309" s="202">
        <f>MasterData!$M$27</f>
        <v>11374.854166666666</v>
      </c>
      <c r="AD309" s="200">
        <f>MasterData!$D$31</f>
        <v>496.4</v>
      </c>
      <c r="AE309" s="201">
        <f>MasterData!$E$31</f>
        <v>1438.1</v>
      </c>
      <c r="AF309" s="201">
        <f>MasterData!$F$31</f>
        <v>0</v>
      </c>
      <c r="AG309" s="215">
        <f t="shared" si="36"/>
        <v>321874.4941666667</v>
      </c>
      <c r="AH309" s="211">
        <f>ROUND(AG309*MasterData!$G$29,2)</f>
        <v>38624.94</v>
      </c>
      <c r="AI309" s="200">
        <f>((AG309+AH309)*MasterData!$I$29)-'Model Calculator'!W309*MasterData!$I$29</f>
        <v>1019.4895561666672</v>
      </c>
      <c r="AJ309" s="201">
        <f t="shared" si="37"/>
        <v>362436.21372283337</v>
      </c>
      <c r="AK309" s="201">
        <f t="shared" si="39"/>
        <v>1044.48</v>
      </c>
    </row>
    <row r="310" spans="1:37">
      <c r="A310" s="197" t="s">
        <v>94</v>
      </c>
      <c r="B310" s="197" t="str">
        <f t="shared" si="44"/>
        <v>I106.5</v>
      </c>
      <c r="C310" s="197" t="s">
        <v>94</v>
      </c>
      <c r="D310" s="197">
        <v>1</v>
      </c>
      <c r="E310" s="213">
        <f>VLOOKUP($A310,MasterData!$B$116:$L$125,2,FALSE)</f>
        <v>0.09</v>
      </c>
      <c r="F310" s="214">
        <f>ROUND(E310*MasterData!$C$4,2)</f>
        <v>4648.6499999999996</v>
      </c>
      <c r="G310" s="213">
        <f>VLOOKUP($A310,MasterData!$B$116:$L$125,3,FALSE)</f>
        <v>0.25</v>
      </c>
      <c r="H310" s="214">
        <f>ROUND(G310*MasterData!$D$4,2)</f>
        <v>10379.200000000001</v>
      </c>
      <c r="I310" s="212">
        <f t="shared" si="41"/>
        <v>6.5</v>
      </c>
      <c r="J310" s="213">
        <f>VLOOKUP($A310,MasterData!$B$116:$L$125,4,FALSE)</f>
        <v>5.0999999999999996</v>
      </c>
      <c r="K310" s="214">
        <f>ROUND(J310*MasterData!$E$4,2)</f>
        <v>169911.6</v>
      </c>
      <c r="L310" s="213">
        <f>VLOOKUP($A310,MasterData!$B$116:$L$125,5,FALSE)</f>
        <v>1.4</v>
      </c>
      <c r="M310" s="211">
        <f>ROUND(L310*MasterData!$F$4,2)</f>
        <v>41496</v>
      </c>
      <c r="N310" s="213">
        <f>VLOOKUP($A310,MasterData!$B$116:$L$125,6,FALSE)</f>
        <v>1</v>
      </c>
      <c r="O310" s="211">
        <f>ROUND(N310*MasterData!$G$4,2)</f>
        <v>33316</v>
      </c>
      <c r="P310" s="213">
        <f>VLOOKUP($A310,MasterData!$B$116:$L$125,7,FALSE)</f>
        <v>0.22</v>
      </c>
      <c r="Q310" s="214">
        <f>ROUND(P310*MasterData!$H$4,2)</f>
        <v>6520.8</v>
      </c>
      <c r="R310" s="213">
        <f>VLOOKUP($A310,MasterData!$B$116:$L$125,8,FALSE)</f>
        <v>0.03</v>
      </c>
      <c r="S310" s="211">
        <f>ROUND(R310*MasterData!$I$3,2)</f>
        <v>965.95</v>
      </c>
      <c r="T310" s="215">
        <f t="shared" si="45"/>
        <v>267238.2</v>
      </c>
      <c r="U310" s="211">
        <f>ROUND(T310*MasterData!$C$29,2)</f>
        <v>59620.84</v>
      </c>
      <c r="V310" s="211">
        <f>ROUND(T310*MasterData!$J$29,2)</f>
        <v>988.78</v>
      </c>
      <c r="W310" s="201">
        <f t="shared" si="38"/>
        <v>326859.04000000004</v>
      </c>
      <c r="X310" s="212">
        <f>VLOOKUP($A310,MasterData!$B$116:$L$125,10,FALSE)*52</f>
        <v>52</v>
      </c>
      <c r="Y310" s="211">
        <f>ROUND(X310*MasterData!$C$7,2)</f>
        <v>3138.72</v>
      </c>
      <c r="Z310" s="212">
        <f>VLOOKUP($A310,MasterData!$B$116:$L$125,11,FALSE)*52</f>
        <v>52</v>
      </c>
      <c r="AA310" s="211">
        <f>ROUND(Z310*MasterData!$D$7,2)</f>
        <v>2201.6799999999998</v>
      </c>
      <c r="AB310" s="215">
        <f t="shared" si="46"/>
        <v>5340.4</v>
      </c>
      <c r="AC310" s="202">
        <f>MasterData!$M$27</f>
        <v>11374.854166666666</v>
      </c>
      <c r="AD310" s="200">
        <f>MasterData!$D$31</f>
        <v>496.4</v>
      </c>
      <c r="AE310" s="201">
        <f>MasterData!$E$31</f>
        <v>1438.1</v>
      </c>
      <c r="AF310" s="201">
        <f>MasterData!$F$31</f>
        <v>0</v>
      </c>
      <c r="AG310" s="215">
        <f t="shared" si="36"/>
        <v>345508.79416666675</v>
      </c>
      <c r="AH310" s="211">
        <f>ROUND(AG310*MasterData!$G$29,2)</f>
        <v>41461.06</v>
      </c>
      <c r="AI310" s="200">
        <f>((AG310+AH310)*MasterData!$I$29)-'Model Calculator'!W310*MasterData!$I$29</f>
        <v>1069.9724921666675</v>
      </c>
      <c r="AJ310" s="201">
        <f t="shared" si="37"/>
        <v>389028.60665883345</v>
      </c>
      <c r="AK310" s="201">
        <f t="shared" si="39"/>
        <v>1121.1199999999999</v>
      </c>
    </row>
    <row r="311" spans="1:37">
      <c r="A311" s="197" t="s">
        <v>95</v>
      </c>
      <c r="B311" s="197" t="str">
        <f t="shared" si="44"/>
        <v>I107.0</v>
      </c>
      <c r="C311" s="197" t="s">
        <v>95</v>
      </c>
      <c r="D311" s="197">
        <v>1</v>
      </c>
      <c r="E311" s="213">
        <f>VLOOKUP($A311,MasterData!$B$116:$L$125,2,FALSE)</f>
        <v>0.09</v>
      </c>
      <c r="F311" s="214">
        <f>ROUND(E311*MasterData!$C$4,2)</f>
        <v>4648.6499999999996</v>
      </c>
      <c r="G311" s="213">
        <f>VLOOKUP($A311,MasterData!$B$116:$L$125,3,FALSE)</f>
        <v>0.25</v>
      </c>
      <c r="H311" s="214">
        <f>ROUND(G311*MasterData!$D$4,2)</f>
        <v>10379.200000000001</v>
      </c>
      <c r="I311" s="212">
        <f t="shared" si="41"/>
        <v>7</v>
      </c>
      <c r="J311" s="213">
        <f>VLOOKUP($A311,MasterData!$B$116:$L$125,4,FALSE)</f>
        <v>5.6</v>
      </c>
      <c r="K311" s="214">
        <f>ROUND(J311*MasterData!$E$4,2)</f>
        <v>186569.60000000001</v>
      </c>
      <c r="L311" s="213">
        <f>VLOOKUP($A311,MasterData!$B$116:$L$125,5,FALSE)</f>
        <v>1.4</v>
      </c>
      <c r="M311" s="211">
        <f>ROUND(L311*MasterData!$F$4,2)</f>
        <v>41496</v>
      </c>
      <c r="N311" s="213">
        <f>VLOOKUP($A311,MasterData!$B$116:$L$125,6,FALSE)</f>
        <v>1.08</v>
      </c>
      <c r="O311" s="211">
        <f>ROUND(N311*MasterData!$G$4,2)</f>
        <v>35981.279999999999</v>
      </c>
      <c r="P311" s="213">
        <f>VLOOKUP($A311,MasterData!$B$116:$L$125,7,FALSE)</f>
        <v>0.22</v>
      </c>
      <c r="Q311" s="214">
        <f>ROUND(P311*MasterData!$H$4,2)</f>
        <v>6520.8</v>
      </c>
      <c r="R311" s="213">
        <f>VLOOKUP($A311,MasterData!$B$116:$L$125,8,FALSE)</f>
        <v>0.03</v>
      </c>
      <c r="S311" s="211">
        <f>ROUND(R311*MasterData!$I$3,2)</f>
        <v>965.95</v>
      </c>
      <c r="T311" s="215">
        <f t="shared" si="45"/>
        <v>286561.48</v>
      </c>
      <c r="U311" s="211">
        <f>ROUND(T311*MasterData!$C$29,2)</f>
        <v>63931.87</v>
      </c>
      <c r="V311" s="211">
        <f>ROUND(T311*MasterData!$J$29,2)</f>
        <v>1060.28</v>
      </c>
      <c r="W311" s="201">
        <f t="shared" si="38"/>
        <v>350493.35</v>
      </c>
      <c r="X311" s="212">
        <f>VLOOKUP($A311,MasterData!$B$116:$L$125,10,FALSE)*52</f>
        <v>52</v>
      </c>
      <c r="Y311" s="211">
        <f>ROUND(X311*MasterData!$C$7,2)</f>
        <v>3138.72</v>
      </c>
      <c r="Z311" s="212">
        <f>VLOOKUP($A311,MasterData!$B$116:$L$125,11,FALSE)*52</f>
        <v>52</v>
      </c>
      <c r="AA311" s="211">
        <f>ROUND(Z311*MasterData!$D$7,2)</f>
        <v>2201.6799999999998</v>
      </c>
      <c r="AB311" s="215">
        <f t="shared" si="46"/>
        <v>5340.4</v>
      </c>
      <c r="AC311" s="202">
        <f>MasterData!$M$27</f>
        <v>11374.854166666666</v>
      </c>
      <c r="AD311" s="200">
        <f>MasterData!$D$31</f>
        <v>496.4</v>
      </c>
      <c r="AE311" s="201">
        <f>MasterData!$E$31</f>
        <v>1438.1</v>
      </c>
      <c r="AF311" s="201">
        <f>MasterData!$F$31</f>
        <v>0</v>
      </c>
      <c r="AG311" s="215">
        <f t="shared" si="36"/>
        <v>369143.10416666669</v>
      </c>
      <c r="AH311" s="211">
        <f>ROUND(AG311*MasterData!$G$29,2)</f>
        <v>44297.17</v>
      </c>
      <c r="AI311" s="200">
        <f>((AG311+AH311)*MasterData!$I$29)-'Model Calculator'!W311*MasterData!$I$29</f>
        <v>1120.4552501666676</v>
      </c>
      <c r="AJ311" s="201">
        <f t="shared" si="37"/>
        <v>415621.00941683335</v>
      </c>
      <c r="AK311" s="201">
        <f t="shared" si="39"/>
        <v>1197.76</v>
      </c>
    </row>
  </sheetData>
  <sheetProtection selectLockedCells="1" selectUnlockedCells="1"/>
  <printOptions headings="1"/>
  <pageMargins left="0.25" right="0.25" top="0.25" bottom="0.25" header="0.05" footer="0.05"/>
  <pageSetup scale="6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opLeftCell="A53" workbookViewId="0">
      <selection activeCell="M68" sqref="A1:M68"/>
    </sheetView>
  </sheetViews>
  <sheetFormatPr defaultRowHeight="15"/>
  <cols>
    <col min="1" max="1" width="20.5703125" style="60" customWidth="1"/>
    <col min="2" max="2" width="11.5703125" style="62" customWidth="1"/>
    <col min="3" max="3" width="11.5703125" style="62" bestFit="1" customWidth="1"/>
    <col min="4" max="4" width="18.5703125" style="60" bestFit="1" customWidth="1"/>
    <col min="5" max="5" width="11.5703125" style="60" bestFit="1" customWidth="1"/>
    <col min="6" max="6" width="12" style="60" customWidth="1"/>
    <col min="7" max="7" width="11.5703125" style="60" bestFit="1" customWidth="1"/>
    <col min="8" max="8" width="12.7109375" style="60" customWidth="1"/>
    <col min="9" max="9" width="12.28515625" style="60" customWidth="1"/>
    <col min="10" max="10" width="11.85546875" style="60" customWidth="1"/>
    <col min="11" max="11" width="12.140625" style="60" customWidth="1"/>
    <col min="12" max="13" width="11.5703125" style="60" bestFit="1" customWidth="1"/>
    <col min="14" max="243" width="9.140625" style="60"/>
    <col min="244" max="244" width="22.28515625" style="60" customWidth="1"/>
    <col min="245" max="246" width="12.28515625" style="60" customWidth="1"/>
    <col min="247" max="247" width="11.28515625" style="60" customWidth="1"/>
    <col min="248" max="248" width="10.7109375" style="60" customWidth="1"/>
    <col min="249" max="249" width="12" style="60" customWidth="1"/>
    <col min="250" max="250" width="10.42578125" style="60" bestFit="1" customWidth="1"/>
    <col min="251" max="252" width="10.42578125" style="60" customWidth="1"/>
    <col min="253" max="253" width="10.42578125" style="60" bestFit="1" customWidth="1"/>
    <col min="254" max="254" width="10.42578125" style="60" customWidth="1"/>
    <col min="255" max="256" width="10.42578125" style="60" bestFit="1" customWidth="1"/>
    <col min="257" max="257" width="29.7109375" style="60" customWidth="1"/>
    <col min="258" max="259" width="11.42578125" style="60" customWidth="1"/>
    <col min="260" max="260" width="11.28515625" style="60" bestFit="1" customWidth="1"/>
    <col min="261" max="261" width="11.28515625" style="60" customWidth="1"/>
    <col min="262" max="262" width="10.85546875" style="60" customWidth="1"/>
    <col min="263" max="263" width="10.7109375" style="60" customWidth="1"/>
    <col min="264" max="264" width="11.42578125" style="60" bestFit="1" customWidth="1"/>
    <col min="265" max="265" width="11.7109375" style="60" customWidth="1"/>
    <col min="266" max="266" width="11.42578125" style="60" customWidth="1"/>
    <col min="267" max="267" width="11.140625" style="60" customWidth="1"/>
    <col min="268" max="499" width="9.140625" style="60"/>
    <col min="500" max="500" width="22.28515625" style="60" customWidth="1"/>
    <col min="501" max="502" width="12.28515625" style="60" customWidth="1"/>
    <col min="503" max="503" width="11.28515625" style="60" customWidth="1"/>
    <col min="504" max="504" width="10.7109375" style="60" customWidth="1"/>
    <col min="505" max="505" width="12" style="60" customWidth="1"/>
    <col min="506" max="506" width="10.42578125" style="60" bestFit="1" customWidth="1"/>
    <col min="507" max="508" width="10.42578125" style="60" customWidth="1"/>
    <col min="509" max="509" width="10.42578125" style="60" bestFit="1" customWidth="1"/>
    <col min="510" max="510" width="10.42578125" style="60" customWidth="1"/>
    <col min="511" max="512" width="10.42578125" style="60" bestFit="1" customWidth="1"/>
    <col min="513" max="513" width="29.7109375" style="60" customWidth="1"/>
    <col min="514" max="515" width="11.42578125" style="60" customWidth="1"/>
    <col min="516" max="516" width="11.28515625" style="60" bestFit="1" customWidth="1"/>
    <col min="517" max="517" width="11.28515625" style="60" customWidth="1"/>
    <col min="518" max="518" width="10.85546875" style="60" customWidth="1"/>
    <col min="519" max="519" width="10.7109375" style="60" customWidth="1"/>
    <col min="520" max="520" width="11.42578125" style="60" bestFit="1" customWidth="1"/>
    <col min="521" max="521" width="11.7109375" style="60" customWidth="1"/>
    <col min="522" max="522" width="11.42578125" style="60" customWidth="1"/>
    <col min="523" max="523" width="11.140625" style="60" customWidth="1"/>
    <col min="524" max="755" width="9.140625" style="60"/>
    <col min="756" max="756" width="22.28515625" style="60" customWidth="1"/>
    <col min="757" max="758" width="12.28515625" style="60" customWidth="1"/>
    <col min="759" max="759" width="11.28515625" style="60" customWidth="1"/>
    <col min="760" max="760" width="10.7109375" style="60" customWidth="1"/>
    <col min="761" max="761" width="12" style="60" customWidth="1"/>
    <col min="762" max="762" width="10.42578125" style="60" bestFit="1" customWidth="1"/>
    <col min="763" max="764" width="10.42578125" style="60" customWidth="1"/>
    <col min="765" max="765" width="10.42578125" style="60" bestFit="1" customWidth="1"/>
    <col min="766" max="766" width="10.42578125" style="60" customWidth="1"/>
    <col min="767" max="768" width="10.42578125" style="60" bestFit="1" customWidth="1"/>
    <col min="769" max="769" width="29.7109375" style="60" customWidth="1"/>
    <col min="770" max="771" width="11.42578125" style="60" customWidth="1"/>
    <col min="772" max="772" width="11.28515625" style="60" bestFit="1" customWidth="1"/>
    <col min="773" max="773" width="11.28515625" style="60" customWidth="1"/>
    <col min="774" max="774" width="10.85546875" style="60" customWidth="1"/>
    <col min="775" max="775" width="10.7109375" style="60" customWidth="1"/>
    <col min="776" max="776" width="11.42578125" style="60" bestFit="1" customWidth="1"/>
    <col min="777" max="777" width="11.7109375" style="60" customWidth="1"/>
    <col min="778" max="778" width="11.42578125" style="60" customWidth="1"/>
    <col min="779" max="779" width="11.140625" style="60" customWidth="1"/>
    <col min="780" max="1011" width="9.140625" style="60"/>
    <col min="1012" max="1012" width="22.28515625" style="60" customWidth="1"/>
    <col min="1013" max="1014" width="12.28515625" style="60" customWidth="1"/>
    <col min="1015" max="1015" width="11.28515625" style="60" customWidth="1"/>
    <col min="1016" max="1016" width="10.7109375" style="60" customWidth="1"/>
    <col min="1017" max="1017" width="12" style="60" customWidth="1"/>
    <col min="1018" max="1018" width="10.42578125" style="60" bestFit="1" customWidth="1"/>
    <col min="1019" max="1020" width="10.42578125" style="60" customWidth="1"/>
    <col min="1021" max="1021" width="10.42578125" style="60" bestFit="1" customWidth="1"/>
    <col min="1022" max="1022" width="10.42578125" style="60" customWidth="1"/>
    <col min="1023" max="1024" width="10.42578125" style="60" bestFit="1" customWidth="1"/>
    <col min="1025" max="1025" width="29.7109375" style="60" customWidth="1"/>
    <col min="1026" max="1027" width="11.42578125" style="60" customWidth="1"/>
    <col min="1028" max="1028" width="11.28515625" style="60" bestFit="1" customWidth="1"/>
    <col min="1029" max="1029" width="11.28515625" style="60" customWidth="1"/>
    <col min="1030" max="1030" width="10.85546875" style="60" customWidth="1"/>
    <col min="1031" max="1031" width="10.7109375" style="60" customWidth="1"/>
    <col min="1032" max="1032" width="11.42578125" style="60" bestFit="1" customWidth="1"/>
    <col min="1033" max="1033" width="11.7109375" style="60" customWidth="1"/>
    <col min="1034" max="1034" width="11.42578125" style="60" customWidth="1"/>
    <col min="1035" max="1035" width="11.140625" style="60" customWidth="1"/>
    <col min="1036" max="1267" width="9.140625" style="60"/>
    <col min="1268" max="1268" width="22.28515625" style="60" customWidth="1"/>
    <col min="1269" max="1270" width="12.28515625" style="60" customWidth="1"/>
    <col min="1271" max="1271" width="11.28515625" style="60" customWidth="1"/>
    <col min="1272" max="1272" width="10.7109375" style="60" customWidth="1"/>
    <col min="1273" max="1273" width="12" style="60" customWidth="1"/>
    <col min="1274" max="1274" width="10.42578125" style="60" bestFit="1" customWidth="1"/>
    <col min="1275" max="1276" width="10.42578125" style="60" customWidth="1"/>
    <col min="1277" max="1277" width="10.42578125" style="60" bestFit="1" customWidth="1"/>
    <col min="1278" max="1278" width="10.42578125" style="60" customWidth="1"/>
    <col min="1279" max="1280" width="10.42578125" style="60" bestFit="1" customWidth="1"/>
    <col min="1281" max="1281" width="29.7109375" style="60" customWidth="1"/>
    <col min="1282" max="1283" width="11.42578125" style="60" customWidth="1"/>
    <col min="1284" max="1284" width="11.28515625" style="60" bestFit="1" customWidth="1"/>
    <col min="1285" max="1285" width="11.28515625" style="60" customWidth="1"/>
    <col min="1286" max="1286" width="10.85546875" style="60" customWidth="1"/>
    <col min="1287" max="1287" width="10.7109375" style="60" customWidth="1"/>
    <col min="1288" max="1288" width="11.42578125" style="60" bestFit="1" customWidth="1"/>
    <col min="1289" max="1289" width="11.7109375" style="60" customWidth="1"/>
    <col min="1290" max="1290" width="11.42578125" style="60" customWidth="1"/>
    <col min="1291" max="1291" width="11.140625" style="60" customWidth="1"/>
    <col min="1292" max="1523" width="9.140625" style="60"/>
    <col min="1524" max="1524" width="22.28515625" style="60" customWidth="1"/>
    <col min="1525" max="1526" width="12.28515625" style="60" customWidth="1"/>
    <col min="1527" max="1527" width="11.28515625" style="60" customWidth="1"/>
    <col min="1528" max="1528" width="10.7109375" style="60" customWidth="1"/>
    <col min="1529" max="1529" width="12" style="60" customWidth="1"/>
    <col min="1530" max="1530" width="10.42578125" style="60" bestFit="1" customWidth="1"/>
    <col min="1531" max="1532" width="10.42578125" style="60" customWidth="1"/>
    <col min="1533" max="1533" width="10.42578125" style="60" bestFit="1" customWidth="1"/>
    <col min="1534" max="1534" width="10.42578125" style="60" customWidth="1"/>
    <col min="1535" max="1536" width="10.42578125" style="60" bestFit="1" customWidth="1"/>
    <col min="1537" max="1537" width="29.7109375" style="60" customWidth="1"/>
    <col min="1538" max="1539" width="11.42578125" style="60" customWidth="1"/>
    <col min="1540" max="1540" width="11.28515625" style="60" bestFit="1" customWidth="1"/>
    <col min="1541" max="1541" width="11.28515625" style="60" customWidth="1"/>
    <col min="1542" max="1542" width="10.85546875" style="60" customWidth="1"/>
    <col min="1543" max="1543" width="10.7109375" style="60" customWidth="1"/>
    <col min="1544" max="1544" width="11.42578125" style="60" bestFit="1" customWidth="1"/>
    <col min="1545" max="1545" width="11.7109375" style="60" customWidth="1"/>
    <col min="1546" max="1546" width="11.42578125" style="60" customWidth="1"/>
    <col min="1547" max="1547" width="11.140625" style="60" customWidth="1"/>
    <col min="1548" max="1779" width="9.140625" style="60"/>
    <col min="1780" max="1780" width="22.28515625" style="60" customWidth="1"/>
    <col min="1781" max="1782" width="12.28515625" style="60" customWidth="1"/>
    <col min="1783" max="1783" width="11.28515625" style="60" customWidth="1"/>
    <col min="1784" max="1784" width="10.7109375" style="60" customWidth="1"/>
    <col min="1785" max="1785" width="12" style="60" customWidth="1"/>
    <col min="1786" max="1786" width="10.42578125" style="60" bestFit="1" customWidth="1"/>
    <col min="1787" max="1788" width="10.42578125" style="60" customWidth="1"/>
    <col min="1789" max="1789" width="10.42578125" style="60" bestFit="1" customWidth="1"/>
    <col min="1790" max="1790" width="10.42578125" style="60" customWidth="1"/>
    <col min="1791" max="1792" width="10.42578125" style="60" bestFit="1" customWidth="1"/>
    <col min="1793" max="1793" width="29.7109375" style="60" customWidth="1"/>
    <col min="1794" max="1795" width="11.42578125" style="60" customWidth="1"/>
    <col min="1796" max="1796" width="11.28515625" style="60" bestFit="1" customWidth="1"/>
    <col min="1797" max="1797" width="11.28515625" style="60" customWidth="1"/>
    <col min="1798" max="1798" width="10.85546875" style="60" customWidth="1"/>
    <col min="1799" max="1799" width="10.7109375" style="60" customWidth="1"/>
    <col min="1800" max="1800" width="11.42578125" style="60" bestFit="1" customWidth="1"/>
    <col min="1801" max="1801" width="11.7109375" style="60" customWidth="1"/>
    <col min="1802" max="1802" width="11.42578125" style="60" customWidth="1"/>
    <col min="1803" max="1803" width="11.140625" style="60" customWidth="1"/>
    <col min="1804" max="2035" width="9.140625" style="60"/>
    <col min="2036" max="2036" width="22.28515625" style="60" customWidth="1"/>
    <col min="2037" max="2038" width="12.28515625" style="60" customWidth="1"/>
    <col min="2039" max="2039" width="11.28515625" style="60" customWidth="1"/>
    <col min="2040" max="2040" width="10.7109375" style="60" customWidth="1"/>
    <col min="2041" max="2041" width="12" style="60" customWidth="1"/>
    <col min="2042" max="2042" width="10.42578125" style="60" bestFit="1" customWidth="1"/>
    <col min="2043" max="2044" width="10.42578125" style="60" customWidth="1"/>
    <col min="2045" max="2045" width="10.42578125" style="60" bestFit="1" customWidth="1"/>
    <col min="2046" max="2046" width="10.42578125" style="60" customWidth="1"/>
    <col min="2047" max="2048" width="10.42578125" style="60" bestFit="1" customWidth="1"/>
    <col min="2049" max="2049" width="29.7109375" style="60" customWidth="1"/>
    <col min="2050" max="2051" width="11.42578125" style="60" customWidth="1"/>
    <col min="2052" max="2052" width="11.28515625" style="60" bestFit="1" customWidth="1"/>
    <col min="2053" max="2053" width="11.28515625" style="60" customWidth="1"/>
    <col min="2054" max="2054" width="10.85546875" style="60" customWidth="1"/>
    <col min="2055" max="2055" width="10.7109375" style="60" customWidth="1"/>
    <col min="2056" max="2056" width="11.42578125" style="60" bestFit="1" customWidth="1"/>
    <col min="2057" max="2057" width="11.7109375" style="60" customWidth="1"/>
    <col min="2058" max="2058" width="11.42578125" style="60" customWidth="1"/>
    <col min="2059" max="2059" width="11.140625" style="60" customWidth="1"/>
    <col min="2060" max="2291" width="9.140625" style="60"/>
    <col min="2292" max="2292" width="22.28515625" style="60" customWidth="1"/>
    <col min="2293" max="2294" width="12.28515625" style="60" customWidth="1"/>
    <col min="2295" max="2295" width="11.28515625" style="60" customWidth="1"/>
    <col min="2296" max="2296" width="10.7109375" style="60" customWidth="1"/>
    <col min="2297" max="2297" width="12" style="60" customWidth="1"/>
    <col min="2298" max="2298" width="10.42578125" style="60" bestFit="1" customWidth="1"/>
    <col min="2299" max="2300" width="10.42578125" style="60" customWidth="1"/>
    <col min="2301" max="2301" width="10.42578125" style="60" bestFit="1" customWidth="1"/>
    <col min="2302" max="2302" width="10.42578125" style="60" customWidth="1"/>
    <col min="2303" max="2304" width="10.42578125" style="60" bestFit="1" customWidth="1"/>
    <col min="2305" max="2305" width="29.7109375" style="60" customWidth="1"/>
    <col min="2306" max="2307" width="11.42578125" style="60" customWidth="1"/>
    <col min="2308" max="2308" width="11.28515625" style="60" bestFit="1" customWidth="1"/>
    <col min="2309" max="2309" width="11.28515625" style="60" customWidth="1"/>
    <col min="2310" max="2310" width="10.85546875" style="60" customWidth="1"/>
    <col min="2311" max="2311" width="10.7109375" style="60" customWidth="1"/>
    <col min="2312" max="2312" width="11.42578125" style="60" bestFit="1" customWidth="1"/>
    <col min="2313" max="2313" width="11.7109375" style="60" customWidth="1"/>
    <col min="2314" max="2314" width="11.42578125" style="60" customWidth="1"/>
    <col min="2315" max="2315" width="11.140625" style="60" customWidth="1"/>
    <col min="2316" max="2547" width="9.140625" style="60"/>
    <col min="2548" max="2548" width="22.28515625" style="60" customWidth="1"/>
    <col min="2549" max="2550" width="12.28515625" style="60" customWidth="1"/>
    <col min="2551" max="2551" width="11.28515625" style="60" customWidth="1"/>
    <col min="2552" max="2552" width="10.7109375" style="60" customWidth="1"/>
    <col min="2553" max="2553" width="12" style="60" customWidth="1"/>
    <col min="2554" max="2554" width="10.42578125" style="60" bestFit="1" customWidth="1"/>
    <col min="2555" max="2556" width="10.42578125" style="60" customWidth="1"/>
    <col min="2557" max="2557" width="10.42578125" style="60" bestFit="1" customWidth="1"/>
    <col min="2558" max="2558" width="10.42578125" style="60" customWidth="1"/>
    <col min="2559" max="2560" width="10.42578125" style="60" bestFit="1" customWidth="1"/>
    <col min="2561" max="2561" width="29.7109375" style="60" customWidth="1"/>
    <col min="2562" max="2563" width="11.42578125" style="60" customWidth="1"/>
    <col min="2564" max="2564" width="11.28515625" style="60" bestFit="1" customWidth="1"/>
    <col min="2565" max="2565" width="11.28515625" style="60" customWidth="1"/>
    <col min="2566" max="2566" width="10.85546875" style="60" customWidth="1"/>
    <col min="2567" max="2567" width="10.7109375" style="60" customWidth="1"/>
    <col min="2568" max="2568" width="11.42578125" style="60" bestFit="1" customWidth="1"/>
    <col min="2569" max="2569" width="11.7109375" style="60" customWidth="1"/>
    <col min="2570" max="2570" width="11.42578125" style="60" customWidth="1"/>
    <col min="2571" max="2571" width="11.140625" style="60" customWidth="1"/>
    <col min="2572" max="2803" width="9.140625" style="60"/>
    <col min="2804" max="2804" width="22.28515625" style="60" customWidth="1"/>
    <col min="2805" max="2806" width="12.28515625" style="60" customWidth="1"/>
    <col min="2807" max="2807" width="11.28515625" style="60" customWidth="1"/>
    <col min="2808" max="2808" width="10.7109375" style="60" customWidth="1"/>
    <col min="2809" max="2809" width="12" style="60" customWidth="1"/>
    <col min="2810" max="2810" width="10.42578125" style="60" bestFit="1" customWidth="1"/>
    <col min="2811" max="2812" width="10.42578125" style="60" customWidth="1"/>
    <col min="2813" max="2813" width="10.42578125" style="60" bestFit="1" customWidth="1"/>
    <col min="2814" max="2814" width="10.42578125" style="60" customWidth="1"/>
    <col min="2815" max="2816" width="10.42578125" style="60" bestFit="1" customWidth="1"/>
    <col min="2817" max="2817" width="29.7109375" style="60" customWidth="1"/>
    <col min="2818" max="2819" width="11.42578125" style="60" customWidth="1"/>
    <col min="2820" max="2820" width="11.28515625" style="60" bestFit="1" customWidth="1"/>
    <col min="2821" max="2821" width="11.28515625" style="60" customWidth="1"/>
    <col min="2822" max="2822" width="10.85546875" style="60" customWidth="1"/>
    <col min="2823" max="2823" width="10.7109375" style="60" customWidth="1"/>
    <col min="2824" max="2824" width="11.42578125" style="60" bestFit="1" customWidth="1"/>
    <col min="2825" max="2825" width="11.7109375" style="60" customWidth="1"/>
    <col min="2826" max="2826" width="11.42578125" style="60" customWidth="1"/>
    <col min="2827" max="2827" width="11.140625" style="60" customWidth="1"/>
    <col min="2828" max="3059" width="9.140625" style="60"/>
    <col min="3060" max="3060" width="22.28515625" style="60" customWidth="1"/>
    <col min="3061" max="3062" width="12.28515625" style="60" customWidth="1"/>
    <col min="3063" max="3063" width="11.28515625" style="60" customWidth="1"/>
    <col min="3064" max="3064" width="10.7109375" style="60" customWidth="1"/>
    <col min="3065" max="3065" width="12" style="60" customWidth="1"/>
    <col min="3066" max="3066" width="10.42578125" style="60" bestFit="1" customWidth="1"/>
    <col min="3067" max="3068" width="10.42578125" style="60" customWidth="1"/>
    <col min="3069" max="3069" width="10.42578125" style="60" bestFit="1" customWidth="1"/>
    <col min="3070" max="3070" width="10.42578125" style="60" customWidth="1"/>
    <col min="3071" max="3072" width="10.42578125" style="60" bestFit="1" customWidth="1"/>
    <col min="3073" max="3073" width="29.7109375" style="60" customWidth="1"/>
    <col min="3074" max="3075" width="11.42578125" style="60" customWidth="1"/>
    <col min="3076" max="3076" width="11.28515625" style="60" bestFit="1" customWidth="1"/>
    <col min="3077" max="3077" width="11.28515625" style="60" customWidth="1"/>
    <col min="3078" max="3078" width="10.85546875" style="60" customWidth="1"/>
    <col min="3079" max="3079" width="10.7109375" style="60" customWidth="1"/>
    <col min="3080" max="3080" width="11.42578125" style="60" bestFit="1" customWidth="1"/>
    <col min="3081" max="3081" width="11.7109375" style="60" customWidth="1"/>
    <col min="3082" max="3082" width="11.42578125" style="60" customWidth="1"/>
    <col min="3083" max="3083" width="11.140625" style="60" customWidth="1"/>
    <col min="3084" max="3315" width="9.140625" style="60"/>
    <col min="3316" max="3316" width="22.28515625" style="60" customWidth="1"/>
    <col min="3317" max="3318" width="12.28515625" style="60" customWidth="1"/>
    <col min="3319" max="3319" width="11.28515625" style="60" customWidth="1"/>
    <col min="3320" max="3320" width="10.7109375" style="60" customWidth="1"/>
    <col min="3321" max="3321" width="12" style="60" customWidth="1"/>
    <col min="3322" max="3322" width="10.42578125" style="60" bestFit="1" customWidth="1"/>
    <col min="3323" max="3324" width="10.42578125" style="60" customWidth="1"/>
    <col min="3325" max="3325" width="10.42578125" style="60" bestFit="1" customWidth="1"/>
    <col min="3326" max="3326" width="10.42578125" style="60" customWidth="1"/>
    <col min="3327" max="3328" width="10.42578125" style="60" bestFit="1" customWidth="1"/>
    <col min="3329" max="3329" width="29.7109375" style="60" customWidth="1"/>
    <col min="3330" max="3331" width="11.42578125" style="60" customWidth="1"/>
    <col min="3332" max="3332" width="11.28515625" style="60" bestFit="1" customWidth="1"/>
    <col min="3333" max="3333" width="11.28515625" style="60" customWidth="1"/>
    <col min="3334" max="3334" width="10.85546875" style="60" customWidth="1"/>
    <col min="3335" max="3335" width="10.7109375" style="60" customWidth="1"/>
    <col min="3336" max="3336" width="11.42578125" style="60" bestFit="1" customWidth="1"/>
    <col min="3337" max="3337" width="11.7109375" style="60" customWidth="1"/>
    <col min="3338" max="3338" width="11.42578125" style="60" customWidth="1"/>
    <col min="3339" max="3339" width="11.140625" style="60" customWidth="1"/>
    <col min="3340" max="3571" width="9.140625" style="60"/>
    <col min="3572" max="3572" width="22.28515625" style="60" customWidth="1"/>
    <col min="3573" max="3574" width="12.28515625" style="60" customWidth="1"/>
    <col min="3575" max="3575" width="11.28515625" style="60" customWidth="1"/>
    <col min="3576" max="3576" width="10.7109375" style="60" customWidth="1"/>
    <col min="3577" max="3577" width="12" style="60" customWidth="1"/>
    <col min="3578" max="3578" width="10.42578125" style="60" bestFit="1" customWidth="1"/>
    <col min="3579" max="3580" width="10.42578125" style="60" customWidth="1"/>
    <col min="3581" max="3581" width="10.42578125" style="60" bestFit="1" customWidth="1"/>
    <col min="3582" max="3582" width="10.42578125" style="60" customWidth="1"/>
    <col min="3583" max="3584" width="10.42578125" style="60" bestFit="1" customWidth="1"/>
    <col min="3585" max="3585" width="29.7109375" style="60" customWidth="1"/>
    <col min="3586" max="3587" width="11.42578125" style="60" customWidth="1"/>
    <col min="3588" max="3588" width="11.28515625" style="60" bestFit="1" customWidth="1"/>
    <col min="3589" max="3589" width="11.28515625" style="60" customWidth="1"/>
    <col min="3590" max="3590" width="10.85546875" style="60" customWidth="1"/>
    <col min="3591" max="3591" width="10.7109375" style="60" customWidth="1"/>
    <col min="3592" max="3592" width="11.42578125" style="60" bestFit="1" customWidth="1"/>
    <col min="3593" max="3593" width="11.7109375" style="60" customWidth="1"/>
    <col min="3594" max="3594" width="11.42578125" style="60" customWidth="1"/>
    <col min="3595" max="3595" width="11.140625" style="60" customWidth="1"/>
    <col min="3596" max="3827" width="9.140625" style="60"/>
    <col min="3828" max="3828" width="22.28515625" style="60" customWidth="1"/>
    <col min="3829" max="3830" width="12.28515625" style="60" customWidth="1"/>
    <col min="3831" max="3831" width="11.28515625" style="60" customWidth="1"/>
    <col min="3832" max="3832" width="10.7109375" style="60" customWidth="1"/>
    <col min="3833" max="3833" width="12" style="60" customWidth="1"/>
    <col min="3834" max="3834" width="10.42578125" style="60" bestFit="1" customWidth="1"/>
    <col min="3835" max="3836" width="10.42578125" style="60" customWidth="1"/>
    <col min="3837" max="3837" width="10.42578125" style="60" bestFit="1" customWidth="1"/>
    <col min="3838" max="3838" width="10.42578125" style="60" customWidth="1"/>
    <col min="3839" max="3840" width="10.42578125" style="60" bestFit="1" customWidth="1"/>
    <col min="3841" max="3841" width="29.7109375" style="60" customWidth="1"/>
    <col min="3842" max="3843" width="11.42578125" style="60" customWidth="1"/>
    <col min="3844" max="3844" width="11.28515625" style="60" bestFit="1" customWidth="1"/>
    <col min="3845" max="3845" width="11.28515625" style="60" customWidth="1"/>
    <col min="3846" max="3846" width="10.85546875" style="60" customWidth="1"/>
    <col min="3847" max="3847" width="10.7109375" style="60" customWidth="1"/>
    <col min="3848" max="3848" width="11.42578125" style="60" bestFit="1" customWidth="1"/>
    <col min="3849" max="3849" width="11.7109375" style="60" customWidth="1"/>
    <col min="3850" max="3850" width="11.42578125" style="60" customWidth="1"/>
    <col min="3851" max="3851" width="11.140625" style="60" customWidth="1"/>
    <col min="3852" max="4083" width="9.140625" style="60"/>
    <col min="4084" max="4084" width="22.28515625" style="60" customWidth="1"/>
    <col min="4085" max="4086" width="12.28515625" style="60" customWidth="1"/>
    <col min="4087" max="4087" width="11.28515625" style="60" customWidth="1"/>
    <col min="4088" max="4088" width="10.7109375" style="60" customWidth="1"/>
    <col min="4089" max="4089" width="12" style="60" customWidth="1"/>
    <col min="4090" max="4090" width="10.42578125" style="60" bestFit="1" customWidth="1"/>
    <col min="4091" max="4092" width="10.42578125" style="60" customWidth="1"/>
    <col min="4093" max="4093" width="10.42578125" style="60" bestFit="1" customWidth="1"/>
    <col min="4094" max="4094" width="10.42578125" style="60" customWidth="1"/>
    <col min="4095" max="4096" width="10.42578125" style="60" bestFit="1" customWidth="1"/>
    <col min="4097" max="4097" width="29.7109375" style="60" customWidth="1"/>
    <col min="4098" max="4099" width="11.42578125" style="60" customWidth="1"/>
    <col min="4100" max="4100" width="11.28515625" style="60" bestFit="1" customWidth="1"/>
    <col min="4101" max="4101" width="11.28515625" style="60" customWidth="1"/>
    <col min="4102" max="4102" width="10.85546875" style="60" customWidth="1"/>
    <col min="4103" max="4103" width="10.7109375" style="60" customWidth="1"/>
    <col min="4104" max="4104" width="11.42578125" style="60" bestFit="1" customWidth="1"/>
    <col min="4105" max="4105" width="11.7109375" style="60" customWidth="1"/>
    <col min="4106" max="4106" width="11.42578125" style="60" customWidth="1"/>
    <col min="4107" max="4107" width="11.140625" style="60" customWidth="1"/>
    <col min="4108" max="4339" width="9.140625" style="60"/>
    <col min="4340" max="4340" width="22.28515625" style="60" customWidth="1"/>
    <col min="4341" max="4342" width="12.28515625" style="60" customWidth="1"/>
    <col min="4343" max="4343" width="11.28515625" style="60" customWidth="1"/>
    <col min="4344" max="4344" width="10.7109375" style="60" customWidth="1"/>
    <col min="4345" max="4345" width="12" style="60" customWidth="1"/>
    <col min="4346" max="4346" width="10.42578125" style="60" bestFit="1" customWidth="1"/>
    <col min="4347" max="4348" width="10.42578125" style="60" customWidth="1"/>
    <col min="4349" max="4349" width="10.42578125" style="60" bestFit="1" customWidth="1"/>
    <col min="4350" max="4350" width="10.42578125" style="60" customWidth="1"/>
    <col min="4351" max="4352" width="10.42578125" style="60" bestFit="1" customWidth="1"/>
    <col min="4353" max="4353" width="29.7109375" style="60" customWidth="1"/>
    <col min="4354" max="4355" width="11.42578125" style="60" customWidth="1"/>
    <col min="4356" max="4356" width="11.28515625" style="60" bestFit="1" customWidth="1"/>
    <col min="4357" max="4357" width="11.28515625" style="60" customWidth="1"/>
    <col min="4358" max="4358" width="10.85546875" style="60" customWidth="1"/>
    <col min="4359" max="4359" width="10.7109375" style="60" customWidth="1"/>
    <col min="4360" max="4360" width="11.42578125" style="60" bestFit="1" customWidth="1"/>
    <col min="4361" max="4361" width="11.7109375" style="60" customWidth="1"/>
    <col min="4362" max="4362" width="11.42578125" style="60" customWidth="1"/>
    <col min="4363" max="4363" width="11.140625" style="60" customWidth="1"/>
    <col min="4364" max="4595" width="9.140625" style="60"/>
    <col min="4596" max="4596" width="22.28515625" style="60" customWidth="1"/>
    <col min="4597" max="4598" width="12.28515625" style="60" customWidth="1"/>
    <col min="4599" max="4599" width="11.28515625" style="60" customWidth="1"/>
    <col min="4600" max="4600" width="10.7109375" style="60" customWidth="1"/>
    <col min="4601" max="4601" width="12" style="60" customWidth="1"/>
    <col min="4602" max="4602" width="10.42578125" style="60" bestFit="1" customWidth="1"/>
    <col min="4603" max="4604" width="10.42578125" style="60" customWidth="1"/>
    <col min="4605" max="4605" width="10.42578125" style="60" bestFit="1" customWidth="1"/>
    <col min="4606" max="4606" width="10.42578125" style="60" customWidth="1"/>
    <col min="4607" max="4608" width="10.42578125" style="60" bestFit="1" customWidth="1"/>
    <col min="4609" max="4609" width="29.7109375" style="60" customWidth="1"/>
    <col min="4610" max="4611" width="11.42578125" style="60" customWidth="1"/>
    <col min="4612" max="4612" width="11.28515625" style="60" bestFit="1" customWidth="1"/>
    <col min="4613" max="4613" width="11.28515625" style="60" customWidth="1"/>
    <col min="4614" max="4614" width="10.85546875" style="60" customWidth="1"/>
    <col min="4615" max="4615" width="10.7109375" style="60" customWidth="1"/>
    <col min="4616" max="4616" width="11.42578125" style="60" bestFit="1" customWidth="1"/>
    <col min="4617" max="4617" width="11.7109375" style="60" customWidth="1"/>
    <col min="4618" max="4618" width="11.42578125" style="60" customWidth="1"/>
    <col min="4619" max="4619" width="11.140625" style="60" customWidth="1"/>
    <col min="4620" max="4851" width="9.140625" style="60"/>
    <col min="4852" max="4852" width="22.28515625" style="60" customWidth="1"/>
    <col min="4853" max="4854" width="12.28515625" style="60" customWidth="1"/>
    <col min="4855" max="4855" width="11.28515625" style="60" customWidth="1"/>
    <col min="4856" max="4856" width="10.7109375" style="60" customWidth="1"/>
    <col min="4857" max="4857" width="12" style="60" customWidth="1"/>
    <col min="4858" max="4858" width="10.42578125" style="60" bestFit="1" customWidth="1"/>
    <col min="4859" max="4860" width="10.42578125" style="60" customWidth="1"/>
    <col min="4861" max="4861" width="10.42578125" style="60" bestFit="1" customWidth="1"/>
    <col min="4862" max="4862" width="10.42578125" style="60" customWidth="1"/>
    <col min="4863" max="4864" width="10.42578125" style="60" bestFit="1" customWidth="1"/>
    <col min="4865" max="4865" width="29.7109375" style="60" customWidth="1"/>
    <col min="4866" max="4867" width="11.42578125" style="60" customWidth="1"/>
    <col min="4868" max="4868" width="11.28515625" style="60" bestFit="1" customWidth="1"/>
    <col min="4869" max="4869" width="11.28515625" style="60" customWidth="1"/>
    <col min="4870" max="4870" width="10.85546875" style="60" customWidth="1"/>
    <col min="4871" max="4871" width="10.7109375" style="60" customWidth="1"/>
    <col min="4872" max="4872" width="11.42578125" style="60" bestFit="1" customWidth="1"/>
    <col min="4873" max="4873" width="11.7109375" style="60" customWidth="1"/>
    <col min="4874" max="4874" width="11.42578125" style="60" customWidth="1"/>
    <col min="4875" max="4875" width="11.140625" style="60" customWidth="1"/>
    <col min="4876" max="5107" width="9.140625" style="60"/>
    <col min="5108" max="5108" width="22.28515625" style="60" customWidth="1"/>
    <col min="5109" max="5110" width="12.28515625" style="60" customWidth="1"/>
    <col min="5111" max="5111" width="11.28515625" style="60" customWidth="1"/>
    <col min="5112" max="5112" width="10.7109375" style="60" customWidth="1"/>
    <col min="5113" max="5113" width="12" style="60" customWidth="1"/>
    <col min="5114" max="5114" width="10.42578125" style="60" bestFit="1" customWidth="1"/>
    <col min="5115" max="5116" width="10.42578125" style="60" customWidth="1"/>
    <col min="5117" max="5117" width="10.42578125" style="60" bestFit="1" customWidth="1"/>
    <col min="5118" max="5118" width="10.42578125" style="60" customWidth="1"/>
    <col min="5119" max="5120" width="10.42578125" style="60" bestFit="1" customWidth="1"/>
    <col min="5121" max="5121" width="29.7109375" style="60" customWidth="1"/>
    <col min="5122" max="5123" width="11.42578125" style="60" customWidth="1"/>
    <col min="5124" max="5124" width="11.28515625" style="60" bestFit="1" customWidth="1"/>
    <col min="5125" max="5125" width="11.28515625" style="60" customWidth="1"/>
    <col min="5126" max="5126" width="10.85546875" style="60" customWidth="1"/>
    <col min="5127" max="5127" width="10.7109375" style="60" customWidth="1"/>
    <col min="5128" max="5128" width="11.42578125" style="60" bestFit="1" customWidth="1"/>
    <col min="5129" max="5129" width="11.7109375" style="60" customWidth="1"/>
    <col min="5130" max="5130" width="11.42578125" style="60" customWidth="1"/>
    <col min="5131" max="5131" width="11.140625" style="60" customWidth="1"/>
    <col min="5132" max="5363" width="9.140625" style="60"/>
    <col min="5364" max="5364" width="22.28515625" style="60" customWidth="1"/>
    <col min="5365" max="5366" width="12.28515625" style="60" customWidth="1"/>
    <col min="5367" max="5367" width="11.28515625" style="60" customWidth="1"/>
    <col min="5368" max="5368" width="10.7109375" style="60" customWidth="1"/>
    <col min="5369" max="5369" width="12" style="60" customWidth="1"/>
    <col min="5370" max="5370" width="10.42578125" style="60" bestFit="1" customWidth="1"/>
    <col min="5371" max="5372" width="10.42578125" style="60" customWidth="1"/>
    <col min="5373" max="5373" width="10.42578125" style="60" bestFit="1" customWidth="1"/>
    <col min="5374" max="5374" width="10.42578125" style="60" customWidth="1"/>
    <col min="5375" max="5376" width="10.42578125" style="60" bestFit="1" customWidth="1"/>
    <col min="5377" max="5377" width="29.7109375" style="60" customWidth="1"/>
    <col min="5378" max="5379" width="11.42578125" style="60" customWidth="1"/>
    <col min="5380" max="5380" width="11.28515625" style="60" bestFit="1" customWidth="1"/>
    <col min="5381" max="5381" width="11.28515625" style="60" customWidth="1"/>
    <col min="5382" max="5382" width="10.85546875" style="60" customWidth="1"/>
    <col min="5383" max="5383" width="10.7109375" style="60" customWidth="1"/>
    <col min="5384" max="5384" width="11.42578125" style="60" bestFit="1" customWidth="1"/>
    <col min="5385" max="5385" width="11.7109375" style="60" customWidth="1"/>
    <col min="5386" max="5386" width="11.42578125" style="60" customWidth="1"/>
    <col min="5387" max="5387" width="11.140625" style="60" customWidth="1"/>
    <col min="5388" max="5619" width="9.140625" style="60"/>
    <col min="5620" max="5620" width="22.28515625" style="60" customWidth="1"/>
    <col min="5621" max="5622" width="12.28515625" style="60" customWidth="1"/>
    <col min="5623" max="5623" width="11.28515625" style="60" customWidth="1"/>
    <col min="5624" max="5624" width="10.7109375" style="60" customWidth="1"/>
    <col min="5625" max="5625" width="12" style="60" customWidth="1"/>
    <col min="5626" max="5626" width="10.42578125" style="60" bestFit="1" customWidth="1"/>
    <col min="5627" max="5628" width="10.42578125" style="60" customWidth="1"/>
    <col min="5629" max="5629" width="10.42578125" style="60" bestFit="1" customWidth="1"/>
    <col min="5630" max="5630" width="10.42578125" style="60" customWidth="1"/>
    <col min="5631" max="5632" width="10.42578125" style="60" bestFit="1" customWidth="1"/>
    <col min="5633" max="5633" width="29.7109375" style="60" customWidth="1"/>
    <col min="5634" max="5635" width="11.42578125" style="60" customWidth="1"/>
    <col min="5636" max="5636" width="11.28515625" style="60" bestFit="1" customWidth="1"/>
    <col min="5637" max="5637" width="11.28515625" style="60" customWidth="1"/>
    <col min="5638" max="5638" width="10.85546875" style="60" customWidth="1"/>
    <col min="5639" max="5639" width="10.7109375" style="60" customWidth="1"/>
    <col min="5640" max="5640" width="11.42578125" style="60" bestFit="1" customWidth="1"/>
    <col min="5641" max="5641" width="11.7109375" style="60" customWidth="1"/>
    <col min="5642" max="5642" width="11.42578125" style="60" customWidth="1"/>
    <col min="5643" max="5643" width="11.140625" style="60" customWidth="1"/>
    <col min="5644" max="5875" width="9.140625" style="60"/>
    <col min="5876" max="5876" width="22.28515625" style="60" customWidth="1"/>
    <col min="5877" max="5878" width="12.28515625" style="60" customWidth="1"/>
    <col min="5879" max="5879" width="11.28515625" style="60" customWidth="1"/>
    <col min="5880" max="5880" width="10.7109375" style="60" customWidth="1"/>
    <col min="5881" max="5881" width="12" style="60" customWidth="1"/>
    <col min="5882" max="5882" width="10.42578125" style="60" bestFit="1" customWidth="1"/>
    <col min="5883" max="5884" width="10.42578125" style="60" customWidth="1"/>
    <col min="5885" max="5885" width="10.42578125" style="60" bestFit="1" customWidth="1"/>
    <col min="5886" max="5886" width="10.42578125" style="60" customWidth="1"/>
    <col min="5887" max="5888" width="10.42578125" style="60" bestFit="1" customWidth="1"/>
    <col min="5889" max="5889" width="29.7109375" style="60" customWidth="1"/>
    <col min="5890" max="5891" width="11.42578125" style="60" customWidth="1"/>
    <col min="5892" max="5892" width="11.28515625" style="60" bestFit="1" customWidth="1"/>
    <col min="5893" max="5893" width="11.28515625" style="60" customWidth="1"/>
    <col min="5894" max="5894" width="10.85546875" style="60" customWidth="1"/>
    <col min="5895" max="5895" width="10.7109375" style="60" customWidth="1"/>
    <col min="5896" max="5896" width="11.42578125" style="60" bestFit="1" customWidth="1"/>
    <col min="5897" max="5897" width="11.7109375" style="60" customWidth="1"/>
    <col min="5898" max="5898" width="11.42578125" style="60" customWidth="1"/>
    <col min="5899" max="5899" width="11.140625" style="60" customWidth="1"/>
    <col min="5900" max="6131" width="9.140625" style="60"/>
    <col min="6132" max="6132" width="22.28515625" style="60" customWidth="1"/>
    <col min="6133" max="6134" width="12.28515625" style="60" customWidth="1"/>
    <col min="6135" max="6135" width="11.28515625" style="60" customWidth="1"/>
    <col min="6136" max="6136" width="10.7109375" style="60" customWidth="1"/>
    <col min="6137" max="6137" width="12" style="60" customWidth="1"/>
    <col min="6138" max="6138" width="10.42578125" style="60" bestFit="1" customWidth="1"/>
    <col min="6139" max="6140" width="10.42578125" style="60" customWidth="1"/>
    <col min="6141" max="6141" width="10.42578125" style="60" bestFit="1" customWidth="1"/>
    <col min="6142" max="6142" width="10.42578125" style="60" customWidth="1"/>
    <col min="6143" max="6144" width="10.42578125" style="60" bestFit="1" customWidth="1"/>
    <col min="6145" max="6145" width="29.7109375" style="60" customWidth="1"/>
    <col min="6146" max="6147" width="11.42578125" style="60" customWidth="1"/>
    <col min="6148" max="6148" width="11.28515625" style="60" bestFit="1" customWidth="1"/>
    <col min="6149" max="6149" width="11.28515625" style="60" customWidth="1"/>
    <col min="6150" max="6150" width="10.85546875" style="60" customWidth="1"/>
    <col min="6151" max="6151" width="10.7109375" style="60" customWidth="1"/>
    <col min="6152" max="6152" width="11.42578125" style="60" bestFit="1" customWidth="1"/>
    <col min="6153" max="6153" width="11.7109375" style="60" customWidth="1"/>
    <col min="6154" max="6154" width="11.42578125" style="60" customWidth="1"/>
    <col min="6155" max="6155" width="11.140625" style="60" customWidth="1"/>
    <col min="6156" max="6387" width="9.140625" style="60"/>
    <col min="6388" max="6388" width="22.28515625" style="60" customWidth="1"/>
    <col min="6389" max="6390" width="12.28515625" style="60" customWidth="1"/>
    <col min="6391" max="6391" width="11.28515625" style="60" customWidth="1"/>
    <col min="6392" max="6392" width="10.7109375" style="60" customWidth="1"/>
    <col min="6393" max="6393" width="12" style="60" customWidth="1"/>
    <col min="6394" max="6394" width="10.42578125" style="60" bestFit="1" customWidth="1"/>
    <col min="6395" max="6396" width="10.42578125" style="60" customWidth="1"/>
    <col min="6397" max="6397" width="10.42578125" style="60" bestFit="1" customWidth="1"/>
    <col min="6398" max="6398" width="10.42578125" style="60" customWidth="1"/>
    <col min="6399" max="6400" width="10.42578125" style="60" bestFit="1" customWidth="1"/>
    <col min="6401" max="6401" width="29.7109375" style="60" customWidth="1"/>
    <col min="6402" max="6403" width="11.42578125" style="60" customWidth="1"/>
    <col min="6404" max="6404" width="11.28515625" style="60" bestFit="1" customWidth="1"/>
    <col min="6405" max="6405" width="11.28515625" style="60" customWidth="1"/>
    <col min="6406" max="6406" width="10.85546875" style="60" customWidth="1"/>
    <col min="6407" max="6407" width="10.7109375" style="60" customWidth="1"/>
    <col min="6408" max="6408" width="11.42578125" style="60" bestFit="1" customWidth="1"/>
    <col min="6409" max="6409" width="11.7109375" style="60" customWidth="1"/>
    <col min="6410" max="6410" width="11.42578125" style="60" customWidth="1"/>
    <col min="6411" max="6411" width="11.140625" style="60" customWidth="1"/>
    <col min="6412" max="6643" width="9.140625" style="60"/>
    <col min="6644" max="6644" width="22.28515625" style="60" customWidth="1"/>
    <col min="6645" max="6646" width="12.28515625" style="60" customWidth="1"/>
    <col min="6647" max="6647" width="11.28515625" style="60" customWidth="1"/>
    <col min="6648" max="6648" width="10.7109375" style="60" customWidth="1"/>
    <col min="6649" max="6649" width="12" style="60" customWidth="1"/>
    <col min="6650" max="6650" width="10.42578125" style="60" bestFit="1" customWidth="1"/>
    <col min="6651" max="6652" width="10.42578125" style="60" customWidth="1"/>
    <col min="6653" max="6653" width="10.42578125" style="60" bestFit="1" customWidth="1"/>
    <col min="6654" max="6654" width="10.42578125" style="60" customWidth="1"/>
    <col min="6655" max="6656" width="10.42578125" style="60" bestFit="1" customWidth="1"/>
    <col min="6657" max="6657" width="29.7109375" style="60" customWidth="1"/>
    <col min="6658" max="6659" width="11.42578125" style="60" customWidth="1"/>
    <col min="6660" max="6660" width="11.28515625" style="60" bestFit="1" customWidth="1"/>
    <col min="6661" max="6661" width="11.28515625" style="60" customWidth="1"/>
    <col min="6662" max="6662" width="10.85546875" style="60" customWidth="1"/>
    <col min="6663" max="6663" width="10.7109375" style="60" customWidth="1"/>
    <col min="6664" max="6664" width="11.42578125" style="60" bestFit="1" customWidth="1"/>
    <col min="6665" max="6665" width="11.7109375" style="60" customWidth="1"/>
    <col min="6666" max="6666" width="11.42578125" style="60" customWidth="1"/>
    <col min="6667" max="6667" width="11.140625" style="60" customWidth="1"/>
    <col min="6668" max="6899" width="9.140625" style="60"/>
    <col min="6900" max="6900" width="22.28515625" style="60" customWidth="1"/>
    <col min="6901" max="6902" width="12.28515625" style="60" customWidth="1"/>
    <col min="6903" max="6903" width="11.28515625" style="60" customWidth="1"/>
    <col min="6904" max="6904" width="10.7109375" style="60" customWidth="1"/>
    <col min="6905" max="6905" width="12" style="60" customWidth="1"/>
    <col min="6906" max="6906" width="10.42578125" style="60" bestFit="1" customWidth="1"/>
    <col min="6907" max="6908" width="10.42578125" style="60" customWidth="1"/>
    <col min="6909" max="6909" width="10.42578125" style="60" bestFit="1" customWidth="1"/>
    <col min="6910" max="6910" width="10.42578125" style="60" customWidth="1"/>
    <col min="6911" max="6912" width="10.42578125" style="60" bestFit="1" customWidth="1"/>
    <col min="6913" max="6913" width="29.7109375" style="60" customWidth="1"/>
    <col min="6914" max="6915" width="11.42578125" style="60" customWidth="1"/>
    <col min="6916" max="6916" width="11.28515625" style="60" bestFit="1" customWidth="1"/>
    <col min="6917" max="6917" width="11.28515625" style="60" customWidth="1"/>
    <col min="6918" max="6918" width="10.85546875" style="60" customWidth="1"/>
    <col min="6919" max="6919" width="10.7109375" style="60" customWidth="1"/>
    <col min="6920" max="6920" width="11.42578125" style="60" bestFit="1" customWidth="1"/>
    <col min="6921" max="6921" width="11.7109375" style="60" customWidth="1"/>
    <col min="6922" max="6922" width="11.42578125" style="60" customWidth="1"/>
    <col min="6923" max="6923" width="11.140625" style="60" customWidth="1"/>
    <col min="6924" max="7155" width="9.140625" style="60"/>
    <col min="7156" max="7156" width="22.28515625" style="60" customWidth="1"/>
    <col min="7157" max="7158" width="12.28515625" style="60" customWidth="1"/>
    <col min="7159" max="7159" width="11.28515625" style="60" customWidth="1"/>
    <col min="7160" max="7160" width="10.7109375" style="60" customWidth="1"/>
    <col min="7161" max="7161" width="12" style="60" customWidth="1"/>
    <col min="7162" max="7162" width="10.42578125" style="60" bestFit="1" customWidth="1"/>
    <col min="7163" max="7164" width="10.42578125" style="60" customWidth="1"/>
    <col min="7165" max="7165" width="10.42578125" style="60" bestFit="1" customWidth="1"/>
    <col min="7166" max="7166" width="10.42578125" style="60" customWidth="1"/>
    <col min="7167" max="7168" width="10.42578125" style="60" bestFit="1" customWidth="1"/>
    <col min="7169" max="7169" width="29.7109375" style="60" customWidth="1"/>
    <col min="7170" max="7171" width="11.42578125" style="60" customWidth="1"/>
    <col min="7172" max="7172" width="11.28515625" style="60" bestFit="1" customWidth="1"/>
    <col min="7173" max="7173" width="11.28515625" style="60" customWidth="1"/>
    <col min="7174" max="7174" width="10.85546875" style="60" customWidth="1"/>
    <col min="7175" max="7175" width="10.7109375" style="60" customWidth="1"/>
    <col min="7176" max="7176" width="11.42578125" style="60" bestFit="1" customWidth="1"/>
    <col min="7177" max="7177" width="11.7109375" style="60" customWidth="1"/>
    <col min="7178" max="7178" width="11.42578125" style="60" customWidth="1"/>
    <col min="7179" max="7179" width="11.140625" style="60" customWidth="1"/>
    <col min="7180" max="7411" width="9.140625" style="60"/>
    <col min="7412" max="7412" width="22.28515625" style="60" customWidth="1"/>
    <col min="7413" max="7414" width="12.28515625" style="60" customWidth="1"/>
    <col min="7415" max="7415" width="11.28515625" style="60" customWidth="1"/>
    <col min="7416" max="7416" width="10.7109375" style="60" customWidth="1"/>
    <col min="7417" max="7417" width="12" style="60" customWidth="1"/>
    <col min="7418" max="7418" width="10.42578125" style="60" bestFit="1" customWidth="1"/>
    <col min="7419" max="7420" width="10.42578125" style="60" customWidth="1"/>
    <col min="7421" max="7421" width="10.42578125" style="60" bestFit="1" customWidth="1"/>
    <col min="7422" max="7422" width="10.42578125" style="60" customWidth="1"/>
    <col min="7423" max="7424" width="10.42578125" style="60" bestFit="1" customWidth="1"/>
    <col min="7425" max="7425" width="29.7109375" style="60" customWidth="1"/>
    <col min="7426" max="7427" width="11.42578125" style="60" customWidth="1"/>
    <col min="7428" max="7428" width="11.28515625" style="60" bestFit="1" customWidth="1"/>
    <col min="7429" max="7429" width="11.28515625" style="60" customWidth="1"/>
    <col min="7430" max="7430" width="10.85546875" style="60" customWidth="1"/>
    <col min="7431" max="7431" width="10.7109375" style="60" customWidth="1"/>
    <col min="7432" max="7432" width="11.42578125" style="60" bestFit="1" customWidth="1"/>
    <col min="7433" max="7433" width="11.7109375" style="60" customWidth="1"/>
    <col min="7434" max="7434" width="11.42578125" style="60" customWidth="1"/>
    <col min="7435" max="7435" width="11.140625" style="60" customWidth="1"/>
    <col min="7436" max="7667" width="9.140625" style="60"/>
    <col min="7668" max="7668" width="22.28515625" style="60" customWidth="1"/>
    <col min="7669" max="7670" width="12.28515625" style="60" customWidth="1"/>
    <col min="7671" max="7671" width="11.28515625" style="60" customWidth="1"/>
    <col min="7672" max="7672" width="10.7109375" style="60" customWidth="1"/>
    <col min="7673" max="7673" width="12" style="60" customWidth="1"/>
    <col min="7674" max="7674" width="10.42578125" style="60" bestFit="1" customWidth="1"/>
    <col min="7675" max="7676" width="10.42578125" style="60" customWidth="1"/>
    <col min="7677" max="7677" width="10.42578125" style="60" bestFit="1" customWidth="1"/>
    <col min="7678" max="7678" width="10.42578125" style="60" customWidth="1"/>
    <col min="7679" max="7680" width="10.42578125" style="60" bestFit="1" customWidth="1"/>
    <col min="7681" max="7681" width="29.7109375" style="60" customWidth="1"/>
    <col min="7682" max="7683" width="11.42578125" style="60" customWidth="1"/>
    <col min="7684" max="7684" width="11.28515625" style="60" bestFit="1" customWidth="1"/>
    <col min="7685" max="7685" width="11.28515625" style="60" customWidth="1"/>
    <col min="7686" max="7686" width="10.85546875" style="60" customWidth="1"/>
    <col min="7687" max="7687" width="10.7109375" style="60" customWidth="1"/>
    <col min="7688" max="7688" width="11.42578125" style="60" bestFit="1" customWidth="1"/>
    <col min="7689" max="7689" width="11.7109375" style="60" customWidth="1"/>
    <col min="7690" max="7690" width="11.42578125" style="60" customWidth="1"/>
    <col min="7691" max="7691" width="11.140625" style="60" customWidth="1"/>
    <col min="7692" max="7923" width="9.140625" style="60"/>
    <col min="7924" max="7924" width="22.28515625" style="60" customWidth="1"/>
    <col min="7925" max="7926" width="12.28515625" style="60" customWidth="1"/>
    <col min="7927" max="7927" width="11.28515625" style="60" customWidth="1"/>
    <col min="7928" max="7928" width="10.7109375" style="60" customWidth="1"/>
    <col min="7929" max="7929" width="12" style="60" customWidth="1"/>
    <col min="7930" max="7930" width="10.42578125" style="60" bestFit="1" customWidth="1"/>
    <col min="7931" max="7932" width="10.42578125" style="60" customWidth="1"/>
    <col min="7933" max="7933" width="10.42578125" style="60" bestFit="1" customWidth="1"/>
    <col min="7934" max="7934" width="10.42578125" style="60" customWidth="1"/>
    <col min="7935" max="7936" width="10.42578125" style="60" bestFit="1" customWidth="1"/>
    <col min="7937" max="7937" width="29.7109375" style="60" customWidth="1"/>
    <col min="7938" max="7939" width="11.42578125" style="60" customWidth="1"/>
    <col min="7940" max="7940" width="11.28515625" style="60" bestFit="1" customWidth="1"/>
    <col min="7941" max="7941" width="11.28515625" style="60" customWidth="1"/>
    <col min="7942" max="7942" width="10.85546875" style="60" customWidth="1"/>
    <col min="7943" max="7943" width="10.7109375" style="60" customWidth="1"/>
    <col min="7944" max="7944" width="11.42578125" style="60" bestFit="1" customWidth="1"/>
    <col min="7945" max="7945" width="11.7109375" style="60" customWidth="1"/>
    <col min="7946" max="7946" width="11.42578125" style="60" customWidth="1"/>
    <col min="7947" max="7947" width="11.140625" style="60" customWidth="1"/>
    <col min="7948" max="8179" width="9.140625" style="60"/>
    <col min="8180" max="8180" width="22.28515625" style="60" customWidth="1"/>
    <col min="8181" max="8182" width="12.28515625" style="60" customWidth="1"/>
    <col min="8183" max="8183" width="11.28515625" style="60" customWidth="1"/>
    <col min="8184" max="8184" width="10.7109375" style="60" customWidth="1"/>
    <col min="8185" max="8185" width="12" style="60" customWidth="1"/>
    <col min="8186" max="8186" width="10.42578125" style="60" bestFit="1" customWidth="1"/>
    <col min="8187" max="8188" width="10.42578125" style="60" customWidth="1"/>
    <col min="8189" max="8189" width="10.42578125" style="60" bestFit="1" customWidth="1"/>
    <col min="8190" max="8190" width="10.42578125" style="60" customWidth="1"/>
    <col min="8191" max="8192" width="10.42578125" style="60" bestFit="1" customWidth="1"/>
    <col min="8193" max="8193" width="29.7109375" style="60" customWidth="1"/>
    <col min="8194" max="8195" width="11.42578125" style="60" customWidth="1"/>
    <col min="8196" max="8196" width="11.28515625" style="60" bestFit="1" customWidth="1"/>
    <col min="8197" max="8197" width="11.28515625" style="60" customWidth="1"/>
    <col min="8198" max="8198" width="10.85546875" style="60" customWidth="1"/>
    <col min="8199" max="8199" width="10.7109375" style="60" customWidth="1"/>
    <col min="8200" max="8200" width="11.42578125" style="60" bestFit="1" customWidth="1"/>
    <col min="8201" max="8201" width="11.7109375" style="60" customWidth="1"/>
    <col min="8202" max="8202" width="11.42578125" style="60" customWidth="1"/>
    <col min="8203" max="8203" width="11.140625" style="60" customWidth="1"/>
    <col min="8204" max="8435" width="9.140625" style="60"/>
    <col min="8436" max="8436" width="22.28515625" style="60" customWidth="1"/>
    <col min="8437" max="8438" width="12.28515625" style="60" customWidth="1"/>
    <col min="8439" max="8439" width="11.28515625" style="60" customWidth="1"/>
    <col min="8440" max="8440" width="10.7109375" style="60" customWidth="1"/>
    <col min="8441" max="8441" width="12" style="60" customWidth="1"/>
    <col min="8442" max="8442" width="10.42578125" style="60" bestFit="1" customWidth="1"/>
    <col min="8443" max="8444" width="10.42578125" style="60" customWidth="1"/>
    <col min="8445" max="8445" width="10.42578125" style="60" bestFit="1" customWidth="1"/>
    <col min="8446" max="8446" width="10.42578125" style="60" customWidth="1"/>
    <col min="8447" max="8448" width="10.42578125" style="60" bestFit="1" customWidth="1"/>
    <col min="8449" max="8449" width="29.7109375" style="60" customWidth="1"/>
    <col min="8450" max="8451" width="11.42578125" style="60" customWidth="1"/>
    <col min="8452" max="8452" width="11.28515625" style="60" bestFit="1" customWidth="1"/>
    <col min="8453" max="8453" width="11.28515625" style="60" customWidth="1"/>
    <col min="8454" max="8454" width="10.85546875" style="60" customWidth="1"/>
    <col min="8455" max="8455" width="10.7109375" style="60" customWidth="1"/>
    <col min="8456" max="8456" width="11.42578125" style="60" bestFit="1" customWidth="1"/>
    <col min="8457" max="8457" width="11.7109375" style="60" customWidth="1"/>
    <col min="8458" max="8458" width="11.42578125" style="60" customWidth="1"/>
    <col min="8459" max="8459" width="11.140625" style="60" customWidth="1"/>
    <col min="8460" max="8691" width="9.140625" style="60"/>
    <col min="8692" max="8692" width="22.28515625" style="60" customWidth="1"/>
    <col min="8693" max="8694" width="12.28515625" style="60" customWidth="1"/>
    <col min="8695" max="8695" width="11.28515625" style="60" customWidth="1"/>
    <col min="8696" max="8696" width="10.7109375" style="60" customWidth="1"/>
    <col min="8697" max="8697" width="12" style="60" customWidth="1"/>
    <col min="8698" max="8698" width="10.42578125" style="60" bestFit="1" customWidth="1"/>
    <col min="8699" max="8700" width="10.42578125" style="60" customWidth="1"/>
    <col min="8701" max="8701" width="10.42578125" style="60" bestFit="1" customWidth="1"/>
    <col min="8702" max="8702" width="10.42578125" style="60" customWidth="1"/>
    <col min="8703" max="8704" width="10.42578125" style="60" bestFit="1" customWidth="1"/>
    <col min="8705" max="8705" width="29.7109375" style="60" customWidth="1"/>
    <col min="8706" max="8707" width="11.42578125" style="60" customWidth="1"/>
    <col min="8708" max="8708" width="11.28515625" style="60" bestFit="1" customWidth="1"/>
    <col min="8709" max="8709" width="11.28515625" style="60" customWidth="1"/>
    <col min="8710" max="8710" width="10.85546875" style="60" customWidth="1"/>
    <col min="8711" max="8711" width="10.7109375" style="60" customWidth="1"/>
    <col min="8712" max="8712" width="11.42578125" style="60" bestFit="1" customWidth="1"/>
    <col min="8713" max="8713" width="11.7109375" style="60" customWidth="1"/>
    <col min="8714" max="8714" width="11.42578125" style="60" customWidth="1"/>
    <col min="8715" max="8715" width="11.140625" style="60" customWidth="1"/>
    <col min="8716" max="8947" width="9.140625" style="60"/>
    <col min="8948" max="8948" width="22.28515625" style="60" customWidth="1"/>
    <col min="8949" max="8950" width="12.28515625" style="60" customWidth="1"/>
    <col min="8951" max="8951" width="11.28515625" style="60" customWidth="1"/>
    <col min="8952" max="8952" width="10.7109375" style="60" customWidth="1"/>
    <col min="8953" max="8953" width="12" style="60" customWidth="1"/>
    <col min="8954" max="8954" width="10.42578125" style="60" bestFit="1" customWidth="1"/>
    <col min="8955" max="8956" width="10.42578125" style="60" customWidth="1"/>
    <col min="8957" max="8957" width="10.42578125" style="60" bestFit="1" customWidth="1"/>
    <col min="8958" max="8958" width="10.42578125" style="60" customWidth="1"/>
    <col min="8959" max="8960" width="10.42578125" style="60" bestFit="1" customWidth="1"/>
    <col min="8961" max="8961" width="29.7109375" style="60" customWidth="1"/>
    <col min="8962" max="8963" width="11.42578125" style="60" customWidth="1"/>
    <col min="8964" max="8964" width="11.28515625" style="60" bestFit="1" customWidth="1"/>
    <col min="8965" max="8965" width="11.28515625" style="60" customWidth="1"/>
    <col min="8966" max="8966" width="10.85546875" style="60" customWidth="1"/>
    <col min="8967" max="8967" width="10.7109375" style="60" customWidth="1"/>
    <col min="8968" max="8968" width="11.42578125" style="60" bestFit="1" customWidth="1"/>
    <col min="8969" max="8969" width="11.7109375" style="60" customWidth="1"/>
    <col min="8970" max="8970" width="11.42578125" style="60" customWidth="1"/>
    <col min="8971" max="8971" width="11.140625" style="60" customWidth="1"/>
    <col min="8972" max="9203" width="9.140625" style="60"/>
    <col min="9204" max="9204" width="22.28515625" style="60" customWidth="1"/>
    <col min="9205" max="9206" width="12.28515625" style="60" customWidth="1"/>
    <col min="9207" max="9207" width="11.28515625" style="60" customWidth="1"/>
    <col min="9208" max="9208" width="10.7109375" style="60" customWidth="1"/>
    <col min="9209" max="9209" width="12" style="60" customWidth="1"/>
    <col min="9210" max="9210" width="10.42578125" style="60" bestFit="1" customWidth="1"/>
    <col min="9211" max="9212" width="10.42578125" style="60" customWidth="1"/>
    <col min="9213" max="9213" width="10.42578125" style="60" bestFit="1" customWidth="1"/>
    <col min="9214" max="9214" width="10.42578125" style="60" customWidth="1"/>
    <col min="9215" max="9216" width="10.42578125" style="60" bestFit="1" customWidth="1"/>
    <col min="9217" max="9217" width="29.7109375" style="60" customWidth="1"/>
    <col min="9218" max="9219" width="11.42578125" style="60" customWidth="1"/>
    <col min="9220" max="9220" width="11.28515625" style="60" bestFit="1" customWidth="1"/>
    <col min="9221" max="9221" width="11.28515625" style="60" customWidth="1"/>
    <col min="9222" max="9222" width="10.85546875" style="60" customWidth="1"/>
    <col min="9223" max="9223" width="10.7109375" style="60" customWidth="1"/>
    <col min="9224" max="9224" width="11.42578125" style="60" bestFit="1" customWidth="1"/>
    <col min="9225" max="9225" width="11.7109375" style="60" customWidth="1"/>
    <col min="9226" max="9226" width="11.42578125" style="60" customWidth="1"/>
    <col min="9227" max="9227" width="11.140625" style="60" customWidth="1"/>
    <col min="9228" max="9459" width="9.140625" style="60"/>
    <col min="9460" max="9460" width="22.28515625" style="60" customWidth="1"/>
    <col min="9461" max="9462" width="12.28515625" style="60" customWidth="1"/>
    <col min="9463" max="9463" width="11.28515625" style="60" customWidth="1"/>
    <col min="9464" max="9464" width="10.7109375" style="60" customWidth="1"/>
    <col min="9465" max="9465" width="12" style="60" customWidth="1"/>
    <col min="9466" max="9466" width="10.42578125" style="60" bestFit="1" customWidth="1"/>
    <col min="9467" max="9468" width="10.42578125" style="60" customWidth="1"/>
    <col min="9469" max="9469" width="10.42578125" style="60" bestFit="1" customWidth="1"/>
    <col min="9470" max="9470" width="10.42578125" style="60" customWidth="1"/>
    <col min="9471" max="9472" width="10.42578125" style="60" bestFit="1" customWidth="1"/>
    <col min="9473" max="9473" width="29.7109375" style="60" customWidth="1"/>
    <col min="9474" max="9475" width="11.42578125" style="60" customWidth="1"/>
    <col min="9476" max="9476" width="11.28515625" style="60" bestFit="1" customWidth="1"/>
    <col min="9477" max="9477" width="11.28515625" style="60" customWidth="1"/>
    <col min="9478" max="9478" width="10.85546875" style="60" customWidth="1"/>
    <col min="9479" max="9479" width="10.7109375" style="60" customWidth="1"/>
    <col min="9480" max="9480" width="11.42578125" style="60" bestFit="1" customWidth="1"/>
    <col min="9481" max="9481" width="11.7109375" style="60" customWidth="1"/>
    <col min="9482" max="9482" width="11.42578125" style="60" customWidth="1"/>
    <col min="9483" max="9483" width="11.140625" style="60" customWidth="1"/>
    <col min="9484" max="9715" width="9.140625" style="60"/>
    <col min="9716" max="9716" width="22.28515625" style="60" customWidth="1"/>
    <col min="9717" max="9718" width="12.28515625" style="60" customWidth="1"/>
    <col min="9719" max="9719" width="11.28515625" style="60" customWidth="1"/>
    <col min="9720" max="9720" width="10.7109375" style="60" customWidth="1"/>
    <col min="9721" max="9721" width="12" style="60" customWidth="1"/>
    <col min="9722" max="9722" width="10.42578125" style="60" bestFit="1" customWidth="1"/>
    <col min="9723" max="9724" width="10.42578125" style="60" customWidth="1"/>
    <col min="9725" max="9725" width="10.42578125" style="60" bestFit="1" customWidth="1"/>
    <col min="9726" max="9726" width="10.42578125" style="60" customWidth="1"/>
    <col min="9727" max="9728" width="10.42578125" style="60" bestFit="1" customWidth="1"/>
    <col min="9729" max="9729" width="29.7109375" style="60" customWidth="1"/>
    <col min="9730" max="9731" width="11.42578125" style="60" customWidth="1"/>
    <col min="9732" max="9732" width="11.28515625" style="60" bestFit="1" customWidth="1"/>
    <col min="9733" max="9733" width="11.28515625" style="60" customWidth="1"/>
    <col min="9734" max="9734" width="10.85546875" style="60" customWidth="1"/>
    <col min="9735" max="9735" width="10.7109375" style="60" customWidth="1"/>
    <col min="9736" max="9736" width="11.42578125" style="60" bestFit="1" customWidth="1"/>
    <col min="9737" max="9737" width="11.7109375" style="60" customWidth="1"/>
    <col min="9738" max="9738" width="11.42578125" style="60" customWidth="1"/>
    <col min="9739" max="9739" width="11.140625" style="60" customWidth="1"/>
    <col min="9740" max="9971" width="9.140625" style="60"/>
    <col min="9972" max="9972" width="22.28515625" style="60" customWidth="1"/>
    <col min="9973" max="9974" width="12.28515625" style="60" customWidth="1"/>
    <col min="9975" max="9975" width="11.28515625" style="60" customWidth="1"/>
    <col min="9976" max="9976" width="10.7109375" style="60" customWidth="1"/>
    <col min="9977" max="9977" width="12" style="60" customWidth="1"/>
    <col min="9978" max="9978" width="10.42578125" style="60" bestFit="1" customWidth="1"/>
    <col min="9979" max="9980" width="10.42578125" style="60" customWidth="1"/>
    <col min="9981" max="9981" width="10.42578125" style="60" bestFit="1" customWidth="1"/>
    <col min="9982" max="9982" width="10.42578125" style="60" customWidth="1"/>
    <col min="9983" max="9984" width="10.42578125" style="60" bestFit="1" customWidth="1"/>
    <col min="9985" max="9985" width="29.7109375" style="60" customWidth="1"/>
    <col min="9986" max="9987" width="11.42578125" style="60" customWidth="1"/>
    <col min="9988" max="9988" width="11.28515625" style="60" bestFit="1" customWidth="1"/>
    <col min="9989" max="9989" width="11.28515625" style="60" customWidth="1"/>
    <col min="9990" max="9990" width="10.85546875" style="60" customWidth="1"/>
    <col min="9991" max="9991" width="10.7109375" style="60" customWidth="1"/>
    <col min="9992" max="9992" width="11.42578125" style="60" bestFit="1" customWidth="1"/>
    <col min="9993" max="9993" width="11.7109375" style="60" customWidth="1"/>
    <col min="9994" max="9994" width="11.42578125" style="60" customWidth="1"/>
    <col min="9995" max="9995" width="11.140625" style="60" customWidth="1"/>
    <col min="9996" max="10227" width="9.140625" style="60"/>
    <col min="10228" max="10228" width="22.28515625" style="60" customWidth="1"/>
    <col min="10229" max="10230" width="12.28515625" style="60" customWidth="1"/>
    <col min="10231" max="10231" width="11.28515625" style="60" customWidth="1"/>
    <col min="10232" max="10232" width="10.7109375" style="60" customWidth="1"/>
    <col min="10233" max="10233" width="12" style="60" customWidth="1"/>
    <col min="10234" max="10234" width="10.42578125" style="60" bestFit="1" customWidth="1"/>
    <col min="10235" max="10236" width="10.42578125" style="60" customWidth="1"/>
    <col min="10237" max="10237" width="10.42578125" style="60" bestFit="1" customWidth="1"/>
    <col min="10238" max="10238" width="10.42578125" style="60" customWidth="1"/>
    <col min="10239" max="10240" width="10.42578125" style="60" bestFit="1" customWidth="1"/>
    <col min="10241" max="10241" width="29.7109375" style="60" customWidth="1"/>
    <col min="10242" max="10243" width="11.42578125" style="60" customWidth="1"/>
    <col min="10244" max="10244" width="11.28515625" style="60" bestFit="1" customWidth="1"/>
    <col min="10245" max="10245" width="11.28515625" style="60" customWidth="1"/>
    <col min="10246" max="10246" width="10.85546875" style="60" customWidth="1"/>
    <col min="10247" max="10247" width="10.7109375" style="60" customWidth="1"/>
    <col min="10248" max="10248" width="11.42578125" style="60" bestFit="1" customWidth="1"/>
    <col min="10249" max="10249" width="11.7109375" style="60" customWidth="1"/>
    <col min="10250" max="10250" width="11.42578125" style="60" customWidth="1"/>
    <col min="10251" max="10251" width="11.140625" style="60" customWidth="1"/>
    <col min="10252" max="10483" width="9.140625" style="60"/>
    <col min="10484" max="10484" width="22.28515625" style="60" customWidth="1"/>
    <col min="10485" max="10486" width="12.28515625" style="60" customWidth="1"/>
    <col min="10487" max="10487" width="11.28515625" style="60" customWidth="1"/>
    <col min="10488" max="10488" width="10.7109375" style="60" customWidth="1"/>
    <col min="10489" max="10489" width="12" style="60" customWidth="1"/>
    <col min="10490" max="10490" width="10.42578125" style="60" bestFit="1" customWidth="1"/>
    <col min="10491" max="10492" width="10.42578125" style="60" customWidth="1"/>
    <col min="10493" max="10493" width="10.42578125" style="60" bestFit="1" customWidth="1"/>
    <col min="10494" max="10494" width="10.42578125" style="60" customWidth="1"/>
    <col min="10495" max="10496" width="10.42578125" style="60" bestFit="1" customWidth="1"/>
    <col min="10497" max="10497" width="29.7109375" style="60" customWidth="1"/>
    <col min="10498" max="10499" width="11.42578125" style="60" customWidth="1"/>
    <col min="10500" max="10500" width="11.28515625" style="60" bestFit="1" customWidth="1"/>
    <col min="10501" max="10501" width="11.28515625" style="60" customWidth="1"/>
    <col min="10502" max="10502" width="10.85546875" style="60" customWidth="1"/>
    <col min="10503" max="10503" width="10.7109375" style="60" customWidth="1"/>
    <col min="10504" max="10504" width="11.42578125" style="60" bestFit="1" customWidth="1"/>
    <col min="10505" max="10505" width="11.7109375" style="60" customWidth="1"/>
    <col min="10506" max="10506" width="11.42578125" style="60" customWidth="1"/>
    <col min="10507" max="10507" width="11.140625" style="60" customWidth="1"/>
    <col min="10508" max="10739" width="9.140625" style="60"/>
    <col min="10740" max="10740" width="22.28515625" style="60" customWidth="1"/>
    <col min="10741" max="10742" width="12.28515625" style="60" customWidth="1"/>
    <col min="10743" max="10743" width="11.28515625" style="60" customWidth="1"/>
    <col min="10744" max="10744" width="10.7109375" style="60" customWidth="1"/>
    <col min="10745" max="10745" width="12" style="60" customWidth="1"/>
    <col min="10746" max="10746" width="10.42578125" style="60" bestFit="1" customWidth="1"/>
    <col min="10747" max="10748" width="10.42578125" style="60" customWidth="1"/>
    <col min="10749" max="10749" width="10.42578125" style="60" bestFit="1" customWidth="1"/>
    <col min="10750" max="10750" width="10.42578125" style="60" customWidth="1"/>
    <col min="10751" max="10752" width="10.42578125" style="60" bestFit="1" customWidth="1"/>
    <col min="10753" max="10753" width="29.7109375" style="60" customWidth="1"/>
    <col min="10754" max="10755" width="11.42578125" style="60" customWidth="1"/>
    <col min="10756" max="10756" width="11.28515625" style="60" bestFit="1" customWidth="1"/>
    <col min="10757" max="10757" width="11.28515625" style="60" customWidth="1"/>
    <col min="10758" max="10758" width="10.85546875" style="60" customWidth="1"/>
    <col min="10759" max="10759" width="10.7109375" style="60" customWidth="1"/>
    <col min="10760" max="10760" width="11.42578125" style="60" bestFit="1" customWidth="1"/>
    <col min="10761" max="10761" width="11.7109375" style="60" customWidth="1"/>
    <col min="10762" max="10762" width="11.42578125" style="60" customWidth="1"/>
    <col min="10763" max="10763" width="11.140625" style="60" customWidth="1"/>
    <col min="10764" max="10995" width="9.140625" style="60"/>
    <col min="10996" max="10996" width="22.28515625" style="60" customWidth="1"/>
    <col min="10997" max="10998" width="12.28515625" style="60" customWidth="1"/>
    <col min="10999" max="10999" width="11.28515625" style="60" customWidth="1"/>
    <col min="11000" max="11000" width="10.7109375" style="60" customWidth="1"/>
    <col min="11001" max="11001" width="12" style="60" customWidth="1"/>
    <col min="11002" max="11002" width="10.42578125" style="60" bestFit="1" customWidth="1"/>
    <col min="11003" max="11004" width="10.42578125" style="60" customWidth="1"/>
    <col min="11005" max="11005" width="10.42578125" style="60" bestFit="1" customWidth="1"/>
    <col min="11006" max="11006" width="10.42578125" style="60" customWidth="1"/>
    <col min="11007" max="11008" width="10.42578125" style="60" bestFit="1" customWidth="1"/>
    <col min="11009" max="11009" width="29.7109375" style="60" customWidth="1"/>
    <col min="11010" max="11011" width="11.42578125" style="60" customWidth="1"/>
    <col min="11012" max="11012" width="11.28515625" style="60" bestFit="1" customWidth="1"/>
    <col min="11013" max="11013" width="11.28515625" style="60" customWidth="1"/>
    <col min="11014" max="11014" width="10.85546875" style="60" customWidth="1"/>
    <col min="11015" max="11015" width="10.7109375" style="60" customWidth="1"/>
    <col min="11016" max="11016" width="11.42578125" style="60" bestFit="1" customWidth="1"/>
    <col min="11017" max="11017" width="11.7109375" style="60" customWidth="1"/>
    <col min="11018" max="11018" width="11.42578125" style="60" customWidth="1"/>
    <col min="11019" max="11019" width="11.140625" style="60" customWidth="1"/>
    <col min="11020" max="11251" width="9.140625" style="60"/>
    <col min="11252" max="11252" width="22.28515625" style="60" customWidth="1"/>
    <col min="11253" max="11254" width="12.28515625" style="60" customWidth="1"/>
    <col min="11255" max="11255" width="11.28515625" style="60" customWidth="1"/>
    <col min="11256" max="11256" width="10.7109375" style="60" customWidth="1"/>
    <col min="11257" max="11257" width="12" style="60" customWidth="1"/>
    <col min="11258" max="11258" width="10.42578125" style="60" bestFit="1" customWidth="1"/>
    <col min="11259" max="11260" width="10.42578125" style="60" customWidth="1"/>
    <col min="11261" max="11261" width="10.42578125" style="60" bestFit="1" customWidth="1"/>
    <col min="11262" max="11262" width="10.42578125" style="60" customWidth="1"/>
    <col min="11263" max="11264" width="10.42578125" style="60" bestFit="1" customWidth="1"/>
    <col min="11265" max="11265" width="29.7109375" style="60" customWidth="1"/>
    <col min="11266" max="11267" width="11.42578125" style="60" customWidth="1"/>
    <col min="11268" max="11268" width="11.28515625" style="60" bestFit="1" customWidth="1"/>
    <col min="11269" max="11269" width="11.28515625" style="60" customWidth="1"/>
    <col min="11270" max="11270" width="10.85546875" style="60" customWidth="1"/>
    <col min="11271" max="11271" width="10.7109375" style="60" customWidth="1"/>
    <col min="11272" max="11272" width="11.42578125" style="60" bestFit="1" customWidth="1"/>
    <col min="11273" max="11273" width="11.7109375" style="60" customWidth="1"/>
    <col min="11274" max="11274" width="11.42578125" style="60" customWidth="1"/>
    <col min="11275" max="11275" width="11.140625" style="60" customWidth="1"/>
    <col min="11276" max="11507" width="9.140625" style="60"/>
    <col min="11508" max="11508" width="22.28515625" style="60" customWidth="1"/>
    <col min="11509" max="11510" width="12.28515625" style="60" customWidth="1"/>
    <col min="11511" max="11511" width="11.28515625" style="60" customWidth="1"/>
    <col min="11512" max="11512" width="10.7109375" style="60" customWidth="1"/>
    <col min="11513" max="11513" width="12" style="60" customWidth="1"/>
    <col min="11514" max="11514" width="10.42578125" style="60" bestFit="1" customWidth="1"/>
    <col min="11515" max="11516" width="10.42578125" style="60" customWidth="1"/>
    <col min="11517" max="11517" width="10.42578125" style="60" bestFit="1" customWidth="1"/>
    <col min="11518" max="11518" width="10.42578125" style="60" customWidth="1"/>
    <col min="11519" max="11520" width="10.42578125" style="60" bestFit="1" customWidth="1"/>
    <col min="11521" max="11521" width="29.7109375" style="60" customWidth="1"/>
    <col min="11522" max="11523" width="11.42578125" style="60" customWidth="1"/>
    <col min="11524" max="11524" width="11.28515625" style="60" bestFit="1" customWidth="1"/>
    <col min="11525" max="11525" width="11.28515625" style="60" customWidth="1"/>
    <col min="11526" max="11526" width="10.85546875" style="60" customWidth="1"/>
    <col min="11527" max="11527" width="10.7109375" style="60" customWidth="1"/>
    <col min="11528" max="11528" width="11.42578125" style="60" bestFit="1" customWidth="1"/>
    <col min="11529" max="11529" width="11.7109375" style="60" customWidth="1"/>
    <col min="11530" max="11530" width="11.42578125" style="60" customWidth="1"/>
    <col min="11531" max="11531" width="11.140625" style="60" customWidth="1"/>
    <col min="11532" max="11763" width="9.140625" style="60"/>
    <col min="11764" max="11764" width="22.28515625" style="60" customWidth="1"/>
    <col min="11765" max="11766" width="12.28515625" style="60" customWidth="1"/>
    <col min="11767" max="11767" width="11.28515625" style="60" customWidth="1"/>
    <col min="11768" max="11768" width="10.7109375" style="60" customWidth="1"/>
    <col min="11769" max="11769" width="12" style="60" customWidth="1"/>
    <col min="11770" max="11770" width="10.42578125" style="60" bestFit="1" customWidth="1"/>
    <col min="11771" max="11772" width="10.42578125" style="60" customWidth="1"/>
    <col min="11773" max="11773" width="10.42578125" style="60" bestFit="1" customWidth="1"/>
    <col min="11774" max="11774" width="10.42578125" style="60" customWidth="1"/>
    <col min="11775" max="11776" width="10.42578125" style="60" bestFit="1" customWidth="1"/>
    <col min="11777" max="11777" width="29.7109375" style="60" customWidth="1"/>
    <col min="11778" max="11779" width="11.42578125" style="60" customWidth="1"/>
    <col min="11780" max="11780" width="11.28515625" style="60" bestFit="1" customWidth="1"/>
    <col min="11781" max="11781" width="11.28515625" style="60" customWidth="1"/>
    <col min="11782" max="11782" width="10.85546875" style="60" customWidth="1"/>
    <col min="11783" max="11783" width="10.7109375" style="60" customWidth="1"/>
    <col min="11784" max="11784" width="11.42578125" style="60" bestFit="1" customWidth="1"/>
    <col min="11785" max="11785" width="11.7109375" style="60" customWidth="1"/>
    <col min="11786" max="11786" width="11.42578125" style="60" customWidth="1"/>
    <col min="11787" max="11787" width="11.140625" style="60" customWidth="1"/>
    <col min="11788" max="12019" width="9.140625" style="60"/>
    <col min="12020" max="12020" width="22.28515625" style="60" customWidth="1"/>
    <col min="12021" max="12022" width="12.28515625" style="60" customWidth="1"/>
    <col min="12023" max="12023" width="11.28515625" style="60" customWidth="1"/>
    <col min="12024" max="12024" width="10.7109375" style="60" customWidth="1"/>
    <col min="12025" max="12025" width="12" style="60" customWidth="1"/>
    <col min="12026" max="12026" width="10.42578125" style="60" bestFit="1" customWidth="1"/>
    <col min="12027" max="12028" width="10.42578125" style="60" customWidth="1"/>
    <col min="12029" max="12029" width="10.42578125" style="60" bestFit="1" customWidth="1"/>
    <col min="12030" max="12030" width="10.42578125" style="60" customWidth="1"/>
    <col min="12031" max="12032" width="10.42578125" style="60" bestFit="1" customWidth="1"/>
    <col min="12033" max="12033" width="29.7109375" style="60" customWidth="1"/>
    <col min="12034" max="12035" width="11.42578125" style="60" customWidth="1"/>
    <col min="12036" max="12036" width="11.28515625" style="60" bestFit="1" customWidth="1"/>
    <col min="12037" max="12037" width="11.28515625" style="60" customWidth="1"/>
    <col min="12038" max="12038" width="10.85546875" style="60" customWidth="1"/>
    <col min="12039" max="12039" width="10.7109375" style="60" customWidth="1"/>
    <col min="12040" max="12040" width="11.42578125" style="60" bestFit="1" customWidth="1"/>
    <col min="12041" max="12041" width="11.7109375" style="60" customWidth="1"/>
    <col min="12042" max="12042" width="11.42578125" style="60" customWidth="1"/>
    <col min="12043" max="12043" width="11.140625" style="60" customWidth="1"/>
    <col min="12044" max="12275" width="9.140625" style="60"/>
    <col min="12276" max="12276" width="22.28515625" style="60" customWidth="1"/>
    <col min="12277" max="12278" width="12.28515625" style="60" customWidth="1"/>
    <col min="12279" max="12279" width="11.28515625" style="60" customWidth="1"/>
    <col min="12280" max="12280" width="10.7109375" style="60" customWidth="1"/>
    <col min="12281" max="12281" width="12" style="60" customWidth="1"/>
    <col min="12282" max="12282" width="10.42578125" style="60" bestFit="1" customWidth="1"/>
    <col min="12283" max="12284" width="10.42578125" style="60" customWidth="1"/>
    <col min="12285" max="12285" width="10.42578125" style="60" bestFit="1" customWidth="1"/>
    <col min="12286" max="12286" width="10.42578125" style="60" customWidth="1"/>
    <col min="12287" max="12288" width="10.42578125" style="60" bestFit="1" customWidth="1"/>
    <col min="12289" max="12289" width="29.7109375" style="60" customWidth="1"/>
    <col min="12290" max="12291" width="11.42578125" style="60" customWidth="1"/>
    <col min="12292" max="12292" width="11.28515625" style="60" bestFit="1" customWidth="1"/>
    <col min="12293" max="12293" width="11.28515625" style="60" customWidth="1"/>
    <col min="12294" max="12294" width="10.85546875" style="60" customWidth="1"/>
    <col min="12295" max="12295" width="10.7109375" style="60" customWidth="1"/>
    <col min="12296" max="12296" width="11.42578125" style="60" bestFit="1" customWidth="1"/>
    <col min="12297" max="12297" width="11.7109375" style="60" customWidth="1"/>
    <col min="12298" max="12298" width="11.42578125" style="60" customWidth="1"/>
    <col min="12299" max="12299" width="11.140625" style="60" customWidth="1"/>
    <col min="12300" max="12531" width="9.140625" style="60"/>
    <col min="12532" max="12532" width="22.28515625" style="60" customWidth="1"/>
    <col min="12533" max="12534" width="12.28515625" style="60" customWidth="1"/>
    <col min="12535" max="12535" width="11.28515625" style="60" customWidth="1"/>
    <col min="12536" max="12536" width="10.7109375" style="60" customWidth="1"/>
    <col min="12537" max="12537" width="12" style="60" customWidth="1"/>
    <col min="12538" max="12538" width="10.42578125" style="60" bestFit="1" customWidth="1"/>
    <col min="12539" max="12540" width="10.42578125" style="60" customWidth="1"/>
    <col min="12541" max="12541" width="10.42578125" style="60" bestFit="1" customWidth="1"/>
    <col min="12542" max="12542" width="10.42578125" style="60" customWidth="1"/>
    <col min="12543" max="12544" width="10.42578125" style="60" bestFit="1" customWidth="1"/>
    <col min="12545" max="12545" width="29.7109375" style="60" customWidth="1"/>
    <col min="12546" max="12547" width="11.42578125" style="60" customWidth="1"/>
    <col min="12548" max="12548" width="11.28515625" style="60" bestFit="1" customWidth="1"/>
    <col min="12549" max="12549" width="11.28515625" style="60" customWidth="1"/>
    <col min="12550" max="12550" width="10.85546875" style="60" customWidth="1"/>
    <col min="12551" max="12551" width="10.7109375" style="60" customWidth="1"/>
    <col min="12552" max="12552" width="11.42578125" style="60" bestFit="1" customWidth="1"/>
    <col min="12553" max="12553" width="11.7109375" style="60" customWidth="1"/>
    <col min="12554" max="12554" width="11.42578125" style="60" customWidth="1"/>
    <col min="12555" max="12555" width="11.140625" style="60" customWidth="1"/>
    <col min="12556" max="12787" width="9.140625" style="60"/>
    <col min="12788" max="12788" width="22.28515625" style="60" customWidth="1"/>
    <col min="12789" max="12790" width="12.28515625" style="60" customWidth="1"/>
    <col min="12791" max="12791" width="11.28515625" style="60" customWidth="1"/>
    <col min="12792" max="12792" width="10.7109375" style="60" customWidth="1"/>
    <col min="12793" max="12793" width="12" style="60" customWidth="1"/>
    <col min="12794" max="12794" width="10.42578125" style="60" bestFit="1" customWidth="1"/>
    <col min="12795" max="12796" width="10.42578125" style="60" customWidth="1"/>
    <col min="12797" max="12797" width="10.42578125" style="60" bestFit="1" customWidth="1"/>
    <col min="12798" max="12798" width="10.42578125" style="60" customWidth="1"/>
    <col min="12799" max="12800" width="10.42578125" style="60" bestFit="1" customWidth="1"/>
    <col min="12801" max="12801" width="29.7109375" style="60" customWidth="1"/>
    <col min="12802" max="12803" width="11.42578125" style="60" customWidth="1"/>
    <col min="12804" max="12804" width="11.28515625" style="60" bestFit="1" customWidth="1"/>
    <col min="12805" max="12805" width="11.28515625" style="60" customWidth="1"/>
    <col min="12806" max="12806" width="10.85546875" style="60" customWidth="1"/>
    <col min="12807" max="12807" width="10.7109375" style="60" customWidth="1"/>
    <col min="12808" max="12808" width="11.42578125" style="60" bestFit="1" customWidth="1"/>
    <col min="12809" max="12809" width="11.7109375" style="60" customWidth="1"/>
    <col min="12810" max="12810" width="11.42578125" style="60" customWidth="1"/>
    <col min="12811" max="12811" width="11.140625" style="60" customWidth="1"/>
    <col min="12812" max="13043" width="9.140625" style="60"/>
    <col min="13044" max="13044" width="22.28515625" style="60" customWidth="1"/>
    <col min="13045" max="13046" width="12.28515625" style="60" customWidth="1"/>
    <col min="13047" max="13047" width="11.28515625" style="60" customWidth="1"/>
    <col min="13048" max="13048" width="10.7109375" style="60" customWidth="1"/>
    <col min="13049" max="13049" width="12" style="60" customWidth="1"/>
    <col min="13050" max="13050" width="10.42578125" style="60" bestFit="1" customWidth="1"/>
    <col min="13051" max="13052" width="10.42578125" style="60" customWidth="1"/>
    <col min="13053" max="13053" width="10.42578125" style="60" bestFit="1" customWidth="1"/>
    <col min="13054" max="13054" width="10.42578125" style="60" customWidth="1"/>
    <col min="13055" max="13056" width="10.42578125" style="60" bestFit="1" customWidth="1"/>
    <col min="13057" max="13057" width="29.7109375" style="60" customWidth="1"/>
    <col min="13058" max="13059" width="11.42578125" style="60" customWidth="1"/>
    <col min="13060" max="13060" width="11.28515625" style="60" bestFit="1" customWidth="1"/>
    <col min="13061" max="13061" width="11.28515625" style="60" customWidth="1"/>
    <col min="13062" max="13062" width="10.85546875" style="60" customWidth="1"/>
    <col min="13063" max="13063" width="10.7109375" style="60" customWidth="1"/>
    <col min="13064" max="13064" width="11.42578125" style="60" bestFit="1" customWidth="1"/>
    <col min="13065" max="13065" width="11.7109375" style="60" customWidth="1"/>
    <col min="13066" max="13066" width="11.42578125" style="60" customWidth="1"/>
    <col min="13067" max="13067" width="11.140625" style="60" customWidth="1"/>
    <col min="13068" max="13299" width="9.140625" style="60"/>
    <col min="13300" max="13300" width="22.28515625" style="60" customWidth="1"/>
    <col min="13301" max="13302" width="12.28515625" style="60" customWidth="1"/>
    <col min="13303" max="13303" width="11.28515625" style="60" customWidth="1"/>
    <col min="13304" max="13304" width="10.7109375" style="60" customWidth="1"/>
    <col min="13305" max="13305" width="12" style="60" customWidth="1"/>
    <col min="13306" max="13306" width="10.42578125" style="60" bestFit="1" customWidth="1"/>
    <col min="13307" max="13308" width="10.42578125" style="60" customWidth="1"/>
    <col min="13309" max="13309" width="10.42578125" style="60" bestFit="1" customWidth="1"/>
    <col min="13310" max="13310" width="10.42578125" style="60" customWidth="1"/>
    <col min="13311" max="13312" width="10.42578125" style="60" bestFit="1" customWidth="1"/>
    <col min="13313" max="13313" width="29.7109375" style="60" customWidth="1"/>
    <col min="13314" max="13315" width="11.42578125" style="60" customWidth="1"/>
    <col min="13316" max="13316" width="11.28515625" style="60" bestFit="1" customWidth="1"/>
    <col min="13317" max="13317" width="11.28515625" style="60" customWidth="1"/>
    <col min="13318" max="13318" width="10.85546875" style="60" customWidth="1"/>
    <col min="13319" max="13319" width="10.7109375" style="60" customWidth="1"/>
    <col min="13320" max="13320" width="11.42578125" style="60" bestFit="1" customWidth="1"/>
    <col min="13321" max="13321" width="11.7109375" style="60" customWidth="1"/>
    <col min="13322" max="13322" width="11.42578125" style="60" customWidth="1"/>
    <col min="13323" max="13323" width="11.140625" style="60" customWidth="1"/>
    <col min="13324" max="13555" width="9.140625" style="60"/>
    <col min="13556" max="13556" width="22.28515625" style="60" customWidth="1"/>
    <col min="13557" max="13558" width="12.28515625" style="60" customWidth="1"/>
    <col min="13559" max="13559" width="11.28515625" style="60" customWidth="1"/>
    <col min="13560" max="13560" width="10.7109375" style="60" customWidth="1"/>
    <col min="13561" max="13561" width="12" style="60" customWidth="1"/>
    <col min="13562" max="13562" width="10.42578125" style="60" bestFit="1" customWidth="1"/>
    <col min="13563" max="13564" width="10.42578125" style="60" customWidth="1"/>
    <col min="13565" max="13565" width="10.42578125" style="60" bestFit="1" customWidth="1"/>
    <col min="13566" max="13566" width="10.42578125" style="60" customWidth="1"/>
    <col min="13567" max="13568" width="10.42578125" style="60" bestFit="1" customWidth="1"/>
    <col min="13569" max="13569" width="29.7109375" style="60" customWidth="1"/>
    <col min="13570" max="13571" width="11.42578125" style="60" customWidth="1"/>
    <col min="13572" max="13572" width="11.28515625" style="60" bestFit="1" customWidth="1"/>
    <col min="13573" max="13573" width="11.28515625" style="60" customWidth="1"/>
    <col min="13574" max="13574" width="10.85546875" style="60" customWidth="1"/>
    <col min="13575" max="13575" width="10.7109375" style="60" customWidth="1"/>
    <col min="13576" max="13576" width="11.42578125" style="60" bestFit="1" customWidth="1"/>
    <col min="13577" max="13577" width="11.7109375" style="60" customWidth="1"/>
    <col min="13578" max="13578" width="11.42578125" style="60" customWidth="1"/>
    <col min="13579" max="13579" width="11.140625" style="60" customWidth="1"/>
    <col min="13580" max="13811" width="9.140625" style="60"/>
    <col min="13812" max="13812" width="22.28515625" style="60" customWidth="1"/>
    <col min="13813" max="13814" width="12.28515625" style="60" customWidth="1"/>
    <col min="13815" max="13815" width="11.28515625" style="60" customWidth="1"/>
    <col min="13816" max="13816" width="10.7109375" style="60" customWidth="1"/>
    <col min="13817" max="13817" width="12" style="60" customWidth="1"/>
    <col min="13818" max="13818" width="10.42578125" style="60" bestFit="1" customWidth="1"/>
    <col min="13819" max="13820" width="10.42578125" style="60" customWidth="1"/>
    <col min="13821" max="13821" width="10.42578125" style="60" bestFit="1" customWidth="1"/>
    <col min="13822" max="13822" width="10.42578125" style="60" customWidth="1"/>
    <col min="13823" max="13824" width="10.42578125" style="60" bestFit="1" customWidth="1"/>
    <col min="13825" max="13825" width="29.7109375" style="60" customWidth="1"/>
    <col min="13826" max="13827" width="11.42578125" style="60" customWidth="1"/>
    <col min="13828" max="13828" width="11.28515625" style="60" bestFit="1" customWidth="1"/>
    <col min="13829" max="13829" width="11.28515625" style="60" customWidth="1"/>
    <col min="13830" max="13830" width="10.85546875" style="60" customWidth="1"/>
    <col min="13831" max="13831" width="10.7109375" style="60" customWidth="1"/>
    <col min="13832" max="13832" width="11.42578125" style="60" bestFit="1" customWidth="1"/>
    <col min="13833" max="13833" width="11.7109375" style="60" customWidth="1"/>
    <col min="13834" max="13834" width="11.42578125" style="60" customWidth="1"/>
    <col min="13835" max="13835" width="11.140625" style="60" customWidth="1"/>
    <col min="13836" max="14067" width="9.140625" style="60"/>
    <col min="14068" max="14068" width="22.28515625" style="60" customWidth="1"/>
    <col min="14069" max="14070" width="12.28515625" style="60" customWidth="1"/>
    <col min="14071" max="14071" width="11.28515625" style="60" customWidth="1"/>
    <col min="14072" max="14072" width="10.7109375" style="60" customWidth="1"/>
    <col min="14073" max="14073" width="12" style="60" customWidth="1"/>
    <col min="14074" max="14074" width="10.42578125" style="60" bestFit="1" customWidth="1"/>
    <col min="14075" max="14076" width="10.42578125" style="60" customWidth="1"/>
    <col min="14077" max="14077" width="10.42578125" style="60" bestFit="1" customWidth="1"/>
    <col min="14078" max="14078" width="10.42578125" style="60" customWidth="1"/>
    <col min="14079" max="14080" width="10.42578125" style="60" bestFit="1" customWidth="1"/>
    <col min="14081" max="14081" width="29.7109375" style="60" customWidth="1"/>
    <col min="14082" max="14083" width="11.42578125" style="60" customWidth="1"/>
    <col min="14084" max="14084" width="11.28515625" style="60" bestFit="1" customWidth="1"/>
    <col min="14085" max="14085" width="11.28515625" style="60" customWidth="1"/>
    <col min="14086" max="14086" width="10.85546875" style="60" customWidth="1"/>
    <col min="14087" max="14087" width="10.7109375" style="60" customWidth="1"/>
    <col min="14088" max="14088" width="11.42578125" style="60" bestFit="1" customWidth="1"/>
    <col min="14089" max="14089" width="11.7109375" style="60" customWidth="1"/>
    <col min="14090" max="14090" width="11.42578125" style="60" customWidth="1"/>
    <col min="14091" max="14091" width="11.140625" style="60" customWidth="1"/>
    <col min="14092" max="14323" width="9.140625" style="60"/>
    <col min="14324" max="14324" width="22.28515625" style="60" customWidth="1"/>
    <col min="14325" max="14326" width="12.28515625" style="60" customWidth="1"/>
    <col min="14327" max="14327" width="11.28515625" style="60" customWidth="1"/>
    <col min="14328" max="14328" width="10.7109375" style="60" customWidth="1"/>
    <col min="14329" max="14329" width="12" style="60" customWidth="1"/>
    <col min="14330" max="14330" width="10.42578125" style="60" bestFit="1" customWidth="1"/>
    <col min="14331" max="14332" width="10.42578125" style="60" customWidth="1"/>
    <col min="14333" max="14333" width="10.42578125" style="60" bestFit="1" customWidth="1"/>
    <col min="14334" max="14334" width="10.42578125" style="60" customWidth="1"/>
    <col min="14335" max="14336" width="10.42578125" style="60" bestFit="1" customWidth="1"/>
    <col min="14337" max="14337" width="29.7109375" style="60" customWidth="1"/>
    <col min="14338" max="14339" width="11.42578125" style="60" customWidth="1"/>
    <col min="14340" max="14340" width="11.28515625" style="60" bestFit="1" customWidth="1"/>
    <col min="14341" max="14341" width="11.28515625" style="60" customWidth="1"/>
    <col min="14342" max="14342" width="10.85546875" style="60" customWidth="1"/>
    <col min="14343" max="14343" width="10.7109375" style="60" customWidth="1"/>
    <col min="14344" max="14344" width="11.42578125" style="60" bestFit="1" customWidth="1"/>
    <col min="14345" max="14345" width="11.7109375" style="60" customWidth="1"/>
    <col min="14346" max="14346" width="11.42578125" style="60" customWidth="1"/>
    <col min="14347" max="14347" width="11.140625" style="60" customWidth="1"/>
    <col min="14348" max="14579" width="9.140625" style="60"/>
    <col min="14580" max="14580" width="22.28515625" style="60" customWidth="1"/>
    <col min="14581" max="14582" width="12.28515625" style="60" customWidth="1"/>
    <col min="14583" max="14583" width="11.28515625" style="60" customWidth="1"/>
    <col min="14584" max="14584" width="10.7109375" style="60" customWidth="1"/>
    <col min="14585" max="14585" width="12" style="60" customWidth="1"/>
    <col min="14586" max="14586" width="10.42578125" style="60" bestFit="1" customWidth="1"/>
    <col min="14587" max="14588" width="10.42578125" style="60" customWidth="1"/>
    <col min="14589" max="14589" width="10.42578125" style="60" bestFit="1" customWidth="1"/>
    <col min="14590" max="14590" width="10.42578125" style="60" customWidth="1"/>
    <col min="14591" max="14592" width="10.42578125" style="60" bestFit="1" customWidth="1"/>
    <col min="14593" max="14593" width="29.7109375" style="60" customWidth="1"/>
    <col min="14594" max="14595" width="11.42578125" style="60" customWidth="1"/>
    <col min="14596" max="14596" width="11.28515625" style="60" bestFit="1" customWidth="1"/>
    <col min="14597" max="14597" width="11.28515625" style="60" customWidth="1"/>
    <col min="14598" max="14598" width="10.85546875" style="60" customWidth="1"/>
    <col min="14599" max="14599" width="10.7109375" style="60" customWidth="1"/>
    <col min="14600" max="14600" width="11.42578125" style="60" bestFit="1" customWidth="1"/>
    <col min="14601" max="14601" width="11.7109375" style="60" customWidth="1"/>
    <col min="14602" max="14602" width="11.42578125" style="60" customWidth="1"/>
    <col min="14603" max="14603" width="11.140625" style="60" customWidth="1"/>
    <col min="14604" max="14835" width="9.140625" style="60"/>
    <col min="14836" max="14836" width="22.28515625" style="60" customWidth="1"/>
    <col min="14837" max="14838" width="12.28515625" style="60" customWidth="1"/>
    <col min="14839" max="14839" width="11.28515625" style="60" customWidth="1"/>
    <col min="14840" max="14840" width="10.7109375" style="60" customWidth="1"/>
    <col min="14841" max="14841" width="12" style="60" customWidth="1"/>
    <col min="14842" max="14842" width="10.42578125" style="60" bestFit="1" customWidth="1"/>
    <col min="14843" max="14844" width="10.42578125" style="60" customWidth="1"/>
    <col min="14845" max="14845" width="10.42578125" style="60" bestFit="1" customWidth="1"/>
    <col min="14846" max="14846" width="10.42578125" style="60" customWidth="1"/>
    <col min="14847" max="14848" width="10.42578125" style="60" bestFit="1" customWidth="1"/>
    <col min="14849" max="14849" width="29.7109375" style="60" customWidth="1"/>
    <col min="14850" max="14851" width="11.42578125" style="60" customWidth="1"/>
    <col min="14852" max="14852" width="11.28515625" style="60" bestFit="1" customWidth="1"/>
    <col min="14853" max="14853" width="11.28515625" style="60" customWidth="1"/>
    <col min="14854" max="14854" width="10.85546875" style="60" customWidth="1"/>
    <col min="14855" max="14855" width="10.7109375" style="60" customWidth="1"/>
    <col min="14856" max="14856" width="11.42578125" style="60" bestFit="1" customWidth="1"/>
    <col min="14857" max="14857" width="11.7109375" style="60" customWidth="1"/>
    <col min="14858" max="14858" width="11.42578125" style="60" customWidth="1"/>
    <col min="14859" max="14859" width="11.140625" style="60" customWidth="1"/>
    <col min="14860" max="15091" width="9.140625" style="60"/>
    <col min="15092" max="15092" width="22.28515625" style="60" customWidth="1"/>
    <col min="15093" max="15094" width="12.28515625" style="60" customWidth="1"/>
    <col min="15095" max="15095" width="11.28515625" style="60" customWidth="1"/>
    <col min="15096" max="15096" width="10.7109375" style="60" customWidth="1"/>
    <col min="15097" max="15097" width="12" style="60" customWidth="1"/>
    <col min="15098" max="15098" width="10.42578125" style="60" bestFit="1" customWidth="1"/>
    <col min="15099" max="15100" width="10.42578125" style="60" customWidth="1"/>
    <col min="15101" max="15101" width="10.42578125" style="60" bestFit="1" customWidth="1"/>
    <col min="15102" max="15102" width="10.42578125" style="60" customWidth="1"/>
    <col min="15103" max="15104" width="10.42578125" style="60" bestFit="1" customWidth="1"/>
    <col min="15105" max="15105" width="29.7109375" style="60" customWidth="1"/>
    <col min="15106" max="15107" width="11.42578125" style="60" customWidth="1"/>
    <col min="15108" max="15108" width="11.28515625" style="60" bestFit="1" customWidth="1"/>
    <col min="15109" max="15109" width="11.28515625" style="60" customWidth="1"/>
    <col min="15110" max="15110" width="10.85546875" style="60" customWidth="1"/>
    <col min="15111" max="15111" width="10.7109375" style="60" customWidth="1"/>
    <col min="15112" max="15112" width="11.42578125" style="60" bestFit="1" customWidth="1"/>
    <col min="15113" max="15113" width="11.7109375" style="60" customWidth="1"/>
    <col min="15114" max="15114" width="11.42578125" style="60" customWidth="1"/>
    <col min="15115" max="15115" width="11.140625" style="60" customWidth="1"/>
    <col min="15116" max="15347" width="9.140625" style="60"/>
    <col min="15348" max="15348" width="22.28515625" style="60" customWidth="1"/>
    <col min="15349" max="15350" width="12.28515625" style="60" customWidth="1"/>
    <col min="15351" max="15351" width="11.28515625" style="60" customWidth="1"/>
    <col min="15352" max="15352" width="10.7109375" style="60" customWidth="1"/>
    <col min="15353" max="15353" width="12" style="60" customWidth="1"/>
    <col min="15354" max="15354" width="10.42578125" style="60" bestFit="1" customWidth="1"/>
    <col min="15355" max="15356" width="10.42578125" style="60" customWidth="1"/>
    <col min="15357" max="15357" width="10.42578125" style="60" bestFit="1" customWidth="1"/>
    <col min="15358" max="15358" width="10.42578125" style="60" customWidth="1"/>
    <col min="15359" max="15360" width="10.42578125" style="60" bestFit="1" customWidth="1"/>
    <col min="15361" max="15361" width="29.7109375" style="60" customWidth="1"/>
    <col min="15362" max="15363" width="11.42578125" style="60" customWidth="1"/>
    <col min="15364" max="15364" width="11.28515625" style="60" bestFit="1" customWidth="1"/>
    <col min="15365" max="15365" width="11.28515625" style="60" customWidth="1"/>
    <col min="15366" max="15366" width="10.85546875" style="60" customWidth="1"/>
    <col min="15367" max="15367" width="10.7109375" style="60" customWidth="1"/>
    <col min="15368" max="15368" width="11.42578125" style="60" bestFit="1" customWidth="1"/>
    <col min="15369" max="15369" width="11.7109375" style="60" customWidth="1"/>
    <col min="15370" max="15370" width="11.42578125" style="60" customWidth="1"/>
    <col min="15371" max="15371" width="11.140625" style="60" customWidth="1"/>
    <col min="15372" max="15603" width="9.140625" style="60"/>
    <col min="15604" max="15604" width="22.28515625" style="60" customWidth="1"/>
    <col min="15605" max="15606" width="12.28515625" style="60" customWidth="1"/>
    <col min="15607" max="15607" width="11.28515625" style="60" customWidth="1"/>
    <col min="15608" max="15608" width="10.7109375" style="60" customWidth="1"/>
    <col min="15609" max="15609" width="12" style="60" customWidth="1"/>
    <col min="15610" max="15610" width="10.42578125" style="60" bestFit="1" customWidth="1"/>
    <col min="15611" max="15612" width="10.42578125" style="60" customWidth="1"/>
    <col min="15613" max="15613" width="10.42578125" style="60" bestFit="1" customWidth="1"/>
    <col min="15614" max="15614" width="10.42578125" style="60" customWidth="1"/>
    <col min="15615" max="15616" width="10.42578125" style="60" bestFit="1" customWidth="1"/>
    <col min="15617" max="15617" width="29.7109375" style="60" customWidth="1"/>
    <col min="15618" max="15619" width="11.42578125" style="60" customWidth="1"/>
    <col min="15620" max="15620" width="11.28515625" style="60" bestFit="1" customWidth="1"/>
    <col min="15621" max="15621" width="11.28515625" style="60" customWidth="1"/>
    <col min="15622" max="15622" width="10.85546875" style="60" customWidth="1"/>
    <col min="15623" max="15623" width="10.7109375" style="60" customWidth="1"/>
    <col min="15624" max="15624" width="11.42578125" style="60" bestFit="1" customWidth="1"/>
    <col min="15625" max="15625" width="11.7109375" style="60" customWidth="1"/>
    <col min="15626" max="15626" width="11.42578125" style="60" customWidth="1"/>
    <col min="15627" max="15627" width="11.140625" style="60" customWidth="1"/>
    <col min="15628" max="15859" width="9.140625" style="60"/>
    <col min="15860" max="15860" width="22.28515625" style="60" customWidth="1"/>
    <col min="15861" max="15862" width="12.28515625" style="60" customWidth="1"/>
    <col min="15863" max="15863" width="11.28515625" style="60" customWidth="1"/>
    <col min="15864" max="15864" width="10.7109375" style="60" customWidth="1"/>
    <col min="15865" max="15865" width="12" style="60" customWidth="1"/>
    <col min="15866" max="15866" width="10.42578125" style="60" bestFit="1" customWidth="1"/>
    <col min="15867" max="15868" width="10.42578125" style="60" customWidth="1"/>
    <col min="15869" max="15869" width="10.42578125" style="60" bestFit="1" customWidth="1"/>
    <col min="15870" max="15870" width="10.42578125" style="60" customWidth="1"/>
    <col min="15871" max="15872" width="10.42578125" style="60" bestFit="1" customWidth="1"/>
    <col min="15873" max="15873" width="29.7109375" style="60" customWidth="1"/>
    <col min="15874" max="15875" width="11.42578125" style="60" customWidth="1"/>
    <col min="15876" max="15876" width="11.28515625" style="60" bestFit="1" customWidth="1"/>
    <col min="15877" max="15877" width="11.28515625" style="60" customWidth="1"/>
    <col min="15878" max="15878" width="10.85546875" style="60" customWidth="1"/>
    <col min="15879" max="15879" width="10.7109375" style="60" customWidth="1"/>
    <col min="15880" max="15880" width="11.42578125" style="60" bestFit="1" customWidth="1"/>
    <col min="15881" max="15881" width="11.7109375" style="60" customWidth="1"/>
    <col min="15882" max="15882" width="11.42578125" style="60" customWidth="1"/>
    <col min="15883" max="15883" width="11.140625" style="60" customWidth="1"/>
    <col min="15884" max="16115" width="9.140625" style="60"/>
    <col min="16116" max="16116" width="22.28515625" style="60" customWidth="1"/>
    <col min="16117" max="16118" width="12.28515625" style="60" customWidth="1"/>
    <col min="16119" max="16119" width="11.28515625" style="60" customWidth="1"/>
    <col min="16120" max="16120" width="10.7109375" style="60" customWidth="1"/>
    <col min="16121" max="16121" width="12" style="60" customWidth="1"/>
    <col min="16122" max="16122" width="10.42578125" style="60" bestFit="1" customWidth="1"/>
    <col min="16123" max="16124" width="10.42578125" style="60" customWidth="1"/>
    <col min="16125" max="16125" width="10.42578125" style="60" bestFit="1" customWidth="1"/>
    <col min="16126" max="16126" width="10.42578125" style="60" customWidth="1"/>
    <col min="16127" max="16128" width="10.42578125" style="60" bestFit="1" customWidth="1"/>
    <col min="16129" max="16129" width="29.7109375" style="60" customWidth="1"/>
    <col min="16130" max="16131" width="11.42578125" style="60" customWidth="1"/>
    <col min="16132" max="16132" width="11.28515625" style="60" bestFit="1" customWidth="1"/>
    <col min="16133" max="16133" width="11.28515625" style="60" customWidth="1"/>
    <col min="16134" max="16134" width="10.85546875" style="60" customWidth="1"/>
    <col min="16135" max="16135" width="10.7109375" style="60" customWidth="1"/>
    <col min="16136" max="16136" width="11.42578125" style="60" bestFit="1" customWidth="1"/>
    <col min="16137" max="16137" width="11.7109375" style="60" customWidth="1"/>
    <col min="16138" max="16138" width="11.42578125" style="60" customWidth="1"/>
    <col min="16139" max="16139" width="11.140625" style="60" customWidth="1"/>
    <col min="16140" max="16384" width="9.140625" style="60"/>
  </cols>
  <sheetData>
    <row r="1" spans="1:13">
      <c r="A1" s="517" t="s">
        <v>240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</row>
    <row r="2" spans="1:13" ht="15.75" thickBo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5.75" thickBot="1">
      <c r="F3" s="63"/>
      <c r="G3" s="64"/>
      <c r="H3" s="65" t="s">
        <v>53</v>
      </c>
      <c r="I3" s="347" t="s">
        <v>241</v>
      </c>
      <c r="J3" s="347" t="s">
        <v>45</v>
      </c>
    </row>
    <row r="4" spans="1:13" s="66" customFormat="1">
      <c r="A4" s="518" t="s">
        <v>43</v>
      </c>
      <c r="B4" s="29" t="s">
        <v>44</v>
      </c>
      <c r="C4" s="30" t="s">
        <v>241</v>
      </c>
      <c r="D4" s="30" t="s">
        <v>45</v>
      </c>
      <c r="F4" s="67"/>
      <c r="G4" s="68"/>
      <c r="H4" s="69" t="s">
        <v>54</v>
      </c>
      <c r="I4" s="348">
        <f>C7-C6</f>
        <v>341.44370243531205</v>
      </c>
      <c r="J4" s="349">
        <f>D7-D6</f>
        <v>11.23</v>
      </c>
    </row>
    <row r="5" spans="1:13" s="66" customFormat="1" ht="15.75" thickBot="1">
      <c r="A5" s="519"/>
      <c r="B5" s="31" t="s">
        <v>47</v>
      </c>
      <c r="C5" s="32" t="s">
        <v>48</v>
      </c>
      <c r="D5" s="32" t="s">
        <v>48</v>
      </c>
      <c r="F5" s="70"/>
      <c r="G5" s="71"/>
      <c r="H5" s="72" t="s">
        <v>55</v>
      </c>
      <c r="I5" s="350">
        <f>C8-C6</f>
        <v>537.13377267573708</v>
      </c>
      <c r="J5" s="351">
        <f>D8-D6</f>
        <v>17.66</v>
      </c>
    </row>
    <row r="6" spans="1:13" s="66" customFormat="1">
      <c r="A6" s="73" t="s">
        <v>49</v>
      </c>
      <c r="B6" s="151">
        <f>C66</f>
        <v>11374.854166666666</v>
      </c>
      <c r="C6" s="345">
        <f>B6/12</f>
        <v>947.9045138888888</v>
      </c>
      <c r="D6" s="37">
        <f>ROUND(B6/365,2)</f>
        <v>31.16</v>
      </c>
      <c r="F6" s="70"/>
      <c r="G6" s="71"/>
      <c r="H6" s="72" t="s">
        <v>56</v>
      </c>
      <c r="I6" s="350">
        <f>C9-C6</f>
        <v>947.92881944444446</v>
      </c>
      <c r="J6" s="351">
        <f>D9-D6</f>
        <v>31.169999999999998</v>
      </c>
    </row>
    <row r="7" spans="1:13" s="66" customFormat="1">
      <c r="A7" s="74" t="s">
        <v>50</v>
      </c>
      <c r="B7" s="150">
        <f>D66</f>
        <v>15472.178595890411</v>
      </c>
      <c r="C7" s="345">
        <f>B7/12</f>
        <v>1289.3482163242008</v>
      </c>
      <c r="D7" s="37">
        <f>ROUND(B7/365,2)</f>
        <v>42.39</v>
      </c>
      <c r="F7" s="70"/>
      <c r="G7" s="71"/>
      <c r="H7" s="72" t="s">
        <v>57</v>
      </c>
      <c r="I7" s="350">
        <f>C8-C7</f>
        <v>195.69007024042503</v>
      </c>
      <c r="J7" s="351">
        <f>D8-D7</f>
        <v>6.43</v>
      </c>
    </row>
    <row r="8" spans="1:13" s="66" customFormat="1">
      <c r="A8" s="74" t="s">
        <v>51</v>
      </c>
      <c r="B8" s="150">
        <f>F66</f>
        <v>17820.45943877551</v>
      </c>
      <c r="C8" s="345">
        <f>B8/12</f>
        <v>1485.0382865646259</v>
      </c>
      <c r="D8" s="37">
        <f>ROUND(B8/365,2)</f>
        <v>48.82</v>
      </c>
      <c r="F8" s="70"/>
      <c r="G8" s="71"/>
      <c r="H8" s="72" t="s">
        <v>58</v>
      </c>
      <c r="I8" s="350">
        <f>C9-C7</f>
        <v>606.48511700913241</v>
      </c>
      <c r="J8" s="351">
        <f>D9-D7</f>
        <v>19.939999999999998</v>
      </c>
    </row>
    <row r="9" spans="1:13" s="66" customFormat="1" ht="15.75" thickBot="1">
      <c r="A9" s="75" t="s">
        <v>52</v>
      </c>
      <c r="B9" s="40">
        <f>J66</f>
        <v>22750</v>
      </c>
      <c r="C9" s="346">
        <f>B9/12</f>
        <v>1895.8333333333333</v>
      </c>
      <c r="D9" s="37">
        <f>ROUND(B9/365,2)</f>
        <v>62.33</v>
      </c>
      <c r="F9" s="76"/>
      <c r="G9" s="77"/>
      <c r="H9" s="78" t="s">
        <v>59</v>
      </c>
      <c r="I9" s="352">
        <f>C9-C8</f>
        <v>410.79504676870738</v>
      </c>
      <c r="J9" s="353">
        <f>D9-D8</f>
        <v>13.509999999999998</v>
      </c>
    </row>
    <row r="10" spans="1:13" ht="15.75" thickBot="1"/>
    <row r="11" spans="1:13">
      <c r="A11" s="79"/>
      <c r="B11" s="80"/>
      <c r="C11" s="520" t="s">
        <v>242</v>
      </c>
      <c r="D11" s="521"/>
      <c r="E11" s="521"/>
      <c r="F11" s="521"/>
      <c r="G11" s="521"/>
      <c r="H11" s="521"/>
      <c r="I11" s="521"/>
      <c r="J11" s="521"/>
      <c r="K11" s="521"/>
      <c r="L11" s="521"/>
      <c r="M11" s="522"/>
    </row>
    <row r="12" spans="1:13">
      <c r="A12" s="81"/>
      <c r="B12" s="82"/>
      <c r="C12" s="523" t="s">
        <v>243</v>
      </c>
      <c r="D12" s="524"/>
      <c r="E12" s="524"/>
      <c r="F12" s="524"/>
      <c r="G12" s="524"/>
      <c r="H12" s="524"/>
      <c r="I12" s="525"/>
      <c r="J12" s="523" t="s">
        <v>244</v>
      </c>
      <c r="K12" s="524"/>
      <c r="L12" s="524"/>
      <c r="M12" s="526"/>
    </row>
    <row r="13" spans="1:13">
      <c r="A13" s="83" t="s">
        <v>245</v>
      </c>
      <c r="B13" s="82"/>
      <c r="C13" s="84">
        <f t="shared" ref="C13:M13" si="0">C14*365</f>
        <v>365</v>
      </c>
      <c r="D13" s="84">
        <f t="shared" si="0"/>
        <v>730</v>
      </c>
      <c r="E13" s="84">
        <f t="shared" si="0"/>
        <v>1095</v>
      </c>
      <c r="F13" s="84">
        <f t="shared" si="0"/>
        <v>1460</v>
      </c>
      <c r="G13" s="84">
        <f t="shared" si="0"/>
        <v>1825</v>
      </c>
      <c r="H13" s="84">
        <f t="shared" si="0"/>
        <v>2190</v>
      </c>
      <c r="I13" s="84">
        <f t="shared" si="0"/>
        <v>2555</v>
      </c>
      <c r="J13" s="84">
        <f t="shared" si="0"/>
        <v>730</v>
      </c>
      <c r="K13" s="84">
        <f t="shared" si="0"/>
        <v>1095</v>
      </c>
      <c r="L13" s="84">
        <f t="shared" si="0"/>
        <v>1460</v>
      </c>
      <c r="M13" s="84">
        <f t="shared" si="0"/>
        <v>1825</v>
      </c>
    </row>
    <row r="14" spans="1:13" ht="15.75" thickBot="1">
      <c r="A14" s="85" t="s">
        <v>246</v>
      </c>
      <c r="B14" s="86"/>
      <c r="C14" s="87">
        <v>1</v>
      </c>
      <c r="D14" s="88" t="s">
        <v>247</v>
      </c>
      <c r="E14" s="88" t="s">
        <v>248</v>
      </c>
      <c r="F14" s="87">
        <v>4</v>
      </c>
      <c r="G14" s="87">
        <v>5</v>
      </c>
      <c r="H14" s="89" t="s">
        <v>249</v>
      </c>
      <c r="I14" s="89" t="s">
        <v>250</v>
      </c>
      <c r="J14" s="88" t="s">
        <v>247</v>
      </c>
      <c r="K14" s="88" t="s">
        <v>248</v>
      </c>
      <c r="L14" s="87">
        <v>4</v>
      </c>
      <c r="M14" s="90" t="s">
        <v>251</v>
      </c>
    </row>
    <row r="15" spans="1:13" ht="16.5" thickTop="1" thickBot="1">
      <c r="A15" s="91" t="s">
        <v>252</v>
      </c>
      <c r="B15" s="92"/>
      <c r="C15" s="93">
        <v>1</v>
      </c>
      <c r="D15" s="93">
        <v>1</v>
      </c>
      <c r="E15" s="93">
        <v>1</v>
      </c>
      <c r="F15" s="93">
        <v>1</v>
      </c>
      <c r="G15" s="93">
        <v>1</v>
      </c>
      <c r="H15" s="93">
        <v>1</v>
      </c>
      <c r="I15" s="93">
        <v>1</v>
      </c>
      <c r="J15" s="93">
        <v>1</v>
      </c>
      <c r="K15" s="93">
        <v>1</v>
      </c>
      <c r="L15" s="93">
        <v>1</v>
      </c>
      <c r="M15" s="94">
        <v>2</v>
      </c>
    </row>
    <row r="16" spans="1:13" ht="16.5" thickTop="1" thickBot="1">
      <c r="A16" s="95" t="s">
        <v>239</v>
      </c>
      <c r="B16" s="96"/>
      <c r="C16" s="97" t="s">
        <v>49</v>
      </c>
      <c r="D16" s="97" t="s">
        <v>50</v>
      </c>
      <c r="E16" s="97" t="s">
        <v>50</v>
      </c>
      <c r="F16" s="98" t="s">
        <v>51</v>
      </c>
      <c r="G16" s="98" t="s">
        <v>51</v>
      </c>
      <c r="H16" s="98" t="s">
        <v>51</v>
      </c>
      <c r="I16" s="98" t="s">
        <v>51</v>
      </c>
      <c r="J16" s="97" t="s">
        <v>253</v>
      </c>
      <c r="K16" s="97" t="s">
        <v>253</v>
      </c>
      <c r="L16" s="98" t="s">
        <v>253</v>
      </c>
      <c r="M16" s="99" t="s">
        <v>253</v>
      </c>
    </row>
    <row r="17" spans="1:13">
      <c r="D17" s="100"/>
      <c r="E17" s="101"/>
      <c r="F17" s="101"/>
      <c r="G17" s="102"/>
      <c r="H17" s="101"/>
      <c r="I17" s="101"/>
      <c r="J17" s="100"/>
      <c r="K17" s="101"/>
      <c r="L17" s="101"/>
      <c r="M17" s="102"/>
    </row>
    <row r="18" spans="1:13">
      <c r="A18" s="103" t="s">
        <v>254</v>
      </c>
      <c r="B18" s="104"/>
      <c r="C18" s="105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>
      <c r="A19" s="107" t="s">
        <v>49</v>
      </c>
      <c r="B19" s="108">
        <v>19418.75</v>
      </c>
      <c r="C19" s="109"/>
      <c r="D19" s="110"/>
      <c r="E19" s="110"/>
      <c r="F19" s="110"/>
      <c r="G19" s="110"/>
      <c r="H19" s="110"/>
      <c r="I19" s="110"/>
      <c r="J19" s="110"/>
      <c r="K19" s="110"/>
      <c r="L19" s="110"/>
      <c r="M19" s="110"/>
    </row>
    <row r="20" spans="1:13">
      <c r="A20" s="107" t="s">
        <v>50</v>
      </c>
      <c r="B20" s="108">
        <v>28433.75</v>
      </c>
      <c r="C20" s="111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3">
      <c r="A21" s="107" t="s">
        <v>51</v>
      </c>
      <c r="B21" s="108">
        <v>33191.25</v>
      </c>
      <c r="C21" s="111"/>
      <c r="D21" s="110"/>
      <c r="E21" s="110"/>
      <c r="F21" s="110"/>
      <c r="G21" s="110"/>
      <c r="H21" s="110"/>
      <c r="I21" s="110"/>
      <c r="J21" s="110"/>
      <c r="K21" s="110"/>
      <c r="L21" s="110"/>
      <c r="M21" s="110"/>
    </row>
    <row r="22" spans="1:13">
      <c r="A22" s="100" t="s">
        <v>52</v>
      </c>
      <c r="B22" s="108">
        <v>45000</v>
      </c>
      <c r="C22" s="111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3">
      <c r="A23" s="103" t="s">
        <v>255</v>
      </c>
      <c r="B23" s="112">
        <v>4</v>
      </c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0"/>
    </row>
    <row r="24" spans="1:13">
      <c r="A24" s="107" t="s">
        <v>49</v>
      </c>
      <c r="B24" s="108">
        <v>4854.6875</v>
      </c>
      <c r="C24" s="111">
        <f>B24</f>
        <v>4854.6875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</row>
    <row r="25" spans="1:13">
      <c r="A25" s="107" t="s">
        <v>50</v>
      </c>
      <c r="B25" s="108">
        <v>7108.4375</v>
      </c>
      <c r="C25" s="111"/>
      <c r="D25" s="113">
        <f>B25*$F$15</f>
        <v>7108.4375</v>
      </c>
      <c r="E25" s="113">
        <f>B25*E15</f>
        <v>7108.4375</v>
      </c>
      <c r="F25" s="110"/>
      <c r="G25" s="110"/>
      <c r="H25" s="110"/>
      <c r="I25" s="110"/>
      <c r="J25" s="110"/>
      <c r="K25" s="110"/>
      <c r="L25" s="110"/>
      <c r="M25" s="110"/>
    </row>
    <row r="26" spans="1:13" ht="13.5" customHeight="1">
      <c r="A26" s="107" t="s">
        <v>51</v>
      </c>
      <c r="B26" s="108">
        <v>8297.8125</v>
      </c>
      <c r="C26" s="111"/>
      <c r="D26" s="110"/>
      <c r="E26" s="110"/>
      <c r="F26" s="113">
        <f>B26*$F$15</f>
        <v>8297.8125</v>
      </c>
      <c r="G26" s="113">
        <f>B26*$G$15</f>
        <v>8297.8125</v>
      </c>
      <c r="H26" s="113">
        <f>B26*H15</f>
        <v>8297.8125</v>
      </c>
      <c r="I26" s="113">
        <f>B26*I15</f>
        <v>8297.8125</v>
      </c>
      <c r="J26" s="110"/>
      <c r="K26" s="110"/>
      <c r="L26" s="110"/>
      <c r="M26" s="110"/>
    </row>
    <row r="27" spans="1:13">
      <c r="A27" s="100" t="s">
        <v>52</v>
      </c>
      <c r="B27" s="108">
        <v>11250</v>
      </c>
      <c r="C27" s="111"/>
      <c r="D27" s="110"/>
      <c r="E27" s="110"/>
      <c r="F27" s="110"/>
      <c r="G27" s="110"/>
      <c r="H27" s="110"/>
      <c r="I27" s="110"/>
      <c r="J27" s="113">
        <f>B27*$J$15</f>
        <v>11250</v>
      </c>
      <c r="K27" s="113">
        <f>B27*K15</f>
        <v>11250</v>
      </c>
      <c r="L27" s="113">
        <f>B27*$L$15</f>
        <v>11250</v>
      </c>
      <c r="M27" s="113">
        <f>B27*$M$15</f>
        <v>22500</v>
      </c>
    </row>
    <row r="28" spans="1:13">
      <c r="A28" s="103" t="s">
        <v>256</v>
      </c>
      <c r="B28" s="114">
        <v>0.08</v>
      </c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</row>
    <row r="29" spans="1:13">
      <c r="A29" s="107" t="s">
        <v>49</v>
      </c>
      <c r="B29" s="108">
        <v>1553.5</v>
      </c>
      <c r="C29" s="115">
        <f>B29</f>
        <v>1553.5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</row>
    <row r="30" spans="1:13">
      <c r="A30" s="107" t="s">
        <v>50</v>
      </c>
      <c r="B30" s="108">
        <v>2274.7000000000003</v>
      </c>
      <c r="C30" s="117"/>
      <c r="D30" s="116">
        <f>B30*D15</f>
        <v>2274.7000000000003</v>
      </c>
      <c r="E30" s="116">
        <f>B30*E15</f>
        <v>2274.7000000000003</v>
      </c>
      <c r="F30" s="116"/>
      <c r="G30" s="116"/>
      <c r="H30" s="116"/>
      <c r="I30" s="116"/>
      <c r="J30" s="116"/>
      <c r="K30" s="116"/>
      <c r="L30" s="116"/>
      <c r="M30" s="116"/>
    </row>
    <row r="31" spans="1:13">
      <c r="A31" s="107" t="s">
        <v>51</v>
      </c>
      <c r="B31" s="108">
        <v>2655.3</v>
      </c>
      <c r="C31" s="117"/>
      <c r="D31" s="116"/>
      <c r="E31" s="116"/>
      <c r="F31" s="116">
        <f>B31*$F$15</f>
        <v>2655.3</v>
      </c>
      <c r="G31" s="116">
        <f>B31*$G$15</f>
        <v>2655.3</v>
      </c>
      <c r="H31" s="116">
        <f>B31*H15</f>
        <v>2655.3</v>
      </c>
      <c r="I31" s="116">
        <f>B31*I15</f>
        <v>2655.3</v>
      </c>
      <c r="J31" s="116"/>
      <c r="K31" s="116"/>
      <c r="L31" s="116"/>
      <c r="M31" s="116"/>
    </row>
    <row r="32" spans="1:13">
      <c r="A32" s="100" t="s">
        <v>52</v>
      </c>
      <c r="B32" s="118">
        <v>3600</v>
      </c>
      <c r="C32" s="117"/>
      <c r="D32" s="116"/>
      <c r="E32" s="116"/>
      <c r="F32" s="116"/>
      <c r="G32" s="116"/>
      <c r="H32" s="116"/>
      <c r="I32" s="116"/>
      <c r="J32" s="116">
        <f>B32*$J$15</f>
        <v>3600</v>
      </c>
      <c r="K32" s="116">
        <f>B32*K15</f>
        <v>3600</v>
      </c>
      <c r="L32" s="116">
        <f>B32*$L$15</f>
        <v>3600</v>
      </c>
      <c r="M32" s="116">
        <f>B32*$M$15</f>
        <v>7200</v>
      </c>
    </row>
    <row r="33" spans="1:13">
      <c r="A33" s="119" t="s">
        <v>257</v>
      </c>
      <c r="B33" s="120"/>
      <c r="C33" s="117"/>
      <c r="D33" s="116"/>
      <c r="E33" s="116"/>
      <c r="F33" s="116"/>
      <c r="G33" s="116"/>
      <c r="H33" s="116"/>
      <c r="I33" s="116"/>
      <c r="J33" s="116"/>
      <c r="K33" s="116"/>
      <c r="L33" s="116"/>
      <c r="M33" s="116"/>
    </row>
    <row r="34" spans="1:13">
      <c r="A34" s="107" t="s">
        <v>49</v>
      </c>
      <c r="B34" s="108">
        <v>4000</v>
      </c>
      <c r="C34" s="117">
        <f>B34</f>
        <v>4000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</row>
    <row r="35" spans="1:13">
      <c r="A35" s="107" t="s">
        <v>50</v>
      </c>
      <c r="B35" s="108">
        <v>4500</v>
      </c>
      <c r="C35" s="117"/>
      <c r="D35" s="116">
        <f>B35</f>
        <v>4500</v>
      </c>
      <c r="E35" s="116">
        <f>B35*E15</f>
        <v>4500</v>
      </c>
      <c r="F35" s="116"/>
      <c r="G35" s="116"/>
      <c r="H35" s="116"/>
      <c r="I35" s="116"/>
      <c r="J35" s="116"/>
      <c r="K35" s="116"/>
      <c r="L35" s="116"/>
      <c r="M35" s="116"/>
    </row>
    <row r="36" spans="1:13">
      <c r="A36" s="107" t="s">
        <v>51</v>
      </c>
      <c r="B36" s="108">
        <v>4500</v>
      </c>
      <c r="C36" s="117"/>
      <c r="D36" s="116"/>
      <c r="E36" s="116"/>
      <c r="F36" s="116">
        <f>B36*$F$15</f>
        <v>4500</v>
      </c>
      <c r="G36" s="116">
        <f>B36*$G$15</f>
        <v>4500</v>
      </c>
      <c r="H36" s="116">
        <f>B36*H15</f>
        <v>4500</v>
      </c>
      <c r="I36" s="116">
        <f>B36*I15</f>
        <v>4500</v>
      </c>
      <c r="J36" s="116"/>
      <c r="K36" s="116"/>
      <c r="L36" s="116"/>
      <c r="M36" s="116"/>
    </row>
    <row r="37" spans="1:13">
      <c r="A37" s="100" t="s">
        <v>52</v>
      </c>
      <c r="B37" s="118">
        <v>5000</v>
      </c>
      <c r="C37" s="121"/>
      <c r="D37" s="122"/>
      <c r="E37" s="122"/>
      <c r="F37" s="122"/>
      <c r="G37" s="122"/>
      <c r="H37" s="122"/>
      <c r="I37" s="122"/>
      <c r="J37" s="122">
        <f>B37*$J$15</f>
        <v>5000</v>
      </c>
      <c r="K37" s="122">
        <f>B37*K15</f>
        <v>5000</v>
      </c>
      <c r="L37" s="122">
        <f>B37*$L$15</f>
        <v>5000</v>
      </c>
      <c r="M37" s="122">
        <f>B37*$M$15</f>
        <v>10000</v>
      </c>
    </row>
    <row r="38" spans="1:13">
      <c r="A38" s="123"/>
      <c r="B38"/>
      <c r="C38" s="124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1:13">
      <c r="A39" s="125" t="s">
        <v>258</v>
      </c>
      <c r="B39" s="354">
        <v>2.9</v>
      </c>
      <c r="C39" s="354" t="s">
        <v>44</v>
      </c>
      <c r="D39" s="126"/>
      <c r="E39" s="127"/>
      <c r="F39" s="127"/>
      <c r="G39" s="127"/>
      <c r="H39" s="127"/>
      <c r="I39" s="127"/>
      <c r="J39" s="127"/>
      <c r="K39" s="127"/>
      <c r="L39" s="127"/>
      <c r="M39" s="128"/>
    </row>
    <row r="40" spans="1:13">
      <c r="A40" s="103" t="s">
        <v>49</v>
      </c>
      <c r="B40" s="104"/>
      <c r="C40" s="129"/>
      <c r="D40" s="130"/>
      <c r="E40" s="131"/>
      <c r="F40" s="131"/>
      <c r="G40" s="131"/>
      <c r="H40" s="131"/>
      <c r="I40" s="131"/>
      <c r="J40" s="131"/>
      <c r="K40" s="131"/>
      <c r="L40" s="131"/>
      <c r="M40" s="132"/>
    </row>
    <row r="41" spans="1:13">
      <c r="A41" s="107" t="s">
        <v>259</v>
      </c>
      <c r="B41" s="133">
        <v>30</v>
      </c>
      <c r="C41" s="129"/>
      <c r="D41" s="130"/>
      <c r="E41" s="131"/>
      <c r="F41" s="131"/>
      <c r="G41" s="131"/>
      <c r="H41" s="131"/>
      <c r="I41" s="131"/>
      <c r="J41" s="131"/>
      <c r="K41" s="131"/>
      <c r="L41" s="131"/>
      <c r="M41" s="132"/>
    </row>
    <row r="42" spans="1:13">
      <c r="A42" s="107" t="s">
        <v>260</v>
      </c>
      <c r="B42" s="133">
        <v>10000</v>
      </c>
      <c r="C42" s="129"/>
      <c r="D42" s="130"/>
      <c r="E42" s="131"/>
      <c r="F42" s="131"/>
      <c r="G42" s="131"/>
      <c r="H42" s="131"/>
      <c r="I42" s="131"/>
      <c r="J42" s="131"/>
      <c r="K42" s="131"/>
      <c r="L42" s="131"/>
      <c r="M42" s="132"/>
    </row>
    <row r="43" spans="1:13">
      <c r="A43" s="107" t="s">
        <v>261</v>
      </c>
      <c r="B43" s="133">
        <v>333.33333333333331</v>
      </c>
      <c r="C43" s="129"/>
      <c r="D43" s="130"/>
      <c r="E43" s="131"/>
      <c r="F43" s="131"/>
      <c r="G43" s="131"/>
      <c r="H43" s="131"/>
      <c r="I43" s="131"/>
      <c r="J43" s="131"/>
      <c r="K43" s="131"/>
      <c r="L43" s="131"/>
      <c r="M43" s="132"/>
    </row>
    <row r="44" spans="1:13">
      <c r="A44" s="107" t="s">
        <v>262</v>
      </c>
      <c r="B44" s="134">
        <v>9.6666666666666665E-2</v>
      </c>
      <c r="C44" s="129"/>
      <c r="D44" s="130"/>
      <c r="E44" s="131"/>
      <c r="F44" s="131"/>
      <c r="G44" s="131"/>
      <c r="H44" s="131"/>
      <c r="I44" s="131"/>
      <c r="J44" s="131"/>
      <c r="K44" s="131"/>
      <c r="L44" s="131"/>
      <c r="M44" s="132"/>
    </row>
    <row r="45" spans="1:13">
      <c r="A45" s="100" t="s">
        <v>263</v>
      </c>
      <c r="B45" s="135">
        <v>966.66666666666663</v>
      </c>
      <c r="C45" s="129">
        <f>B45</f>
        <v>966.66666666666663</v>
      </c>
      <c r="D45" s="130"/>
      <c r="E45" s="131"/>
      <c r="F45" s="131"/>
      <c r="G45" s="131"/>
      <c r="H45" s="131"/>
      <c r="I45" s="131"/>
      <c r="J45" s="131"/>
      <c r="K45" s="131"/>
      <c r="L45" s="131"/>
      <c r="M45" s="132"/>
    </row>
    <row r="46" spans="1:13">
      <c r="A46" s="103" t="s">
        <v>50</v>
      </c>
      <c r="B46" s="112"/>
      <c r="C46" s="129"/>
      <c r="D46" s="130"/>
      <c r="E46" s="131"/>
      <c r="F46" s="131"/>
      <c r="G46" s="131"/>
      <c r="H46" s="131"/>
      <c r="I46" s="131"/>
      <c r="J46" s="131"/>
      <c r="K46" s="131"/>
      <c r="L46" s="131"/>
      <c r="M46" s="132"/>
    </row>
    <row r="47" spans="1:13">
      <c r="A47" s="107" t="s">
        <v>259</v>
      </c>
      <c r="B47" s="133">
        <v>18.25</v>
      </c>
      <c r="C47" s="129"/>
      <c r="D47" s="130"/>
      <c r="E47" s="131"/>
      <c r="F47" s="131"/>
      <c r="G47" s="131"/>
      <c r="H47" s="131"/>
      <c r="I47" s="131"/>
      <c r="J47" s="131"/>
      <c r="K47" s="131"/>
      <c r="L47" s="131"/>
      <c r="M47" s="132"/>
    </row>
    <row r="48" spans="1:13">
      <c r="A48" s="107" t="s">
        <v>260</v>
      </c>
      <c r="B48" s="133">
        <v>10000</v>
      </c>
      <c r="C48" s="129"/>
      <c r="D48" s="130"/>
      <c r="E48" s="131"/>
      <c r="F48" s="131"/>
      <c r="G48" s="131"/>
      <c r="H48" s="131"/>
      <c r="I48" s="131"/>
      <c r="J48" s="131"/>
      <c r="K48" s="131"/>
      <c r="L48" s="131"/>
      <c r="M48" s="132"/>
    </row>
    <row r="49" spans="1:13">
      <c r="A49" s="107" t="s">
        <v>261</v>
      </c>
      <c r="B49" s="133">
        <v>547.94520547945206</v>
      </c>
      <c r="C49" s="129"/>
      <c r="D49" s="130"/>
      <c r="E49" s="131"/>
      <c r="F49" s="131"/>
      <c r="G49" s="131"/>
      <c r="H49" s="131"/>
      <c r="I49" s="131"/>
      <c r="J49" s="131"/>
      <c r="K49" s="131"/>
      <c r="L49" s="131"/>
      <c r="M49" s="132"/>
    </row>
    <row r="50" spans="1:13">
      <c r="A50" s="107" t="s">
        <v>262</v>
      </c>
      <c r="B50" s="134">
        <v>0.15890410958904108</v>
      </c>
      <c r="C50" s="136"/>
      <c r="D50" s="130"/>
      <c r="E50" s="131"/>
      <c r="F50" s="131"/>
      <c r="G50" s="131"/>
      <c r="H50" s="131"/>
      <c r="I50" s="131"/>
      <c r="J50" s="131"/>
      <c r="K50" s="131"/>
      <c r="L50" s="131"/>
      <c r="M50" s="132"/>
    </row>
    <row r="51" spans="1:13">
      <c r="A51" s="100" t="s">
        <v>263</v>
      </c>
      <c r="B51" s="135">
        <v>1589.0410958904108</v>
      </c>
      <c r="C51" s="136"/>
      <c r="D51" s="137">
        <f>B51</f>
        <v>1589.0410958904108</v>
      </c>
      <c r="E51" s="138">
        <f>B51*E15</f>
        <v>1589.0410958904108</v>
      </c>
      <c r="F51" s="131"/>
      <c r="G51" s="131"/>
      <c r="H51" s="131"/>
      <c r="I51" s="131"/>
      <c r="J51" s="131"/>
      <c r="K51" s="131"/>
      <c r="L51" s="131"/>
      <c r="M51" s="132"/>
    </row>
    <row r="52" spans="1:13">
      <c r="A52" s="103" t="s">
        <v>51</v>
      </c>
      <c r="B52" s="112"/>
      <c r="C52" s="129"/>
      <c r="D52" s="130"/>
      <c r="E52" s="131"/>
      <c r="F52" s="131"/>
      <c r="G52" s="131"/>
      <c r="H52" s="131"/>
      <c r="I52" s="131"/>
      <c r="J52" s="131"/>
      <c r="K52" s="131"/>
      <c r="L52" s="131"/>
      <c r="M52" s="132"/>
    </row>
    <row r="53" spans="1:13" ht="15.75" customHeight="1">
      <c r="A53" s="107" t="s">
        <v>259</v>
      </c>
      <c r="B53" s="133">
        <v>12.25</v>
      </c>
      <c r="C53" s="129"/>
      <c r="D53" s="130"/>
      <c r="E53" s="131"/>
      <c r="F53" s="131"/>
      <c r="G53" s="131"/>
      <c r="H53" s="131"/>
      <c r="I53" s="131"/>
      <c r="J53" s="131"/>
      <c r="K53" s="131"/>
      <c r="L53" s="131"/>
      <c r="M53" s="132"/>
    </row>
    <row r="54" spans="1:13">
      <c r="A54" s="107" t="s">
        <v>260</v>
      </c>
      <c r="B54" s="133">
        <v>10000</v>
      </c>
      <c r="C54" s="129"/>
      <c r="D54" s="130"/>
      <c r="E54" s="131"/>
      <c r="F54" s="131"/>
      <c r="G54" s="131"/>
      <c r="H54" s="131"/>
      <c r="I54" s="131"/>
      <c r="J54" s="131"/>
      <c r="K54" s="131"/>
      <c r="L54" s="131"/>
      <c r="M54" s="132"/>
    </row>
    <row r="55" spans="1:13">
      <c r="A55" s="107" t="s">
        <v>261</v>
      </c>
      <c r="B55" s="133">
        <v>816.32653061224494</v>
      </c>
      <c r="C55" s="129"/>
      <c r="D55" s="130"/>
      <c r="E55" s="131"/>
      <c r="F55" s="131"/>
      <c r="G55" s="131"/>
      <c r="H55" s="131"/>
      <c r="I55" s="131"/>
      <c r="J55" s="131"/>
      <c r="K55" s="131"/>
      <c r="L55" s="131"/>
      <c r="M55" s="132"/>
    </row>
    <row r="56" spans="1:13">
      <c r="A56" s="107" t="s">
        <v>262</v>
      </c>
      <c r="B56" s="134">
        <v>0.23673469387755103</v>
      </c>
      <c r="C56" s="136"/>
      <c r="D56" s="130"/>
      <c r="E56" s="131"/>
      <c r="F56" s="131"/>
      <c r="G56" s="131"/>
      <c r="H56" s="131"/>
      <c r="I56" s="131"/>
      <c r="J56" s="131"/>
      <c r="K56" s="131"/>
      <c r="L56" s="131"/>
      <c r="M56" s="132"/>
    </row>
    <row r="57" spans="1:13">
      <c r="A57" s="100" t="s">
        <v>263</v>
      </c>
      <c r="B57" s="135">
        <v>2367.3469387755104</v>
      </c>
      <c r="C57" s="136"/>
      <c r="D57" s="130"/>
      <c r="E57" s="131"/>
      <c r="F57" s="131">
        <f>B57*$F$15</f>
        <v>2367.3469387755104</v>
      </c>
      <c r="G57" s="131">
        <f>B57*$G$15</f>
        <v>2367.3469387755104</v>
      </c>
      <c r="H57" s="131">
        <f>B57*H15</f>
        <v>2367.3469387755104</v>
      </c>
      <c r="I57" s="131">
        <f>B57*I15</f>
        <v>2367.3469387755104</v>
      </c>
      <c r="J57" s="131"/>
      <c r="K57" s="131"/>
      <c r="L57" s="131"/>
      <c r="M57" s="132"/>
    </row>
    <row r="58" spans="1:13">
      <c r="A58" s="103" t="s">
        <v>52</v>
      </c>
      <c r="B58" s="112"/>
      <c r="C58" s="129"/>
      <c r="D58" s="130"/>
      <c r="E58" s="131"/>
      <c r="F58" s="131"/>
      <c r="G58" s="131"/>
      <c r="H58" s="131"/>
      <c r="I58" s="131"/>
      <c r="J58" s="131"/>
      <c r="K58" s="131"/>
      <c r="L58" s="131"/>
      <c r="M58" s="132"/>
    </row>
    <row r="59" spans="1:13">
      <c r="A59" s="107" t="s">
        <v>264</v>
      </c>
      <c r="B59" s="133">
        <v>10</v>
      </c>
      <c r="C59" s="129"/>
      <c r="D59" s="130"/>
      <c r="E59" s="131"/>
      <c r="F59" s="131"/>
      <c r="G59" s="131"/>
      <c r="H59" s="131"/>
      <c r="I59" s="131"/>
      <c r="J59" s="131"/>
      <c r="K59" s="131"/>
      <c r="L59" s="131"/>
      <c r="M59" s="132"/>
    </row>
    <row r="60" spans="1:13">
      <c r="A60" s="107" t="s">
        <v>265</v>
      </c>
      <c r="B60" s="133">
        <v>10000</v>
      </c>
      <c r="C60" s="129"/>
      <c r="D60" s="130"/>
      <c r="E60" s="131"/>
      <c r="F60" s="131"/>
      <c r="G60" s="131"/>
      <c r="H60" s="131"/>
      <c r="I60" s="131"/>
      <c r="J60" s="131"/>
      <c r="K60" s="131"/>
      <c r="L60" s="131"/>
      <c r="M60" s="132"/>
    </row>
    <row r="61" spans="1:13">
      <c r="A61" s="107" t="s">
        <v>261</v>
      </c>
      <c r="B61" s="133">
        <v>1000</v>
      </c>
      <c r="C61" s="129"/>
      <c r="D61" s="130"/>
      <c r="E61" s="131"/>
      <c r="F61" s="131"/>
      <c r="G61" s="131"/>
      <c r="H61" s="131"/>
      <c r="I61" s="131"/>
      <c r="J61" s="131"/>
      <c r="K61" s="131"/>
      <c r="L61" s="131"/>
      <c r="M61" s="132"/>
    </row>
    <row r="62" spans="1:13">
      <c r="A62" s="107" t="s">
        <v>262</v>
      </c>
      <c r="B62" s="134">
        <v>0.28999999999999998</v>
      </c>
      <c r="C62" s="139"/>
      <c r="D62" s="130"/>
      <c r="E62" s="131"/>
      <c r="F62" s="131"/>
      <c r="G62" s="131"/>
      <c r="H62" s="131"/>
      <c r="I62" s="131"/>
      <c r="J62" s="131"/>
      <c r="K62" s="131"/>
      <c r="L62" s="131"/>
      <c r="M62" s="132"/>
    </row>
    <row r="63" spans="1:13">
      <c r="A63" s="100" t="s">
        <v>263</v>
      </c>
      <c r="B63" s="135">
        <v>2900</v>
      </c>
      <c r="C63" s="140"/>
      <c r="D63" s="141"/>
      <c r="E63" s="142"/>
      <c r="F63" s="142"/>
      <c r="G63" s="142"/>
      <c r="H63" s="142"/>
      <c r="I63" s="142"/>
      <c r="J63" s="142">
        <f>B63*$J$15</f>
        <v>2900</v>
      </c>
      <c r="K63" s="142">
        <f>B63*K15</f>
        <v>2900</v>
      </c>
      <c r="L63" s="142">
        <f>B63*$L$15</f>
        <v>2900</v>
      </c>
      <c r="M63" s="143">
        <f>B63*$M$15</f>
        <v>5800</v>
      </c>
    </row>
    <row r="64" spans="1:13">
      <c r="A64" s="123"/>
      <c r="B64" s="144"/>
      <c r="C64" s="144"/>
      <c r="D64" s="123"/>
      <c r="E64" s="123"/>
      <c r="F64" s="123"/>
      <c r="G64" s="123"/>
      <c r="H64" s="123"/>
      <c r="I64" s="123"/>
      <c r="J64" s="145"/>
      <c r="K64" s="145"/>
      <c r="L64" s="145"/>
      <c r="M64" s="145"/>
    </row>
    <row r="65" spans="1:13">
      <c r="A65" s="146" t="s">
        <v>266</v>
      </c>
    </row>
    <row r="66" spans="1:13">
      <c r="A66" s="147" t="s">
        <v>267</v>
      </c>
      <c r="B66" s="358"/>
      <c r="C66" s="361">
        <f t="shared" ref="C66:M66" si="1">SUM(C18:C63)</f>
        <v>11374.854166666666</v>
      </c>
      <c r="D66" s="362">
        <f t="shared" si="1"/>
        <v>15472.178595890411</v>
      </c>
      <c r="E66" s="362">
        <f t="shared" si="1"/>
        <v>15472.178595890411</v>
      </c>
      <c r="F66" s="362">
        <f t="shared" si="1"/>
        <v>17820.45943877551</v>
      </c>
      <c r="G66" s="362">
        <f t="shared" si="1"/>
        <v>17820.45943877551</v>
      </c>
      <c r="H66" s="363">
        <f t="shared" si="1"/>
        <v>17820.45943877551</v>
      </c>
      <c r="I66" s="362">
        <f t="shared" si="1"/>
        <v>17820.45943877551</v>
      </c>
      <c r="J66" s="362">
        <f t="shared" si="1"/>
        <v>22750</v>
      </c>
      <c r="K66" s="362">
        <f t="shared" si="1"/>
        <v>22750</v>
      </c>
      <c r="L66" s="362">
        <f t="shared" si="1"/>
        <v>22750</v>
      </c>
      <c r="M66" s="364">
        <f t="shared" si="1"/>
        <v>45500</v>
      </c>
    </row>
    <row r="67" spans="1:13">
      <c r="A67" s="100" t="s">
        <v>268</v>
      </c>
      <c r="B67" s="148"/>
      <c r="C67" s="359">
        <f t="shared" ref="C67:M67" si="2">C66/C13</f>
        <v>31.163984018264838</v>
      </c>
      <c r="D67" s="360">
        <f t="shared" si="2"/>
        <v>21.194765199849879</v>
      </c>
      <c r="E67" s="360">
        <f t="shared" si="2"/>
        <v>14.129843466566586</v>
      </c>
      <c r="F67" s="360">
        <f t="shared" si="2"/>
        <v>12.20579413614761</v>
      </c>
      <c r="G67" s="360">
        <f t="shared" si="2"/>
        <v>9.7646353089180877</v>
      </c>
      <c r="H67" s="360">
        <f t="shared" si="2"/>
        <v>8.1371960907650731</v>
      </c>
      <c r="I67" s="360">
        <f t="shared" si="2"/>
        <v>6.9747395063700628</v>
      </c>
      <c r="J67" s="355">
        <f t="shared" si="2"/>
        <v>31.164383561643834</v>
      </c>
      <c r="K67" s="355">
        <f t="shared" si="2"/>
        <v>20.776255707762559</v>
      </c>
      <c r="L67" s="355">
        <f t="shared" si="2"/>
        <v>15.582191780821917</v>
      </c>
      <c r="M67" s="356">
        <f t="shared" si="2"/>
        <v>24.931506849315067</v>
      </c>
    </row>
    <row r="68" spans="1:13">
      <c r="C68" s="357">
        <v>1</v>
      </c>
      <c r="D68" s="357">
        <v>2</v>
      </c>
      <c r="E68" s="357">
        <v>3</v>
      </c>
      <c r="F68" s="357">
        <v>4</v>
      </c>
      <c r="G68" s="357">
        <v>5</v>
      </c>
      <c r="H68" s="357">
        <v>6</v>
      </c>
      <c r="I68" s="357" t="s">
        <v>269</v>
      </c>
    </row>
    <row r="69" spans="1:13">
      <c r="A69" s="149"/>
      <c r="B69" s="82"/>
      <c r="C69" s="82"/>
      <c r="D69" s="123"/>
      <c r="E69" s="123"/>
      <c r="F69" s="123"/>
      <c r="G69" s="123"/>
      <c r="H69" s="123"/>
      <c r="I69" s="123"/>
      <c r="J69" s="123"/>
      <c r="K69" s="123"/>
      <c r="L69" s="123"/>
      <c r="M69" s="123"/>
    </row>
  </sheetData>
  <sheetProtection selectLockedCells="1" selectUnlockedCells="1"/>
  <mergeCells count="5">
    <mergeCell ref="A1:M1"/>
    <mergeCell ref="A4:A5"/>
    <mergeCell ref="C11:M11"/>
    <mergeCell ref="C12:I12"/>
    <mergeCell ref="J12:M12"/>
  </mergeCells>
  <pageMargins left="0.7" right="0.7" top="0.75" bottom="0.75" header="0.3" footer="0.3"/>
  <pageSetup scale="72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31:U974"/>
  <sheetViews>
    <sheetView topLeftCell="A896" workbookViewId="0">
      <selection activeCell="J945" sqref="J945"/>
    </sheetView>
  </sheetViews>
  <sheetFormatPr defaultColWidth="8.85546875" defaultRowHeight="15"/>
  <cols>
    <col min="1" max="1" width="8.85546875" style="301"/>
    <col min="2" max="2" width="13.5703125" style="301" bestFit="1" customWidth="1"/>
    <col min="3" max="3" width="12.5703125" style="301" bestFit="1" customWidth="1"/>
    <col min="4" max="4" width="8.85546875" style="301"/>
    <col min="5" max="5" width="11.5703125" style="301" bestFit="1" customWidth="1"/>
    <col min="6" max="7" width="8.85546875" style="301"/>
    <col min="8" max="8" width="13.5703125" style="301" customWidth="1"/>
    <col min="9" max="9" width="15.140625" style="301" bestFit="1" customWidth="1"/>
    <col min="10" max="10" width="16.5703125" style="301" customWidth="1"/>
    <col min="11" max="11" width="15.140625" style="301" bestFit="1" customWidth="1"/>
    <col min="12" max="12" width="12.28515625" style="301" bestFit="1" customWidth="1"/>
    <col min="13" max="15" width="8.85546875" style="301"/>
    <col min="16" max="16" width="15.28515625" style="301" customWidth="1"/>
    <col min="17" max="18" width="12" style="301" bestFit="1" customWidth="1"/>
    <col min="19" max="19" width="11.140625" style="301" customWidth="1"/>
    <col min="20" max="16384" width="8.85546875" style="301"/>
  </cols>
  <sheetData>
    <row r="931" spans="1:21">
      <c r="A931" s="438"/>
      <c r="B931" s="438"/>
      <c r="C931" s="438" t="s">
        <v>9</v>
      </c>
      <c r="D931" s="438" t="s">
        <v>328</v>
      </c>
      <c r="E931" s="438" t="s">
        <v>286</v>
      </c>
      <c r="F931" s="438" t="s">
        <v>329</v>
      </c>
      <c r="G931" s="438" t="s">
        <v>233</v>
      </c>
      <c r="H931" s="438" t="s">
        <v>330</v>
      </c>
      <c r="I931" s="438" t="s">
        <v>287</v>
      </c>
      <c r="J931" s="438" t="s">
        <v>288</v>
      </c>
      <c r="K931" s="438" t="s">
        <v>289</v>
      </c>
      <c r="L931" s="438" t="s">
        <v>290</v>
      </c>
      <c r="M931" s="438"/>
      <c r="N931" s="302"/>
      <c r="O931" s="302"/>
      <c r="P931" s="527"/>
      <c r="Q931" s="527"/>
      <c r="R931" s="527"/>
      <c r="S931" s="527"/>
    </row>
    <row r="932" spans="1:21">
      <c r="A932" s="438"/>
      <c r="B932" s="438" t="s">
        <v>31</v>
      </c>
      <c r="C932" s="439">
        <f>MasterData!C23</f>
        <v>86860.800000000003</v>
      </c>
      <c r="D932" s="440">
        <f>MasterData!$C$29</f>
        <v>0.22309999999999999</v>
      </c>
      <c r="E932" s="439">
        <f>C932*D932</f>
        <v>19378.644479999999</v>
      </c>
      <c r="F932" s="440">
        <f>MasterData!$J$29</f>
        <v>3.7000000000000002E-3</v>
      </c>
      <c r="G932" s="439">
        <f>C932*F932</f>
        <v>321.38496000000004</v>
      </c>
      <c r="H932" s="440">
        <f>MasterData!$I$29</f>
        <v>1.78E-2</v>
      </c>
      <c r="I932" s="439">
        <f>(E932+G932)*H932</f>
        <v>350.66052403199996</v>
      </c>
      <c r="J932" s="438">
        <v>1760</v>
      </c>
      <c r="K932" s="439">
        <f>ROUND((C932+E932)/J932,2)</f>
        <v>60.36</v>
      </c>
      <c r="L932" s="441">
        <f>ROUND(SUM(C932+E932+G932+I932)/J932,2)+0.01</f>
        <v>60.76</v>
      </c>
      <c r="M932" s="438"/>
      <c r="N932" s="303"/>
      <c r="O932" s="303"/>
      <c r="P932" s="527"/>
      <c r="Q932" s="527"/>
      <c r="R932" s="527"/>
      <c r="S932" s="527"/>
      <c r="T932" s="432"/>
      <c r="U932" s="432"/>
    </row>
    <row r="933" spans="1:21">
      <c r="A933" s="438"/>
      <c r="B933" s="438" t="s">
        <v>30</v>
      </c>
      <c r="C933" s="439">
        <f>MasterData!C22</f>
        <v>57449.599999999999</v>
      </c>
      <c r="D933" s="440">
        <f>MasterData!$C$29</f>
        <v>0.22309999999999999</v>
      </c>
      <c r="E933" s="439">
        <f t="shared" ref="E933:E936" si="0">C933*D933</f>
        <v>12817.00576</v>
      </c>
      <c r="F933" s="440">
        <f>MasterData!$J$29</f>
        <v>3.7000000000000002E-3</v>
      </c>
      <c r="G933" s="439">
        <f t="shared" ref="G933:G936" si="1">C933*F933</f>
        <v>212.56352000000001</v>
      </c>
      <c r="H933" s="440">
        <f>MasterData!$I$29</f>
        <v>1.78E-2</v>
      </c>
      <c r="I933" s="439">
        <f t="shared" ref="I933:I936" si="2">(E933+G933)*H933</f>
        <v>231.92633318399999</v>
      </c>
      <c r="J933" s="438">
        <v>1760</v>
      </c>
      <c r="K933" s="439"/>
      <c r="L933" s="441">
        <f>ROUND(SUM(C933+E933+G933+I933)/J933,2)+0.02</f>
        <v>40.200000000000003</v>
      </c>
      <c r="M933" s="438"/>
      <c r="N933" s="303"/>
      <c r="O933" s="303"/>
      <c r="P933" s="433"/>
      <c r="Q933" s="433"/>
      <c r="R933" s="433"/>
      <c r="S933" s="433"/>
      <c r="T933" s="432"/>
      <c r="U933" s="432"/>
    </row>
    <row r="934" spans="1:21">
      <c r="A934" s="438"/>
      <c r="B934" s="438" t="s">
        <v>12</v>
      </c>
      <c r="C934" s="439">
        <f>MasterData!J4</f>
        <v>60923</v>
      </c>
      <c r="D934" s="440">
        <f>MasterData!$C$29</f>
        <v>0.22309999999999999</v>
      </c>
      <c r="E934" s="439">
        <f t="shared" si="0"/>
        <v>13591.9213</v>
      </c>
      <c r="F934" s="440">
        <f>MasterData!$J$29</f>
        <v>3.7000000000000002E-3</v>
      </c>
      <c r="G934" s="439">
        <f t="shared" si="1"/>
        <v>225.41510000000002</v>
      </c>
      <c r="H934" s="440">
        <f>MasterData!$I$29</f>
        <v>1.78E-2</v>
      </c>
      <c r="I934" s="439">
        <f t="shared" si="2"/>
        <v>245.94858791999999</v>
      </c>
      <c r="J934" s="438">
        <v>1760</v>
      </c>
      <c r="K934" s="439">
        <f>ROUND((C934+E934)/J934,2)</f>
        <v>42.34</v>
      </c>
      <c r="L934" s="441">
        <f>ROUND(SUM(C934+E934+G934+I934)/J934,2)-0.01</f>
        <v>42.6</v>
      </c>
      <c r="M934" s="438"/>
      <c r="N934" s="303"/>
      <c r="O934" s="303"/>
      <c r="P934" s="433"/>
      <c r="Q934" s="433"/>
      <c r="R934" s="433"/>
      <c r="S934" s="433"/>
      <c r="T934" s="432"/>
      <c r="U934" s="432"/>
    </row>
    <row r="935" spans="1:21">
      <c r="A935" s="438"/>
      <c r="B935" s="438" t="s">
        <v>547</v>
      </c>
      <c r="C935" s="439">
        <f>MasterData!E3</f>
        <v>32198.400000000001</v>
      </c>
      <c r="D935" s="440">
        <f>MasterData!$C$29</f>
        <v>0.22309999999999999</v>
      </c>
      <c r="E935" s="439">
        <f t="shared" si="0"/>
        <v>7183.4630399999996</v>
      </c>
      <c r="F935" s="440">
        <f>MasterData!$J$29</f>
        <v>3.7000000000000002E-3</v>
      </c>
      <c r="G935" s="439">
        <f t="shared" si="1"/>
        <v>119.13408000000001</v>
      </c>
      <c r="H935" s="440">
        <f>MasterData!$I$29</f>
        <v>1.78E-2</v>
      </c>
      <c r="I935" s="439">
        <f t="shared" si="2"/>
        <v>129.98622873599999</v>
      </c>
      <c r="J935" s="438">
        <v>1952</v>
      </c>
      <c r="K935" s="439"/>
      <c r="L935" s="441">
        <f>ROUND(SUM(C935+E935+G935+I935)/J935,2)-0.02</f>
        <v>20.28</v>
      </c>
      <c r="M935" s="438"/>
      <c r="N935" s="303"/>
      <c r="O935" s="303"/>
      <c r="P935" s="433"/>
      <c r="Q935" s="433"/>
      <c r="R935" s="433"/>
      <c r="S935" s="433"/>
      <c r="T935" s="432"/>
      <c r="U935" s="432"/>
    </row>
    <row r="936" spans="1:21">
      <c r="A936" s="438"/>
      <c r="B936" s="438" t="s">
        <v>546</v>
      </c>
      <c r="C936" s="439">
        <f>MasterData!E4</f>
        <v>33316</v>
      </c>
      <c r="D936" s="440">
        <f>MasterData!$C$29</f>
        <v>0.22309999999999999</v>
      </c>
      <c r="E936" s="439">
        <f t="shared" si="0"/>
        <v>7432.7995999999994</v>
      </c>
      <c r="F936" s="440">
        <f>MasterData!$J$29</f>
        <v>3.7000000000000002E-3</v>
      </c>
      <c r="G936" s="439">
        <f t="shared" si="1"/>
        <v>123.26920000000001</v>
      </c>
      <c r="H936" s="440">
        <f>MasterData!$I$29</f>
        <v>1.78E-2</v>
      </c>
      <c r="I936" s="439">
        <f t="shared" si="2"/>
        <v>134.49802463999998</v>
      </c>
      <c r="J936" s="438">
        <v>1952</v>
      </c>
      <c r="K936" s="439"/>
      <c r="L936" s="441">
        <f>ROUND(SUM(C936+E936+G936+I936)/J936,2)</f>
        <v>21.01</v>
      </c>
      <c r="M936" s="438"/>
      <c r="N936" s="303"/>
      <c r="O936" s="303"/>
      <c r="P936" s="433"/>
      <c r="Q936" s="433"/>
      <c r="R936" s="433"/>
      <c r="S936" s="433"/>
      <c r="T936" s="432"/>
      <c r="U936" s="432"/>
    </row>
    <row r="937" spans="1:21">
      <c r="A937" s="438"/>
      <c r="B937" s="438" t="s">
        <v>517</v>
      </c>
      <c r="C937" s="439" t="e">
        <f>MasterData!#REF!</f>
        <v>#REF!</v>
      </c>
      <c r="D937" s="440">
        <f>MasterData!$C$29</f>
        <v>0.22309999999999999</v>
      </c>
      <c r="E937" s="439" t="e">
        <f t="shared" ref="E937:E938" si="3">C937*D937</f>
        <v>#REF!</v>
      </c>
      <c r="F937" s="440">
        <f>MasterData!$J$29</f>
        <v>3.7000000000000002E-3</v>
      </c>
      <c r="G937" s="439" t="e">
        <f t="shared" ref="G937:G938" si="4">C937*F937</f>
        <v>#REF!</v>
      </c>
      <c r="H937" s="440">
        <f>MasterData!$I$29</f>
        <v>1.78E-2</v>
      </c>
      <c r="I937" s="439" t="e">
        <f t="shared" ref="I937:I938" si="5">(E937+G937)*H937</f>
        <v>#REF!</v>
      </c>
      <c r="J937" s="438">
        <v>1760</v>
      </c>
      <c r="K937" s="439"/>
      <c r="L937" s="441" t="e">
        <f>ROUND(SUM(C937+E937+G937+I937)/J937,2)-0.01</f>
        <v>#REF!</v>
      </c>
      <c r="M937" s="438"/>
      <c r="N937" s="303"/>
      <c r="O937" s="303"/>
      <c r="P937" s="433"/>
      <c r="Q937" s="433"/>
      <c r="R937" s="433"/>
      <c r="S937" s="433"/>
      <c r="T937" s="432"/>
      <c r="U937" s="432"/>
    </row>
    <row r="938" spans="1:21">
      <c r="A938" s="438"/>
      <c r="B938" s="438" t="s">
        <v>516</v>
      </c>
      <c r="C938" s="439">
        <f>MasterData!K3</f>
        <v>195380</v>
      </c>
      <c r="D938" s="440">
        <f>MasterData!$C$29</f>
        <v>0.22309999999999999</v>
      </c>
      <c r="E938" s="439">
        <f t="shared" si="3"/>
        <v>43589.277999999998</v>
      </c>
      <c r="F938" s="440">
        <f>MasterData!$J$29</f>
        <v>3.7000000000000002E-3</v>
      </c>
      <c r="G938" s="439">
        <f t="shared" si="4"/>
        <v>722.90600000000006</v>
      </c>
      <c r="H938" s="440">
        <f>MasterData!$I$29</f>
        <v>1.78E-2</v>
      </c>
      <c r="I938" s="439">
        <f t="shared" si="5"/>
        <v>788.75687519999997</v>
      </c>
      <c r="J938" s="438">
        <v>1760</v>
      </c>
      <c r="K938" s="439">
        <f>ROUND((C938+E938)/J938,2)</f>
        <v>135.78</v>
      </c>
      <c r="L938" s="441">
        <f>ROUND(SUM(C938+E938+G938+I938)/J938,2)-0.01</f>
        <v>136.63</v>
      </c>
      <c r="M938" s="438"/>
      <c r="N938" s="303"/>
      <c r="O938" s="303"/>
      <c r="P938" s="433"/>
      <c r="Q938" s="433"/>
      <c r="R938" s="433"/>
      <c r="S938" s="433"/>
      <c r="T938" s="432"/>
      <c r="U938" s="432"/>
    </row>
    <row r="939" spans="1:21">
      <c r="A939" s="438"/>
      <c r="B939" s="438"/>
      <c r="C939" s="438"/>
      <c r="D939" s="438"/>
      <c r="E939" s="438"/>
      <c r="F939" s="438"/>
      <c r="G939" s="438"/>
      <c r="H939" s="438"/>
      <c r="I939" s="438"/>
      <c r="J939" s="438"/>
      <c r="K939" s="438"/>
      <c r="L939" s="438"/>
      <c r="M939" s="438"/>
      <c r="N939" s="303"/>
      <c r="O939" s="303"/>
      <c r="P939" s="433"/>
      <c r="Q939" s="433"/>
      <c r="R939" s="433"/>
      <c r="S939" s="433"/>
      <c r="T939" s="432"/>
      <c r="U939" s="432"/>
    </row>
    <row r="940" spans="1:21">
      <c r="N940" s="303"/>
      <c r="O940" s="303"/>
      <c r="P940" s="433"/>
      <c r="Q940" s="433"/>
      <c r="R940" s="433"/>
      <c r="S940" s="433"/>
      <c r="T940" s="432"/>
      <c r="U940" s="432"/>
    </row>
    <row r="941" spans="1:21">
      <c r="C941" s="365"/>
      <c r="D941" s="366"/>
      <c r="E941" s="365"/>
      <c r="F941" s="366"/>
      <c r="G941" s="366"/>
      <c r="I941" s="365"/>
      <c r="J941" s="365"/>
      <c r="N941" s="303"/>
      <c r="O941" s="303"/>
      <c r="P941" s="433"/>
      <c r="Q941" s="433"/>
      <c r="R941" s="433"/>
      <c r="S941" s="433"/>
      <c r="T941" s="432"/>
      <c r="U941" s="432"/>
    </row>
    <row r="942" spans="1:21">
      <c r="C942" s="365"/>
      <c r="D942" s="366"/>
      <c r="E942" s="365"/>
      <c r="F942" s="366"/>
      <c r="G942" s="366"/>
      <c r="I942" s="434"/>
      <c r="J942" s="365"/>
      <c r="N942" s="303"/>
      <c r="O942" s="303"/>
      <c r="P942" s="433"/>
      <c r="Q942" s="433"/>
      <c r="R942" s="433"/>
      <c r="S942" s="433"/>
      <c r="T942" s="432"/>
      <c r="U942" s="432"/>
    </row>
    <row r="943" spans="1:21">
      <c r="C943" s="365"/>
      <c r="D943" s="366"/>
      <c r="E943" s="365"/>
      <c r="F943" s="366"/>
      <c r="G943" s="366"/>
      <c r="I943" s="434"/>
      <c r="J943" s="365"/>
      <c r="N943" s="303"/>
      <c r="O943" s="303"/>
      <c r="P943" s="433"/>
      <c r="Q943" s="433"/>
      <c r="R943" s="433"/>
      <c r="S943" s="433"/>
      <c r="T943" s="432"/>
      <c r="U943" s="432"/>
    </row>
    <row r="944" spans="1:21">
      <c r="C944" s="365"/>
      <c r="D944" s="366"/>
      <c r="F944" s="366"/>
      <c r="G944" s="366"/>
      <c r="I944" s="434"/>
      <c r="J944" s="365"/>
      <c r="N944" s="303"/>
      <c r="O944" s="303"/>
      <c r="P944" s="433"/>
      <c r="Q944" s="433"/>
      <c r="R944" s="433"/>
      <c r="S944" s="433"/>
      <c r="T944" s="432"/>
      <c r="U944" s="432"/>
    </row>
    <row r="945" spans="3:21">
      <c r="C945" s="365"/>
      <c r="D945" s="366"/>
      <c r="F945" s="366"/>
      <c r="G945" s="366"/>
      <c r="I945" s="434"/>
      <c r="J945" s="365"/>
      <c r="N945" s="303"/>
      <c r="O945" s="303"/>
      <c r="P945" s="433"/>
      <c r="Q945" s="433"/>
      <c r="R945" s="433"/>
      <c r="S945" s="433"/>
      <c r="T945" s="432"/>
      <c r="U945" s="432"/>
    </row>
    <row r="946" spans="3:21">
      <c r="I946" s="435"/>
      <c r="N946" s="303"/>
      <c r="O946" s="303"/>
      <c r="P946" s="433"/>
      <c r="Q946" s="433"/>
      <c r="R946" s="433"/>
      <c r="S946" s="433"/>
      <c r="T946" s="432"/>
      <c r="U946" s="432"/>
    </row>
    <row r="947" spans="3:21">
      <c r="I947" s="435"/>
      <c r="N947" s="303"/>
      <c r="O947" s="303"/>
      <c r="P947" s="433"/>
      <c r="Q947" s="433"/>
      <c r="R947" s="433"/>
      <c r="S947" s="433"/>
      <c r="T947" s="432"/>
      <c r="U947" s="432"/>
    </row>
    <row r="948" spans="3:21">
      <c r="I948" s="435"/>
      <c r="N948" s="432"/>
      <c r="O948" s="432"/>
      <c r="P948" s="432"/>
      <c r="Q948" s="432"/>
      <c r="R948" s="432"/>
      <c r="S948" s="432"/>
      <c r="T948" s="432"/>
      <c r="U948" s="432"/>
    </row>
    <row r="949" spans="3:21">
      <c r="C949" s="365"/>
      <c r="D949" s="366"/>
      <c r="E949" s="365"/>
      <c r="F949" s="366"/>
      <c r="G949" s="366"/>
      <c r="I949" s="434"/>
      <c r="J949" s="365"/>
      <c r="N949" s="432"/>
      <c r="O949" s="432"/>
      <c r="P949" s="432"/>
      <c r="Q949" s="432"/>
      <c r="R949" s="432"/>
      <c r="S949" s="432"/>
      <c r="T949" s="432"/>
      <c r="U949" s="432"/>
    </row>
    <row r="950" spans="3:21">
      <c r="C950" s="365"/>
      <c r="D950" s="366"/>
      <c r="E950" s="365"/>
      <c r="F950" s="366"/>
      <c r="G950" s="366"/>
      <c r="I950" s="434"/>
      <c r="J950" s="365"/>
      <c r="N950" s="432"/>
      <c r="O950" s="432"/>
      <c r="P950" s="436"/>
      <c r="Q950" s="436"/>
      <c r="R950" s="436"/>
      <c r="S950" s="432"/>
      <c r="T950" s="432"/>
      <c r="U950" s="432"/>
    </row>
    <row r="951" spans="3:21">
      <c r="C951" s="365"/>
      <c r="D951" s="366"/>
      <c r="E951" s="365"/>
      <c r="F951" s="366"/>
      <c r="G951" s="366"/>
      <c r="I951" s="434"/>
      <c r="J951" s="365"/>
      <c r="P951" s="436"/>
      <c r="Q951" s="436"/>
      <c r="R951" s="436"/>
    </row>
    <row r="952" spans="3:21">
      <c r="C952" s="365"/>
      <c r="D952" s="366"/>
      <c r="F952" s="366"/>
      <c r="G952" s="366"/>
      <c r="I952" s="434"/>
      <c r="J952" s="365"/>
      <c r="P952" s="436"/>
      <c r="Q952" s="436"/>
      <c r="R952" s="436"/>
    </row>
    <row r="953" spans="3:21">
      <c r="C953" s="365"/>
      <c r="D953" s="366"/>
      <c r="F953" s="366"/>
      <c r="G953" s="366"/>
      <c r="I953" s="434"/>
      <c r="J953" s="365"/>
      <c r="P953" s="436"/>
      <c r="Q953" s="436"/>
      <c r="R953" s="436"/>
    </row>
    <row r="954" spans="3:21">
      <c r="P954" s="436"/>
      <c r="Q954" s="436"/>
      <c r="R954" s="436"/>
    </row>
    <row r="955" spans="3:21">
      <c r="P955" s="436"/>
      <c r="Q955" s="436"/>
      <c r="R955" s="436"/>
    </row>
    <row r="956" spans="3:21">
      <c r="P956" s="436"/>
      <c r="Q956" s="436"/>
      <c r="R956" s="436"/>
    </row>
    <row r="957" spans="3:21">
      <c r="P957" s="436"/>
      <c r="Q957" s="436"/>
      <c r="R957" s="436"/>
    </row>
    <row r="958" spans="3:21">
      <c r="P958" s="436"/>
      <c r="Q958" s="436"/>
      <c r="R958" s="436"/>
    </row>
    <row r="959" spans="3:21">
      <c r="P959" s="436"/>
      <c r="Q959" s="436"/>
      <c r="R959" s="436"/>
    </row>
    <row r="960" spans="3:21">
      <c r="P960" s="436"/>
      <c r="Q960" s="436"/>
      <c r="R960" s="436"/>
    </row>
    <row r="961" spans="16:18">
      <c r="P961" s="436"/>
      <c r="Q961" s="436"/>
      <c r="R961" s="436"/>
    </row>
    <row r="962" spans="16:18">
      <c r="P962" s="436"/>
      <c r="Q962" s="436"/>
      <c r="R962" s="436"/>
    </row>
    <row r="963" spans="16:18">
      <c r="P963" s="436"/>
      <c r="Q963" s="436"/>
      <c r="R963" s="436"/>
    </row>
    <row r="964" spans="16:18">
      <c r="P964" s="436"/>
      <c r="Q964" s="436"/>
      <c r="R964" s="436"/>
    </row>
    <row r="965" spans="16:18">
      <c r="P965" s="436"/>
    </row>
    <row r="966" spans="16:18">
      <c r="P966" s="436"/>
    </row>
    <row r="967" spans="16:18">
      <c r="P967" s="436"/>
    </row>
    <row r="968" spans="16:18">
      <c r="P968" s="436"/>
    </row>
    <row r="969" spans="16:18">
      <c r="P969" s="436"/>
    </row>
    <row r="970" spans="16:18">
      <c r="P970" s="436"/>
    </row>
    <row r="971" spans="16:18">
      <c r="P971" s="436"/>
    </row>
    <row r="972" spans="16:18">
      <c r="P972" s="436"/>
    </row>
    <row r="973" spans="16:18">
      <c r="P973" s="436"/>
    </row>
    <row r="974" spans="16:18">
      <c r="P974" s="436"/>
    </row>
  </sheetData>
  <mergeCells count="4">
    <mergeCell ref="P931:P932"/>
    <mergeCell ref="Q931:Q932"/>
    <mergeCell ref="R931:R932"/>
    <mergeCell ref="S931:S9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Z187"/>
  <sheetViews>
    <sheetView workbookViewId="0">
      <selection activeCell="O29" sqref="C2:O29"/>
    </sheetView>
  </sheetViews>
  <sheetFormatPr defaultRowHeight="15"/>
  <cols>
    <col min="4" max="4" width="14.28515625" customWidth="1"/>
    <col min="5" max="5" width="14.28515625" bestFit="1" customWidth="1"/>
    <col min="6" max="12" width="12.7109375" customWidth="1"/>
    <col min="13" max="15" width="14.28515625" bestFit="1" customWidth="1"/>
    <col min="18" max="20" width="0" hidden="1" customWidth="1"/>
    <col min="21" max="21" width="10.85546875" hidden="1" customWidth="1"/>
    <col min="22" max="22" width="12.42578125" style="190" bestFit="1" customWidth="1"/>
    <col min="23" max="24" width="0" hidden="1" customWidth="1"/>
    <col min="26" max="26" width="10.5703125" bestFit="1" customWidth="1"/>
  </cols>
  <sheetData>
    <row r="1" spans="3:26" ht="15.75" thickBot="1"/>
    <row r="2" spans="3:26" ht="15.75" thickBot="1">
      <c r="C2" s="531" t="s">
        <v>292</v>
      </c>
      <c r="D2" s="528" t="s">
        <v>325</v>
      </c>
      <c r="E2" s="529"/>
      <c r="F2" s="528" t="s">
        <v>326</v>
      </c>
      <c r="G2" s="530"/>
      <c r="H2" s="530"/>
      <c r="I2" s="530"/>
      <c r="J2" s="529"/>
      <c r="K2" s="528" t="s">
        <v>327</v>
      </c>
      <c r="L2" s="530"/>
      <c r="M2" s="530"/>
      <c r="N2" s="530"/>
      <c r="O2" s="529"/>
      <c r="R2" t="s">
        <v>61</v>
      </c>
      <c r="S2" t="s">
        <v>292</v>
      </c>
      <c r="T2" t="s">
        <v>285</v>
      </c>
      <c r="U2" t="s">
        <v>522</v>
      </c>
      <c r="V2" s="190" t="s">
        <v>523</v>
      </c>
      <c r="X2" s="190" t="s">
        <v>291</v>
      </c>
      <c r="Y2" s="190" t="s">
        <v>285</v>
      </c>
      <c r="Z2" s="190" t="s">
        <v>46</v>
      </c>
    </row>
    <row r="3" spans="3:26" ht="15.75" thickBot="1">
      <c r="C3" s="532"/>
      <c r="D3" s="165" t="s">
        <v>293</v>
      </c>
      <c r="E3" s="166" t="s">
        <v>294</v>
      </c>
      <c r="F3" s="161" t="s">
        <v>293</v>
      </c>
      <c r="G3" s="162" t="s">
        <v>294</v>
      </c>
      <c r="H3" s="162" t="s">
        <v>295</v>
      </c>
      <c r="I3" s="162" t="s">
        <v>296</v>
      </c>
      <c r="J3" s="163" t="s">
        <v>297</v>
      </c>
      <c r="K3" s="183" t="s">
        <v>293</v>
      </c>
      <c r="L3" s="184" t="s">
        <v>294</v>
      </c>
      <c r="M3" s="184" t="s">
        <v>295</v>
      </c>
      <c r="N3" s="184" t="s">
        <v>296</v>
      </c>
      <c r="O3" s="185" t="s">
        <v>297</v>
      </c>
      <c r="R3" t="str">
        <f>LEFT(X3,1)</f>
        <v>B</v>
      </c>
      <c r="S3" t="str">
        <f>MID(X3,3,4)</f>
        <v>03.0</v>
      </c>
      <c r="T3" t="s">
        <v>519</v>
      </c>
      <c r="U3" t="str">
        <f>MID(X3,7,1)</f>
        <v/>
      </c>
      <c r="V3" s="190" t="str">
        <f>CONCATENATE(R3,S3,T3,U3)</f>
        <v>B03.0A</v>
      </c>
      <c r="X3" s="56" t="s">
        <v>506</v>
      </c>
      <c r="Y3" s="190">
        <v>1</v>
      </c>
      <c r="Z3" s="154">
        <f>VLOOKUP(X3,'Model Calculator'!$B$2:$AK$311,36,FALSE)</f>
        <v>578.19000000000005</v>
      </c>
    </row>
    <row r="4" spans="3:26">
      <c r="C4" s="191" t="s">
        <v>305</v>
      </c>
      <c r="D4" s="167">
        <f>VLOOKUP(CONCATENATE(LEFT(D$3,1),LEFT($D$2,1),$C4),'Model Calculator'!$B$2:$AK$311,36,FALSE)</f>
        <v>578.19000000000005</v>
      </c>
      <c r="E4" s="168">
        <f>VLOOKUP(CONCATENATE(LEFT(E$3,1),LEFT($D$2,1),$C4),'Model Calculator'!$B$2:$AK$311,36,FALSE)</f>
        <v>587.32000000000005</v>
      </c>
      <c r="F4" s="169"/>
      <c r="G4" s="169"/>
      <c r="H4" s="169"/>
      <c r="I4" s="169"/>
      <c r="J4" s="169"/>
      <c r="K4" s="187"/>
      <c r="L4" s="188"/>
      <c r="M4" s="188"/>
      <c r="N4" s="188"/>
      <c r="O4" s="189"/>
      <c r="R4" t="str">
        <f t="shared" ref="R4:R67" si="0">LEFT(X4,1)</f>
        <v>I</v>
      </c>
      <c r="S4" t="str">
        <f t="shared" ref="S4:S67" si="1">MID(X4,3,4)</f>
        <v>03.0</v>
      </c>
      <c r="T4" t="s">
        <v>519</v>
      </c>
      <c r="U4" t="str">
        <f t="shared" ref="U4:U68" si="2">MID(X4,7,1)</f>
        <v/>
      </c>
      <c r="V4" s="190" t="str">
        <f t="shared" ref="V4:V67" si="3">CONCATENATE(R4,S4,T4,U4)</f>
        <v>I03.0A</v>
      </c>
      <c r="X4" s="56" t="s">
        <v>507</v>
      </c>
      <c r="Y4" s="190">
        <v>1</v>
      </c>
      <c r="Z4" s="154">
        <f>VLOOKUP(X4,'Model Calculator'!$B$2:$AK$311,36,FALSE)</f>
        <v>587.32000000000005</v>
      </c>
    </row>
    <row r="5" spans="3:26">
      <c r="C5" s="191" t="s">
        <v>306</v>
      </c>
      <c r="D5" s="170"/>
      <c r="E5" s="171">
        <f>VLOOKUP(CONCATENATE(LEFT(E$3,1),LEFT($D$2,1),$C5),'Model Calculator'!$B$2:$AK$311,36,FALSE)</f>
        <v>663.95</v>
      </c>
      <c r="F5" s="173">
        <f>VLOOKUP(CONCATENATE(LEFT(F$3,1),LEFT($F$2,1),$C5),'Model Calculator'!$B$2:$AK$311,36,FALSE)</f>
        <v>769.5</v>
      </c>
      <c r="G5" s="173">
        <f>VLOOKUP(CONCATENATE(LEFT(G$3,1),LEFT($F$2,1),$C5),'Model Calculator'!$B$2:$AK$311,36,FALSE)</f>
        <v>795.67</v>
      </c>
      <c r="H5" s="173">
        <f>VLOOKUP(CONCATENATE(LEFT(H$3,1),LEFT($F$2,1),$C5,RIGHT(H$3,1)),'Model Calculator'!$B$2:$AK$311,36,FALSE)</f>
        <v>850.83</v>
      </c>
      <c r="I5" s="173">
        <f>VLOOKUP(CONCATENATE(LEFT(I$3,1),LEFT($F$2,1),$C5,RIGHT(I$3,1)),'Model Calculator'!$B$2:$AK$311,36,FALSE)</f>
        <v>883.75</v>
      </c>
      <c r="J5" s="173">
        <f>VLOOKUP(CONCATENATE(LEFT(J$3,1),LEFT($F$2,1),$C5,RIGHT(J$3,1)),'Model Calculator'!$B$2:$AK$311,36,FALSE)</f>
        <v>925.44</v>
      </c>
      <c r="K5" s="172">
        <f>VLOOKUP(CONCATENATE(LEFT(K$3,1),LEFT($K$2,1),$C5),'Model Calculator'!$B$2:$AK$311,36,FALSE)</f>
        <v>896.2</v>
      </c>
      <c r="L5" s="174"/>
      <c r="M5" s="174"/>
      <c r="N5" s="174"/>
      <c r="O5" s="175"/>
      <c r="R5" t="str">
        <f t="shared" si="0"/>
        <v>I</v>
      </c>
      <c r="S5" t="str">
        <f t="shared" si="1"/>
        <v>03.5</v>
      </c>
      <c r="T5" t="s">
        <v>519</v>
      </c>
      <c r="U5" t="str">
        <f t="shared" si="2"/>
        <v/>
      </c>
      <c r="V5" s="190" t="str">
        <f t="shared" si="3"/>
        <v>I03.5A</v>
      </c>
      <c r="X5" s="56" t="s">
        <v>508</v>
      </c>
      <c r="Y5" s="190">
        <v>1</v>
      </c>
      <c r="Z5" s="154">
        <f>VLOOKUP(X5,'Model Calculator'!$B$2:$AK$311,36,FALSE)</f>
        <v>663.95</v>
      </c>
    </row>
    <row r="6" spans="3:26">
      <c r="C6" s="191" t="s">
        <v>307</v>
      </c>
      <c r="D6" s="170"/>
      <c r="E6" s="171">
        <f>VLOOKUP(CONCATENATE(LEFT(E$3,1),LEFT($D$2,1),$C6),'Model Calculator'!$B$2:$AK$311,36,FALSE)</f>
        <v>740.59</v>
      </c>
      <c r="F6" s="173">
        <f>VLOOKUP(CONCATENATE(LEFT(F$3,1),LEFT($F$2,1),$C6),'Model Calculator'!$B$2:$AK$311,36,FALSE)</f>
        <v>843.57</v>
      </c>
      <c r="G6" s="173">
        <f>VLOOKUP(CONCATENATE(LEFT(G$3,1),LEFT($F$2,1),$C6),'Model Calculator'!$B$2:$AK$311,36,FALSE)</f>
        <v>872.3</v>
      </c>
      <c r="H6" s="173">
        <f>VLOOKUP(CONCATENATE(LEFT(H$3,1),LEFT($F$2,1),$C6,RIGHT(H$3,1)),'Model Calculator'!$B$2:$AK$311,36,FALSE)</f>
        <v>940.35</v>
      </c>
      <c r="I6" s="173">
        <f>VLOOKUP(CONCATENATE(LEFT(I$3,1),LEFT($F$2,1),$C6,RIGHT(I$3,1)),'Model Calculator'!$B$2:$AK$311,36,FALSE)</f>
        <v>980.57</v>
      </c>
      <c r="J6" s="173">
        <f>VLOOKUP(CONCATENATE(LEFT(J$3,1),LEFT($F$2,1),$C6,RIGHT(J$3,1)),'Model Calculator'!$B$2:$AK$311,36,FALSE)</f>
        <v>1031.5</v>
      </c>
      <c r="K6" s="172">
        <f>VLOOKUP(CONCATENATE(LEFT(K$3,1),LEFT($K$2,1),$C6),'Model Calculator'!$B$2:$AK$311,36,FALSE)</f>
        <v>970.27</v>
      </c>
      <c r="L6" s="174"/>
      <c r="M6" s="174"/>
      <c r="N6" s="174"/>
      <c r="O6" s="175"/>
      <c r="R6" t="str">
        <f t="shared" si="0"/>
        <v>I</v>
      </c>
      <c r="S6" t="str">
        <f t="shared" si="1"/>
        <v>04.0</v>
      </c>
      <c r="T6" t="s">
        <v>519</v>
      </c>
      <c r="U6" t="str">
        <f t="shared" si="2"/>
        <v/>
      </c>
      <c r="V6" s="190" t="str">
        <f t="shared" si="3"/>
        <v>I04.0A</v>
      </c>
      <c r="X6" s="56" t="s">
        <v>509</v>
      </c>
      <c r="Y6" s="190">
        <v>1</v>
      </c>
      <c r="Z6" s="154">
        <f>VLOOKUP(X6,'Model Calculator'!$B$2:$AK$311,36,FALSE)</f>
        <v>740.59</v>
      </c>
    </row>
    <row r="7" spans="3:26">
      <c r="C7" s="191" t="s">
        <v>308</v>
      </c>
      <c r="D7" s="170"/>
      <c r="E7" s="171">
        <f>VLOOKUP(CONCATENATE(LEFT(E$3,1),LEFT($D$2,1),$C7),'Model Calculator'!$B$2:$AK$311,36,FALSE)</f>
        <v>815.9</v>
      </c>
      <c r="F7" s="173">
        <f>VLOOKUP(CONCATENATE(LEFT(F$3,1),LEFT($F$2,1),$C7),'Model Calculator'!$B$2:$AK$311,36,FALSE)</f>
        <v>916.35</v>
      </c>
      <c r="G7" s="173">
        <f>VLOOKUP(CONCATENATE(LEFT(G$3,1),LEFT($F$2,1),$C7),'Model Calculator'!$B$2:$AK$311,36,FALSE)</f>
        <v>947.62</v>
      </c>
      <c r="H7" s="173">
        <f>VLOOKUP(CONCATENATE(LEFT(H$3,1),LEFT($F$2,1),$C7,RIGHT(H$3,1)),'Model Calculator'!$B$2:$AK$311,36,FALSE)</f>
        <v>1028.51</v>
      </c>
      <c r="I7" s="173">
        <f>VLOOKUP(CONCATENATE(LEFT(I$3,1),LEFT($F$2,1),$C7,RIGHT(I$3,1)),'Model Calculator'!$B$2:$AK$311,36,FALSE)</f>
        <v>1075.9100000000001</v>
      </c>
      <c r="J7" s="173">
        <f>VLOOKUP(CONCATENATE(LEFT(J$3,1),LEFT($F$2,1),$C7,RIGHT(J$3,1)),'Model Calculator'!$B$2:$AK$311,36,FALSE)</f>
        <v>1135.93</v>
      </c>
      <c r="K7" s="172">
        <f>VLOOKUP(CONCATENATE(LEFT(K$3,1),LEFT($K$2,1),$C7),'Model Calculator'!$B$2:$AK$311,36,FALSE)</f>
        <v>1043.05</v>
      </c>
      <c r="L7" s="174"/>
      <c r="M7" s="174"/>
      <c r="N7" s="174"/>
      <c r="O7" s="175"/>
      <c r="R7" t="str">
        <f t="shared" si="0"/>
        <v>I</v>
      </c>
      <c r="S7" t="str">
        <f t="shared" si="1"/>
        <v>04.5</v>
      </c>
      <c r="T7" t="s">
        <v>519</v>
      </c>
      <c r="U7" t="str">
        <f t="shared" si="2"/>
        <v/>
      </c>
      <c r="V7" s="190" t="str">
        <f t="shared" si="3"/>
        <v>I04.5A</v>
      </c>
      <c r="X7" s="56" t="s">
        <v>510</v>
      </c>
      <c r="Y7" s="190">
        <v>1</v>
      </c>
      <c r="Z7" s="154">
        <f>VLOOKUP(X7,'Model Calculator'!$B$2:$AK$311,36,FALSE)</f>
        <v>815.9</v>
      </c>
    </row>
    <row r="8" spans="3:26">
      <c r="C8" s="191" t="s">
        <v>309</v>
      </c>
      <c r="D8" s="170"/>
      <c r="E8" s="171">
        <f>VLOOKUP(CONCATENATE(LEFT(E$3,1),LEFT($D$2,1),$C8),'Model Calculator'!$B$2:$AK$311,36,FALSE)</f>
        <v>892.54</v>
      </c>
      <c r="F8" s="173">
        <f>VLOOKUP(CONCATENATE(LEFT(F$3,1),LEFT($F$2,1),$C8),'Model Calculator'!$B$2:$AK$311,36,FALSE)</f>
        <v>990.42</v>
      </c>
      <c r="G8" s="173">
        <f>VLOOKUP(CONCATENATE(LEFT(G$3,1),LEFT($F$2,1),$C8),'Model Calculator'!$B$2:$AK$311,36,FALSE)</f>
        <v>1024.25</v>
      </c>
      <c r="H8" s="173">
        <f>VLOOKUP(CONCATENATE(LEFT(H$3,1),LEFT($F$2,1),$C8,RIGHT(H$3,1)),'Model Calculator'!$B$2:$AK$311,36,FALSE)</f>
        <v>1118.03</v>
      </c>
      <c r="I8" s="173">
        <f>VLOOKUP(CONCATENATE(LEFT(I$3,1),LEFT($F$2,1),$C8,RIGHT(I$3,1)),'Model Calculator'!$B$2:$AK$311,36,FALSE)</f>
        <v>1172.73</v>
      </c>
      <c r="J8" s="173">
        <f>VLOOKUP(CONCATENATE(LEFT(J$3,1),LEFT($F$2,1),$C8,RIGHT(J$3,1)),'Model Calculator'!$B$2:$AK$311,36,FALSE)</f>
        <v>1241.99</v>
      </c>
      <c r="K8" s="172">
        <f>VLOOKUP(CONCATENATE(LEFT(K$3,1),LEFT($K$2,1),$C8),'Model Calculator'!$B$2:$AK$311,36,FALSE)</f>
        <v>1117.1199999999999</v>
      </c>
      <c r="L8" s="174"/>
      <c r="M8" s="174"/>
      <c r="N8" s="174"/>
      <c r="O8" s="175"/>
      <c r="R8" t="str">
        <f t="shared" si="0"/>
        <v>I</v>
      </c>
      <c r="S8" t="str">
        <f t="shared" si="1"/>
        <v>05.0</v>
      </c>
      <c r="T8" t="s">
        <v>519</v>
      </c>
      <c r="U8" t="str">
        <f t="shared" si="2"/>
        <v/>
      </c>
      <c r="V8" s="190" t="str">
        <f t="shared" si="3"/>
        <v>I05.0A</v>
      </c>
      <c r="X8" s="56" t="s">
        <v>511</v>
      </c>
      <c r="Y8" s="190">
        <v>1</v>
      </c>
      <c r="Z8" s="154">
        <f>VLOOKUP(X8,'Model Calculator'!$B$2:$AK$311,36,FALSE)</f>
        <v>892.54</v>
      </c>
    </row>
    <row r="9" spans="3:26">
      <c r="C9" s="191" t="s">
        <v>310</v>
      </c>
      <c r="D9" s="170"/>
      <c r="E9" s="171">
        <f>VLOOKUP(CONCATENATE(LEFT(E$3,1),LEFT($D$2,1),$C9),'Model Calculator'!$B$2:$AK$311,36,FALSE)</f>
        <v>969.17</v>
      </c>
      <c r="F9" s="173">
        <f>VLOOKUP(CONCATENATE(LEFT(F$3,1),LEFT($F$2,1),$C9),'Model Calculator'!$B$2:$AK$311,36,FALSE)</f>
        <v>1064.48</v>
      </c>
      <c r="G9" s="173">
        <f>VLOOKUP(CONCATENATE(LEFT(G$3,1),LEFT($F$2,1),$C9),'Model Calculator'!$B$2:$AK$311,36,FALSE)</f>
        <v>1100.8900000000001</v>
      </c>
      <c r="H9" s="173">
        <f>VLOOKUP(CONCATENATE(LEFT(H$3,1),LEFT($F$2,1),$C9,RIGHT(H$3,1)),'Model Calculator'!$B$2:$AK$311,36,FALSE)</f>
        <v>1207.55</v>
      </c>
      <c r="I9" s="173">
        <f>VLOOKUP(CONCATENATE(LEFT(I$3,1),LEFT($F$2,1),$C9,RIGHT(I$3,1)),'Model Calculator'!$B$2:$AK$311,36,FALSE)</f>
        <v>1269.55</v>
      </c>
      <c r="J9" s="173">
        <f>VLOOKUP(CONCATENATE(LEFT(J$3,1),LEFT($F$2,1),$C9,RIGHT(J$3,1)),'Model Calculator'!$B$2:$AK$311,36,FALSE)</f>
        <v>1348.04</v>
      </c>
      <c r="K9" s="172">
        <f>VLOOKUP(CONCATENATE(LEFT(K$3,1),LEFT($K$2,1),$C9),'Model Calculator'!$B$2:$AK$311,36,FALSE)</f>
        <v>1191.18</v>
      </c>
      <c r="L9" s="174"/>
      <c r="M9" s="174"/>
      <c r="N9" s="174"/>
      <c r="O9" s="175"/>
      <c r="R9" t="str">
        <f t="shared" si="0"/>
        <v>I</v>
      </c>
      <c r="S9" t="str">
        <f t="shared" si="1"/>
        <v>05.5</v>
      </c>
      <c r="T9" t="s">
        <v>519</v>
      </c>
      <c r="U9" t="str">
        <f t="shared" si="2"/>
        <v/>
      </c>
      <c r="V9" s="190" t="str">
        <f t="shared" si="3"/>
        <v>I05.5A</v>
      </c>
      <c r="X9" s="56" t="s">
        <v>512</v>
      </c>
      <c r="Y9" s="190">
        <v>1</v>
      </c>
      <c r="Z9" s="154">
        <f>VLOOKUP(X9,'Model Calculator'!$B$2:$AK$311,36,FALSE)</f>
        <v>969.17</v>
      </c>
    </row>
    <row r="10" spans="3:26">
      <c r="C10" s="191" t="s">
        <v>311</v>
      </c>
      <c r="D10" s="170"/>
      <c r="E10" s="171">
        <f>VLOOKUP(CONCATENATE(LEFT(E$3,1),LEFT($D$2,1),$C10),'Model Calculator'!$B$2:$AK$311,36,FALSE)</f>
        <v>1044.48</v>
      </c>
      <c r="F10" s="173">
        <f>VLOOKUP(CONCATENATE(LEFT(F$3,1),LEFT($F$2,1),$C10),'Model Calculator'!$B$2:$AK$311,36,FALSE)</f>
        <v>1137.27</v>
      </c>
      <c r="G10" s="173">
        <f>VLOOKUP(CONCATENATE(LEFT(G$3,1),LEFT($F$2,1),$C10),'Model Calculator'!$B$2:$AK$311,36,FALSE)</f>
        <v>1176.2</v>
      </c>
      <c r="H10" s="173">
        <f>VLOOKUP(CONCATENATE(LEFT(H$3,1),LEFT($F$2,1),$C10,RIGHT(H$3,1)),'Model Calculator'!$B$2:$AK$311,36,FALSE)</f>
        <v>1295.71</v>
      </c>
      <c r="I10" s="173">
        <f>VLOOKUP(CONCATENATE(LEFT(I$3,1),LEFT($F$2,1),$C10,RIGHT(I$3,1)),'Model Calculator'!$B$2:$AK$311,36,FALSE)</f>
        <v>1364.88</v>
      </c>
      <c r="J10" s="173">
        <f>VLOOKUP(CONCATENATE(LEFT(J$3,1),LEFT($F$2,1),$C10,RIGHT(J$3,1)),'Model Calculator'!$B$2:$AK$311,36,FALSE)</f>
        <v>1452.48</v>
      </c>
      <c r="K10" s="172">
        <f>VLOOKUP(CONCATENATE(LEFT(K$3,1),LEFT($K$2,1),$C10),'Model Calculator'!$B$2:$AK$311,36,FALSE)</f>
        <v>1263.97</v>
      </c>
      <c r="L10" s="173">
        <f>VLOOKUP(CONCATENATE(LEFT(L$3,1),LEFT($K$2,1),$C10),'Model Calculator'!$B$2:$AK$311,36,FALSE)</f>
        <v>1313.21</v>
      </c>
      <c r="M10" s="173">
        <f>VLOOKUP(CONCATENATE(LEFT(M$3,1),LEFT($K$2,1),$C10,RIGHT(M$3,1)),'Model Calculator'!$B$2:$AK$311,36,FALSE)</f>
        <v>1432.72</v>
      </c>
      <c r="N10" s="173">
        <f>VLOOKUP(CONCATENATE(LEFT(N$3,1),LEFT($K$2,1),$C10,RIGHT(N$3,1)),'Model Calculator'!$B$2:$AK$311,36,FALSE)</f>
        <v>1501.89</v>
      </c>
      <c r="O10" s="171">
        <f>VLOOKUP(CONCATENATE(LEFT(O$3,1),LEFT($K$2,1),$C10,RIGHT(O$3,1)),'Model Calculator'!$B$2:$AK$311,36,FALSE)</f>
        <v>1589.49</v>
      </c>
      <c r="R10" t="str">
        <f t="shared" si="0"/>
        <v>I</v>
      </c>
      <c r="S10" t="str">
        <f t="shared" si="1"/>
        <v>06.0</v>
      </c>
      <c r="T10" t="s">
        <v>519</v>
      </c>
      <c r="U10" t="str">
        <f t="shared" si="2"/>
        <v/>
      </c>
      <c r="V10" s="190" t="str">
        <f t="shared" si="3"/>
        <v>I06.0A</v>
      </c>
      <c r="X10" s="56" t="s">
        <v>513</v>
      </c>
      <c r="Y10" s="190">
        <v>1</v>
      </c>
      <c r="Z10" s="154">
        <f>VLOOKUP(X10,'Model Calculator'!$B$2:$AK$311,36,FALSE)</f>
        <v>1044.48</v>
      </c>
    </row>
    <row r="11" spans="3:26">
      <c r="C11" s="191" t="s">
        <v>312</v>
      </c>
      <c r="D11" s="170"/>
      <c r="E11" s="171">
        <f>VLOOKUP(CONCATENATE(LEFT(E$3,1),LEFT($D$2,1),$C11),'Model Calculator'!$B$2:$AK$311,36,FALSE)</f>
        <v>1121.1199999999999</v>
      </c>
      <c r="F11" s="173">
        <f>VLOOKUP(CONCATENATE(LEFT(F$3,1),LEFT($F$2,1),$C11),'Model Calculator'!$B$2:$AK$311,36,FALSE)</f>
        <v>1211.33</v>
      </c>
      <c r="G11" s="173">
        <f>VLOOKUP(CONCATENATE(LEFT(G$3,1),LEFT($F$2,1),$C11),'Model Calculator'!$B$2:$AK$311,36,FALSE)</f>
        <v>1252.8399999999999</v>
      </c>
      <c r="H11" s="173">
        <f>VLOOKUP(CONCATENATE(LEFT(H$3,1),LEFT($F$2,1),$C11,RIGHT(H$3,1)),'Model Calculator'!$B$2:$AK$311,36,FALSE)</f>
        <v>1385.23</v>
      </c>
      <c r="I11" s="173">
        <f>VLOOKUP(CONCATENATE(LEFT(I$3,1),LEFT($F$2,1),$C11,RIGHT(I$3,1)),'Model Calculator'!$B$2:$AK$311,36,FALSE)</f>
        <v>1461.7</v>
      </c>
      <c r="J11" s="173">
        <f>VLOOKUP(CONCATENATE(LEFT(J$3,1),LEFT($F$2,1),$C11,RIGHT(J$3,1)),'Model Calculator'!$B$2:$AK$311,36,FALSE)</f>
        <v>1558.54</v>
      </c>
      <c r="K11" s="172">
        <f>VLOOKUP(CONCATENATE(LEFT(K$3,1),LEFT($K$2,1),$C11),'Model Calculator'!$B$2:$AK$311,36,FALSE)</f>
        <v>1338.03</v>
      </c>
      <c r="L11" s="173">
        <f>VLOOKUP(CONCATENATE(LEFT(L$3,1),LEFT($K$2,1),$C11),'Model Calculator'!$B$2:$AK$311,36,FALSE)</f>
        <v>1389.85</v>
      </c>
      <c r="M11" s="173">
        <f>VLOOKUP(CONCATENATE(LEFT(M$3,1),LEFT($K$2,1),$C11,RIGHT(M$3,1)),'Model Calculator'!$B$2:$AK$311,36,FALSE)</f>
        <v>1522.24</v>
      </c>
      <c r="N11" s="173">
        <f>VLOOKUP(CONCATENATE(LEFT(N$3,1),LEFT($K$2,1),$C11,RIGHT(N$3,1)),'Model Calculator'!$B$2:$AK$311,36,FALSE)</f>
        <v>1598.71</v>
      </c>
      <c r="O11" s="171">
        <f>VLOOKUP(CONCATENATE(LEFT(O$3,1),LEFT($K$2,1),$C11,RIGHT(O$3,1)),'Model Calculator'!$B$2:$AK$311,36,FALSE)</f>
        <v>1695.55</v>
      </c>
      <c r="R11" t="str">
        <f t="shared" si="0"/>
        <v>I</v>
      </c>
      <c r="S11" t="str">
        <f t="shared" si="1"/>
        <v>06.5</v>
      </c>
      <c r="T11" t="s">
        <v>519</v>
      </c>
      <c r="U11" t="str">
        <f t="shared" si="2"/>
        <v/>
      </c>
      <c r="V11" s="190" t="str">
        <f t="shared" si="3"/>
        <v>I06.5A</v>
      </c>
      <c r="X11" s="56" t="s">
        <v>514</v>
      </c>
      <c r="Y11" s="190">
        <v>1</v>
      </c>
      <c r="Z11" s="154">
        <f>VLOOKUP(X11,'Model Calculator'!$B$2:$AK$311,36,FALSE)</f>
        <v>1121.1199999999999</v>
      </c>
    </row>
    <row r="12" spans="3:26">
      <c r="C12" s="191" t="s">
        <v>313</v>
      </c>
      <c r="D12" s="170"/>
      <c r="E12" s="171">
        <f>VLOOKUP(CONCATENATE(LEFT(E$3,1),LEFT($D$2,1),$C12),'Model Calculator'!$B$2:$AK$311,36,FALSE)</f>
        <v>1197.76</v>
      </c>
      <c r="F12" s="173">
        <f>VLOOKUP(CONCATENATE(LEFT(F$3,1),LEFT($F$2,1),$C12),'Model Calculator'!$B$2:$AK$311,36,FALSE)</f>
        <v>1285.4000000000001</v>
      </c>
      <c r="G12" s="173">
        <f>VLOOKUP(CONCATENATE(LEFT(G$3,1),LEFT($F$2,1),$C12),'Model Calculator'!$B$2:$AK$311,36,FALSE)</f>
        <v>1329.47</v>
      </c>
      <c r="H12" s="173">
        <f>VLOOKUP(CONCATENATE(LEFT(H$3,1),LEFT($F$2,1),$C12,RIGHT(H$3,1)),'Model Calculator'!$B$2:$AK$311,36,FALSE)</f>
        <v>1474.76</v>
      </c>
      <c r="I12" s="173">
        <f>VLOOKUP(CONCATENATE(LEFT(I$3,1),LEFT($F$2,1),$C12,RIGHT(I$3,1)),'Model Calculator'!$B$2:$AK$311,36,FALSE)</f>
        <v>1558.52</v>
      </c>
      <c r="J12" s="173">
        <f>VLOOKUP(CONCATENATE(LEFT(J$3,1),LEFT($F$2,1),$C12,RIGHT(J$3,1)),'Model Calculator'!$B$2:$AK$311,36,FALSE)</f>
        <v>1664.59</v>
      </c>
      <c r="K12" s="172">
        <f>VLOOKUP(CONCATENATE(LEFT(K$3,1),LEFT($K$2,1),$C12),'Model Calculator'!$B$2:$AK$311,36,FALSE)</f>
        <v>1412.1</v>
      </c>
      <c r="L12" s="173">
        <f>VLOOKUP(CONCATENATE(LEFT(L$3,1),LEFT($K$2,1),$C12),'Model Calculator'!$B$2:$AK$311,36,FALSE)</f>
        <v>1466.48</v>
      </c>
      <c r="M12" s="173">
        <f>VLOOKUP(CONCATENATE(LEFT(M$3,1),LEFT($K$2,1),$C12,RIGHT(M$3,1)),'Model Calculator'!$B$2:$AK$311,36,FALSE)</f>
        <v>1611.77</v>
      </c>
      <c r="N12" s="173">
        <f>VLOOKUP(CONCATENATE(LEFT(N$3,1),LEFT($K$2,1),$C12,RIGHT(N$3,1)),'Model Calculator'!$B$2:$AK$311,36,FALSE)</f>
        <v>1695.53</v>
      </c>
      <c r="O12" s="171">
        <f>VLOOKUP(CONCATENATE(LEFT(O$3,1),LEFT($K$2,1),$C12,RIGHT(O$3,1)),'Model Calculator'!$B$2:$AK$311,36,FALSE)</f>
        <v>1801.6</v>
      </c>
      <c r="R12" t="str">
        <f t="shared" si="0"/>
        <v>I</v>
      </c>
      <c r="S12" t="str">
        <f t="shared" si="1"/>
        <v>07.0</v>
      </c>
      <c r="T12" t="s">
        <v>519</v>
      </c>
      <c r="U12" t="str">
        <f t="shared" si="2"/>
        <v/>
      </c>
      <c r="V12" s="190" t="str">
        <f t="shared" si="3"/>
        <v>I07.0A</v>
      </c>
      <c r="X12" s="56" t="s">
        <v>515</v>
      </c>
      <c r="Y12" s="190">
        <v>1</v>
      </c>
      <c r="Z12" s="154">
        <f>VLOOKUP(X12,'Model Calculator'!$B$2:$AK$311,36,FALSE)</f>
        <v>1197.76</v>
      </c>
    </row>
    <row r="13" spans="3:26">
      <c r="C13" s="191" t="s">
        <v>314</v>
      </c>
      <c r="D13" s="170"/>
      <c r="E13" s="175"/>
      <c r="F13" s="173">
        <f>VLOOKUP(CONCATENATE(LEFT(F$3,1),LEFT($F$2,1),$C13),'Model Calculator'!$B$2:$AK$311,36,FALSE)</f>
        <v>1359.46</v>
      </c>
      <c r="G13" s="173">
        <f>VLOOKUP(CONCATENATE(LEFT(G$3,1),LEFT($F$2,1),$C13),'Model Calculator'!$B$2:$AK$311,36,FALSE)</f>
        <v>1406.11</v>
      </c>
      <c r="H13" s="173">
        <f>VLOOKUP(CONCATENATE(LEFT(H$3,1),LEFT($F$2,1),$C13,RIGHT(H$3,1)),'Model Calculator'!$B$2:$AK$311,36,FALSE)</f>
        <v>1564.28</v>
      </c>
      <c r="I13" s="173">
        <f>VLOOKUP(CONCATENATE(LEFT(I$3,1),LEFT($F$2,1),$C13,RIGHT(I$3,1)),'Model Calculator'!$B$2:$AK$311,36,FALSE)</f>
        <v>1655.34</v>
      </c>
      <c r="J13" s="173">
        <f>VLOOKUP(CONCATENATE(LEFT(J$3,1),LEFT($F$2,1),$C13,RIGHT(J$3,1)),'Model Calculator'!$B$2:$AK$311,36,FALSE)</f>
        <v>1770.65</v>
      </c>
      <c r="K13" s="172">
        <f>VLOOKUP(CONCATENATE(LEFT(K$3,1),LEFT($K$2,1),$C13),'Model Calculator'!$B$2:$AK$311,36,FALSE)</f>
        <v>1486.16</v>
      </c>
      <c r="L13" s="173">
        <f>VLOOKUP(CONCATENATE(LEFT(L$3,1),LEFT($K$2,1),$C13),'Model Calculator'!$B$2:$AK$311,36,FALSE)</f>
        <v>1543.12</v>
      </c>
      <c r="M13" s="173">
        <f>VLOOKUP(CONCATENATE(LEFT(M$3,1),LEFT($K$2,1),$C13,RIGHT(M$3,1)),'Model Calculator'!$B$2:$AK$311,36,FALSE)</f>
        <v>1701.29</v>
      </c>
      <c r="N13" s="173">
        <f>VLOOKUP(CONCATENATE(LEFT(N$3,1),LEFT($K$2,1),$C13,RIGHT(N$3,1)),'Model Calculator'!$B$2:$AK$311,36,FALSE)</f>
        <v>1792.35</v>
      </c>
      <c r="O13" s="171">
        <f>VLOOKUP(CONCATENATE(LEFT(O$3,1),LEFT($K$2,1),$C13,RIGHT(O$3,1)),'Model Calculator'!$B$2:$AK$311,36,FALSE)</f>
        <v>1907.66</v>
      </c>
      <c r="R13" t="str">
        <f t="shared" si="0"/>
        <v>B</v>
      </c>
      <c r="S13" t="str">
        <f t="shared" si="1"/>
        <v>03.5</v>
      </c>
      <c r="T13" t="s">
        <v>520</v>
      </c>
      <c r="U13" t="str">
        <f t="shared" si="2"/>
        <v/>
      </c>
      <c r="V13" s="190" t="str">
        <f t="shared" si="3"/>
        <v>B03.5B</v>
      </c>
      <c r="X13" s="56" t="s">
        <v>430</v>
      </c>
      <c r="Y13" s="190" t="s">
        <v>301</v>
      </c>
      <c r="Z13" s="154">
        <f>VLOOKUP(X13,'Model Calculator'!$B$2:$AK$311,36,FALSE)</f>
        <v>769.5</v>
      </c>
    </row>
    <row r="14" spans="3:26">
      <c r="C14" s="191" t="s">
        <v>315</v>
      </c>
      <c r="D14" s="170"/>
      <c r="E14" s="175"/>
      <c r="F14" s="173">
        <f>VLOOKUP(CONCATENATE(LEFT(F$3,1),LEFT($F$2,1),$C14),'Model Calculator'!$B$2:$AK$311,36,FALSE)</f>
        <v>1432.25</v>
      </c>
      <c r="G14" s="173">
        <f>VLOOKUP(CONCATENATE(LEFT(G$3,1),LEFT($F$2,1),$C14),'Model Calculator'!$B$2:$AK$311,36,FALSE)</f>
        <v>1481.42</v>
      </c>
      <c r="H14" s="173">
        <f>VLOOKUP(CONCATENATE(LEFT(H$3,1),LEFT($F$2,1),$C14,RIGHT(H$3,1)),'Model Calculator'!$B$2:$AK$311,36,FALSE)</f>
        <v>1652.43</v>
      </c>
      <c r="I14" s="173">
        <f>VLOOKUP(CONCATENATE(LEFT(I$3,1),LEFT($F$2,1),$C14,RIGHT(I$3,1)),'Model Calculator'!$B$2:$AK$311,36,FALSE)</f>
        <v>1750.68</v>
      </c>
      <c r="J14" s="173">
        <f>VLOOKUP(CONCATENATE(LEFT(J$3,1),LEFT($F$2,1),$C14,RIGHT(J$3,1)),'Model Calculator'!$B$2:$AK$311,36,FALSE)</f>
        <v>1875.08</v>
      </c>
      <c r="K14" s="172">
        <f>VLOOKUP(CONCATENATE(LEFT(K$3,1),LEFT($K$2,1),$C14),'Model Calculator'!$B$2:$AK$311,36,FALSE)</f>
        <v>1558.95</v>
      </c>
      <c r="L14" s="173">
        <f>VLOOKUP(CONCATENATE(LEFT(L$3,1),LEFT($K$2,1),$C14),'Model Calculator'!$B$2:$AK$311,36,FALSE)</f>
        <v>1618.43</v>
      </c>
      <c r="M14" s="173">
        <f>VLOOKUP(CONCATENATE(LEFT(M$3,1),LEFT($K$2,1),$C14,RIGHT(M$3,1)),'Model Calculator'!$B$2:$AK$311,36,FALSE)</f>
        <v>1789.44</v>
      </c>
      <c r="N14" s="173">
        <f>VLOOKUP(CONCATENATE(LEFT(N$3,1),LEFT($K$2,1),$C14,RIGHT(N$3,1)),'Model Calculator'!$B$2:$AK$311,36,FALSE)</f>
        <v>1887.69</v>
      </c>
      <c r="O14" s="171">
        <f>VLOOKUP(CONCATENATE(LEFT(O$3,1),LEFT($K$2,1),$C14,RIGHT(O$3,1)),'Model Calculator'!$B$2:$AK$311,36,FALSE)</f>
        <v>2012.1</v>
      </c>
      <c r="R14" t="str">
        <f t="shared" si="0"/>
        <v>B</v>
      </c>
      <c r="S14" t="str">
        <f t="shared" si="1"/>
        <v>04.0</v>
      </c>
      <c r="T14" t="s">
        <v>520</v>
      </c>
      <c r="U14" t="str">
        <f t="shared" si="2"/>
        <v/>
      </c>
      <c r="V14" s="190" t="str">
        <f t="shared" si="3"/>
        <v>B04.0B</v>
      </c>
      <c r="X14" s="56" t="s">
        <v>431</v>
      </c>
      <c r="Y14" s="190" t="s">
        <v>301</v>
      </c>
      <c r="Z14" s="154">
        <f>VLOOKUP(X14,'Model Calculator'!$B$2:$AK$311,36,FALSE)</f>
        <v>843.57</v>
      </c>
    </row>
    <row r="15" spans="3:26">
      <c r="C15" s="191" t="s">
        <v>316</v>
      </c>
      <c r="D15" s="170"/>
      <c r="E15" s="175"/>
      <c r="F15" s="173">
        <f>VLOOKUP(CONCATENATE(LEFT(F$3,1),LEFT($F$2,1),$C15),'Model Calculator'!$B$2:$AK$311,36,FALSE)</f>
        <v>1506.32</v>
      </c>
      <c r="G15" s="173">
        <f>VLOOKUP(CONCATENATE(LEFT(G$3,1),LEFT($F$2,1),$C15),'Model Calculator'!$B$2:$AK$311,36,FALSE)</f>
        <v>1558.06</v>
      </c>
      <c r="H15" s="173">
        <f>VLOOKUP(CONCATENATE(LEFT(H$3,1),LEFT($F$2,1),$C15,RIGHT(H$3,1)),'Model Calculator'!$B$2:$AK$311,36,FALSE)</f>
        <v>1741.96</v>
      </c>
      <c r="I15" s="173">
        <f>VLOOKUP(CONCATENATE(LEFT(I$3,1),LEFT($F$2,1),$C15,RIGHT(I$3,1)),'Model Calculator'!$B$2:$AK$311,36,FALSE)</f>
        <v>1847.5</v>
      </c>
      <c r="J15" s="173">
        <f>VLOOKUP(CONCATENATE(LEFT(J$3,1),LEFT($F$2,1),$C15,RIGHT(J$3,1)),'Model Calculator'!$B$2:$AK$311,36,FALSE)</f>
        <v>1981.14</v>
      </c>
      <c r="K15" s="172">
        <f>VLOOKUP(CONCATENATE(LEFT(K$3,1),LEFT($K$2,1),$C15),'Model Calculator'!$B$2:$AK$311,36,FALSE)</f>
        <v>1633.01</v>
      </c>
      <c r="L15" s="173">
        <f>VLOOKUP(CONCATENATE(LEFT(L$3,1),LEFT($K$2,1),$C15),'Model Calculator'!$B$2:$AK$311,36,FALSE)</f>
        <v>1695.07</v>
      </c>
      <c r="M15" s="173">
        <f>VLOOKUP(CONCATENATE(LEFT(M$3,1),LEFT($K$2,1),$C15,RIGHT(M$3,1)),'Model Calculator'!$B$2:$AK$311,36,FALSE)</f>
        <v>1878.97</v>
      </c>
      <c r="N15" s="173">
        <f>VLOOKUP(CONCATENATE(LEFT(N$3,1),LEFT($K$2,1),$C15,RIGHT(N$3,1)),'Model Calculator'!$B$2:$AK$311,36,FALSE)</f>
        <v>1984.51</v>
      </c>
      <c r="O15" s="171">
        <f>VLOOKUP(CONCATENATE(LEFT(O$3,1),LEFT($K$2,1),$C15,RIGHT(O$3,1)),'Model Calculator'!$B$2:$AK$311,36,FALSE)</f>
        <v>2118.15</v>
      </c>
      <c r="R15" t="str">
        <f t="shared" si="0"/>
        <v>B</v>
      </c>
      <c r="S15" t="str">
        <f t="shared" si="1"/>
        <v>04.5</v>
      </c>
      <c r="T15" t="s">
        <v>520</v>
      </c>
      <c r="U15" t="str">
        <f t="shared" si="2"/>
        <v/>
      </c>
      <c r="V15" s="190" t="str">
        <f t="shared" si="3"/>
        <v>B04.5B</v>
      </c>
      <c r="X15" s="56" t="s">
        <v>432</v>
      </c>
      <c r="Y15" s="190" t="s">
        <v>301</v>
      </c>
      <c r="Z15" s="154">
        <f>VLOOKUP(X15,'Model Calculator'!$B$2:$AK$311,36,FALSE)</f>
        <v>916.35</v>
      </c>
    </row>
    <row r="16" spans="3:26">
      <c r="C16" s="191" t="s">
        <v>317</v>
      </c>
      <c r="D16" s="170"/>
      <c r="E16" s="175"/>
      <c r="F16" s="173">
        <f>VLOOKUP(CONCATENATE(LEFT(F$3,1),LEFT($F$2,1),$C16),'Model Calculator'!$B$2:$AK$311,36,FALSE)</f>
        <v>1580.38</v>
      </c>
      <c r="G16" s="173">
        <f>VLOOKUP(CONCATENATE(LEFT(G$3,1),LEFT($F$2,1),$C16),'Model Calculator'!$B$2:$AK$311,36,FALSE)</f>
        <v>1634.69</v>
      </c>
      <c r="H16" s="173">
        <f>VLOOKUP(CONCATENATE(LEFT(H$3,1),LEFT($F$2,1),$C16,RIGHT(H$3,1)),'Model Calculator'!$B$2:$AK$311,36,FALSE)</f>
        <v>1831.48</v>
      </c>
      <c r="I16" s="173">
        <f>VLOOKUP(CONCATENATE(LEFT(I$3,1),LEFT($F$2,1),$C16,RIGHT(I$3,1)),'Model Calculator'!$B$2:$AK$311,36,FALSE)</f>
        <v>1944.32</v>
      </c>
      <c r="J16" s="173">
        <f>VLOOKUP(CONCATENATE(LEFT(J$3,1),LEFT($F$2,1),$C16,RIGHT(J$3,1)),'Model Calculator'!$B$2:$AK$311,36,FALSE)</f>
        <v>2087.1999999999998</v>
      </c>
      <c r="K16" s="172">
        <f>VLOOKUP(CONCATENATE(LEFT(K$3,1),LEFT($K$2,1),$C16),'Model Calculator'!$B$2:$AK$311,36,FALSE)</f>
        <v>1707.08</v>
      </c>
      <c r="L16" s="173">
        <f>VLOOKUP(CONCATENATE(LEFT(L$3,1),LEFT($K$2,1),$C16),'Model Calculator'!$B$2:$AK$311,36,FALSE)</f>
        <v>1771.7</v>
      </c>
      <c r="M16" s="173">
        <f>VLOOKUP(CONCATENATE(LEFT(M$3,1),LEFT($K$2,1),$C16,RIGHT(M$3,1)),'Model Calculator'!$B$2:$AK$311,36,FALSE)</f>
        <v>1968.49</v>
      </c>
      <c r="N16" s="173">
        <f>VLOOKUP(CONCATENATE(LEFT(N$3,1),LEFT($K$2,1),$C16,RIGHT(N$3,1)),'Model Calculator'!$B$2:$AK$311,36,FALSE)</f>
        <v>2081.33</v>
      </c>
      <c r="O16" s="171">
        <f>VLOOKUP(CONCATENATE(LEFT(O$3,1),LEFT($K$2,1),$C16,RIGHT(O$3,1)),'Model Calculator'!$B$2:$AK$311,36,FALSE)</f>
        <v>2224.21</v>
      </c>
      <c r="R16" t="str">
        <f t="shared" si="0"/>
        <v>B</v>
      </c>
      <c r="S16" t="str">
        <f t="shared" si="1"/>
        <v>05.0</v>
      </c>
      <c r="T16" t="s">
        <v>520</v>
      </c>
      <c r="U16" t="str">
        <f t="shared" si="2"/>
        <v/>
      </c>
      <c r="V16" s="190" t="str">
        <f t="shared" si="3"/>
        <v>B05.0B</v>
      </c>
      <c r="X16" s="56" t="s">
        <v>433</v>
      </c>
      <c r="Y16" s="190" t="s">
        <v>301</v>
      </c>
      <c r="Z16" s="154">
        <f>VLOOKUP(X16,'Model Calculator'!$B$2:$AK$311,36,FALSE)</f>
        <v>990.42</v>
      </c>
    </row>
    <row r="17" spans="3:26">
      <c r="C17" s="191" t="s">
        <v>318</v>
      </c>
      <c r="D17" s="170"/>
      <c r="E17" s="175"/>
      <c r="F17" s="186"/>
      <c r="G17" s="173">
        <f>VLOOKUP(CONCATENATE(LEFT(G$3,1),LEFT($F$2,1),$C17),'Model Calculator'!$B$2:$AK$311,36,FALSE)</f>
        <v>1710.01</v>
      </c>
      <c r="H17" s="173">
        <f>VLOOKUP(CONCATENATE(LEFT(H$3,1),LEFT($F$2,1),$C17,RIGHT(H$3,1)),'Model Calculator'!$B$2:$AK$311,36,FALSE)</f>
        <v>1919.63</v>
      </c>
      <c r="I17" s="173">
        <f>VLOOKUP(CONCATENATE(LEFT(I$3,1),LEFT($F$2,1),$C17,RIGHT(I$3,1)),'Model Calculator'!$B$2:$AK$311,36,FALSE)</f>
        <v>2039.65</v>
      </c>
      <c r="J17" s="173">
        <f>VLOOKUP(CONCATENATE(LEFT(J$3,1),LEFT($F$2,1),$C17,RIGHT(J$3,1)),'Model Calculator'!$B$2:$AK$311,36,FALSE)</f>
        <v>2191.63</v>
      </c>
      <c r="K17" s="172">
        <f>VLOOKUP(CONCATENATE(LEFT(K$3,1),LEFT($K$2,1),$C17),'Model Calculator'!$B$2:$AK$311,36,FALSE)</f>
        <v>1779.87</v>
      </c>
      <c r="L17" s="173">
        <f>VLOOKUP(CONCATENATE(LEFT(L$3,1),LEFT($K$2,1),$C17),'Model Calculator'!$B$2:$AK$311,36,FALSE)</f>
        <v>1847.02</v>
      </c>
      <c r="M17" s="173">
        <f>VLOOKUP(CONCATENATE(LEFT(M$3,1),LEFT($K$2,1),$C17,RIGHT(M$3,1)),'Model Calculator'!$B$2:$AK$311,36,FALSE)</f>
        <v>2056.64</v>
      </c>
      <c r="N17" s="173">
        <f>VLOOKUP(CONCATENATE(LEFT(N$3,1),LEFT($K$2,1),$C17,RIGHT(N$3,1)),'Model Calculator'!$B$2:$AK$311,36,FALSE)</f>
        <v>2176.66</v>
      </c>
      <c r="O17" s="171">
        <f>VLOOKUP(CONCATENATE(LEFT(O$3,1),LEFT($K$2,1),$C17,RIGHT(O$3,1)),'Model Calculator'!$B$2:$AK$311,36,FALSE)</f>
        <v>2328.64</v>
      </c>
      <c r="R17" t="str">
        <f t="shared" si="0"/>
        <v>B</v>
      </c>
      <c r="S17" t="str">
        <f t="shared" si="1"/>
        <v>05.5</v>
      </c>
      <c r="T17" t="s">
        <v>520</v>
      </c>
      <c r="U17" t="str">
        <f t="shared" si="2"/>
        <v/>
      </c>
      <c r="V17" s="190" t="str">
        <f t="shared" si="3"/>
        <v>B05.5B</v>
      </c>
      <c r="X17" s="56" t="s">
        <v>434</v>
      </c>
      <c r="Y17" s="190" t="s">
        <v>301</v>
      </c>
      <c r="Z17" s="154">
        <f>VLOOKUP(X17,'Model Calculator'!$B$2:$AK$311,36,FALSE)</f>
        <v>1064.48</v>
      </c>
    </row>
    <row r="18" spans="3:26">
      <c r="C18" s="191" t="s">
        <v>319</v>
      </c>
      <c r="D18" s="170"/>
      <c r="E18" s="175"/>
      <c r="F18" s="186"/>
      <c r="G18" s="173">
        <f>VLOOKUP(CONCATENATE(LEFT(G$3,1),LEFT($F$2,1),$C18),'Model Calculator'!$B$2:$AK$311,36,FALSE)</f>
        <v>1786.64</v>
      </c>
      <c r="H18" s="173">
        <f>VLOOKUP(CONCATENATE(LEFT(H$3,1),LEFT($F$2,1),$C18,RIGHT(H$3,1)),'Model Calculator'!$B$2:$AK$311,36,FALSE)</f>
        <v>2009.16</v>
      </c>
      <c r="I18" s="173">
        <f>VLOOKUP(CONCATENATE(LEFT(I$3,1),LEFT($F$2,1),$C18,RIGHT(I$3,1)),'Model Calculator'!$B$2:$AK$311,36,FALSE)</f>
        <v>2136.4699999999998</v>
      </c>
      <c r="J18" s="173">
        <f>VLOOKUP(CONCATENATE(LEFT(J$3,1),LEFT($F$2,1),$C18,RIGHT(J$3,1)),'Model Calculator'!$B$2:$AK$311,36,FALSE)</f>
        <v>2297.69</v>
      </c>
      <c r="K18" s="172">
        <f>VLOOKUP(CONCATENATE(LEFT(K$3,1),LEFT($K$2,1),$C18),'Model Calculator'!$B$2:$AK$311,36,FALSE)</f>
        <v>1853.93</v>
      </c>
      <c r="L18" s="173">
        <f>VLOOKUP(CONCATENATE(LEFT(L$3,1),LEFT($K$2,1),$C18),'Model Calculator'!$B$2:$AK$311,36,FALSE)</f>
        <v>1923.65</v>
      </c>
      <c r="M18" s="173">
        <f>VLOOKUP(CONCATENATE(LEFT(M$3,1),LEFT($K$2,1),$C18,RIGHT(M$3,1)),'Model Calculator'!$B$2:$AK$311,36,FALSE)</f>
        <v>2146.17</v>
      </c>
      <c r="N18" s="173">
        <f>VLOOKUP(CONCATENATE(LEFT(N$3,1),LEFT($K$2,1),$C18,RIGHT(N$3,1)),'Model Calculator'!$B$2:$AK$311,36,FALSE)</f>
        <v>2273.48</v>
      </c>
      <c r="O18" s="171">
        <f>VLOOKUP(CONCATENATE(LEFT(O$3,1),LEFT($K$2,1),$C18,RIGHT(O$3,1)),'Model Calculator'!$B$2:$AK$311,36,FALSE)</f>
        <v>2434.6999999999998</v>
      </c>
      <c r="R18" t="str">
        <f t="shared" si="0"/>
        <v>B</v>
      </c>
      <c r="S18" t="str">
        <f t="shared" si="1"/>
        <v>06.0</v>
      </c>
      <c r="T18" t="s">
        <v>520</v>
      </c>
      <c r="U18" t="str">
        <f t="shared" si="2"/>
        <v/>
      </c>
      <c r="V18" s="190" t="str">
        <f t="shared" si="3"/>
        <v>B06.0B</v>
      </c>
      <c r="X18" s="56" t="s">
        <v>435</v>
      </c>
      <c r="Y18" s="190" t="s">
        <v>301</v>
      </c>
      <c r="Z18" s="154">
        <f>VLOOKUP(X18,'Model Calculator'!$B$2:$AK$311,36,FALSE)</f>
        <v>1137.27</v>
      </c>
    </row>
    <row r="19" spans="3:26">
      <c r="C19" s="192">
        <v>10.5</v>
      </c>
      <c r="D19" s="170"/>
      <c r="E19" s="175"/>
      <c r="F19" s="186"/>
      <c r="G19" s="173">
        <f>VLOOKUP(CONCATENATE(LEFT(G$3,1),LEFT($F$2,1),$C19),'Model Calculator'!$B$2:$AK$311,36,FALSE)</f>
        <v>1863.28</v>
      </c>
      <c r="H19" s="173">
        <f>VLOOKUP(CONCATENATE(LEFT(H$3,1),LEFT($F$2,1),$C19,RIGHT(H$3,1)),'Model Calculator'!$B$2:$AK$311,36,FALSE)</f>
        <v>2098.6799999999998</v>
      </c>
      <c r="I19" s="173">
        <f>VLOOKUP(CONCATENATE(LEFT(I$3,1),LEFT($F$2,1),$C19,RIGHT(I$3,1)),'Model Calculator'!$B$2:$AK$311,36,FALSE)</f>
        <v>2233.29</v>
      </c>
      <c r="J19" s="173">
        <f>VLOOKUP(CONCATENATE(LEFT(J$3,1),LEFT($F$2,1),$C19,RIGHT(J$3,1)),'Model Calculator'!$B$2:$AK$311,36,FALSE)</f>
        <v>2403.75</v>
      </c>
      <c r="K19" s="172">
        <f>VLOOKUP(CONCATENATE(LEFT(K$3,1),LEFT($K$2,1),$C19),'Model Calculator'!$B$2:$AK$311,36,FALSE)</f>
        <v>1928</v>
      </c>
      <c r="L19" s="173">
        <f>VLOOKUP(CONCATENATE(LEFT(L$3,1),LEFT($K$2,1),$C19),'Model Calculator'!$B$2:$AK$311,36,FALSE)</f>
        <v>2000.29</v>
      </c>
      <c r="M19" s="173">
        <f>VLOOKUP(CONCATENATE(LEFT(M$3,1),LEFT($K$2,1),$C19,RIGHT(M$3,1)),'Model Calculator'!$B$2:$AK$311,36,FALSE)</f>
        <v>2235.69</v>
      </c>
      <c r="N19" s="173">
        <f>VLOOKUP(CONCATENATE(LEFT(N$3,1),LEFT($K$2,1),$C19,RIGHT(N$3,1)),'Model Calculator'!$B$2:$AK$311,36,FALSE)</f>
        <v>2370.3000000000002</v>
      </c>
      <c r="O19" s="171">
        <f>VLOOKUP(CONCATENATE(LEFT(O$3,1),LEFT($K$2,1),$C19,RIGHT(O$3,1)),'Model Calculator'!$B$2:$AK$311,36,FALSE)</f>
        <v>2540.7600000000002</v>
      </c>
      <c r="R19" t="str">
        <f t="shared" si="0"/>
        <v>B</v>
      </c>
      <c r="S19" t="str">
        <f t="shared" si="1"/>
        <v>06.5</v>
      </c>
      <c r="T19" t="s">
        <v>520</v>
      </c>
      <c r="U19" t="str">
        <f t="shared" si="2"/>
        <v/>
      </c>
      <c r="V19" s="190" t="str">
        <f t="shared" si="3"/>
        <v>B06.5B</v>
      </c>
      <c r="X19" s="56" t="s">
        <v>436</v>
      </c>
      <c r="Y19" s="190" t="s">
        <v>301</v>
      </c>
      <c r="Z19" s="154">
        <f>VLOOKUP(X19,'Model Calculator'!$B$2:$AK$311,36,FALSE)</f>
        <v>1211.33</v>
      </c>
    </row>
    <row r="20" spans="3:26">
      <c r="C20" s="192" t="s">
        <v>320</v>
      </c>
      <c r="D20" s="170"/>
      <c r="E20" s="175"/>
      <c r="F20" s="186"/>
      <c r="G20" s="173">
        <f>VLOOKUP(CONCATENATE(LEFT(G$3,1),LEFT($F$2,1),$C20),'Model Calculator'!$B$2:$AK$311,36,FALSE)</f>
        <v>1938.59</v>
      </c>
      <c r="H20" s="173">
        <f>VLOOKUP(CONCATENATE(LEFT(H$3,1),LEFT($F$2,1),$C20,RIGHT(H$3,1)),'Model Calculator'!$B$2:$AK$311,36,FALSE)</f>
        <v>2186.84</v>
      </c>
      <c r="I20" s="173">
        <f>VLOOKUP(CONCATENATE(LEFT(I$3,1),LEFT($F$2,1),$C20,RIGHT(I$3,1)),'Model Calculator'!$B$2:$AK$311,36,FALSE)</f>
        <v>2328.63</v>
      </c>
      <c r="J20" s="173">
        <f>VLOOKUP(CONCATENATE(LEFT(J$3,1),LEFT($F$2,1),$C20,RIGHT(J$3,1)),'Model Calculator'!$B$2:$AK$311,36,FALSE)</f>
        <v>2508.1799999999998</v>
      </c>
      <c r="K20" s="172">
        <f>VLOOKUP(CONCATENATE(LEFT(K$3,1),LEFT($K$2,1),$C20),'Model Calculator'!$B$2:$AK$311,36,FALSE)</f>
        <v>2000.78</v>
      </c>
      <c r="L20" s="173">
        <f>VLOOKUP(CONCATENATE(LEFT(L$3,1),LEFT($K$2,1),$C20),'Model Calculator'!$B$2:$AK$311,36,FALSE)</f>
        <v>2075.6</v>
      </c>
      <c r="M20" s="173">
        <f>VLOOKUP(CONCATENATE(LEFT(M$3,1),LEFT($K$2,1),$C20,RIGHT(M$3,1)),'Model Calculator'!$B$2:$AK$311,36,FALSE)</f>
        <v>2323.85</v>
      </c>
      <c r="N20" s="173">
        <f>VLOOKUP(CONCATENATE(LEFT(N$3,1),LEFT($K$2,1),$C20,RIGHT(N$3,1)),'Model Calculator'!$B$2:$AK$311,36,FALSE)</f>
        <v>2465.64</v>
      </c>
      <c r="O20" s="171">
        <f>VLOOKUP(CONCATENATE(LEFT(O$3,1),LEFT($K$2,1),$C20,RIGHT(O$3,1)),'Model Calculator'!$B$2:$AK$311,36,FALSE)</f>
        <v>2645.19</v>
      </c>
      <c r="R20" t="str">
        <f t="shared" si="0"/>
        <v>B</v>
      </c>
      <c r="S20" t="str">
        <f t="shared" si="1"/>
        <v>07.0</v>
      </c>
      <c r="T20" t="s">
        <v>520</v>
      </c>
      <c r="U20" t="str">
        <f t="shared" si="2"/>
        <v/>
      </c>
      <c r="V20" s="190" t="str">
        <f t="shared" si="3"/>
        <v>B07.0B</v>
      </c>
      <c r="X20" s="56" t="s">
        <v>437</v>
      </c>
      <c r="Y20" s="190" t="s">
        <v>301</v>
      </c>
      <c r="Z20" s="154">
        <f>VLOOKUP(X20,'Model Calculator'!$B$2:$AK$311,36,FALSE)</f>
        <v>1285.4000000000001</v>
      </c>
    </row>
    <row r="21" spans="3:26">
      <c r="C21" s="192">
        <v>11.5</v>
      </c>
      <c r="D21" s="170"/>
      <c r="E21" s="175"/>
      <c r="F21" s="174"/>
      <c r="G21" s="174"/>
      <c r="H21" s="174"/>
      <c r="I21" s="174"/>
      <c r="J21" s="174"/>
      <c r="K21" s="172">
        <f>VLOOKUP(CONCATENATE(LEFT(K$3,1),LEFT($K$2,1),$C21),'Model Calculator'!$B$2:$AK$311,36,FALSE)</f>
        <v>2074.85</v>
      </c>
      <c r="L21" s="173">
        <f>VLOOKUP(CONCATENATE(LEFT(L$3,1),LEFT($K$2,1),$C21),'Model Calculator'!$B$2:$AK$311,36,FALSE)</f>
        <v>2152.2399999999998</v>
      </c>
      <c r="M21" s="173">
        <f>VLOOKUP(CONCATENATE(LEFT(M$3,1),LEFT($K$2,1),$C21,RIGHT(M$3,1)),'Model Calculator'!$B$2:$AK$311,36,FALSE)</f>
        <v>2413.37</v>
      </c>
      <c r="N21" s="173">
        <f>VLOOKUP(CONCATENATE(LEFT(N$3,1),LEFT($K$2,1),$C21,RIGHT(N$3,1)),'Model Calculator'!$B$2:$AK$311,36,FALSE)</f>
        <v>2562.46</v>
      </c>
      <c r="O21" s="171">
        <f>VLOOKUP(CONCATENATE(LEFT(O$3,1),LEFT($K$2,1),$C21,RIGHT(O$3,1)),'Model Calculator'!$B$2:$AK$311,36,FALSE)</f>
        <v>2751.25</v>
      </c>
      <c r="R21" t="str">
        <f t="shared" si="0"/>
        <v>B</v>
      </c>
      <c r="S21" t="str">
        <f t="shared" si="1"/>
        <v>07.5</v>
      </c>
      <c r="T21" t="s">
        <v>520</v>
      </c>
      <c r="U21" t="str">
        <f t="shared" si="2"/>
        <v/>
      </c>
      <c r="V21" s="190" t="str">
        <f t="shared" si="3"/>
        <v>B07.5B</v>
      </c>
      <c r="X21" s="56" t="s">
        <v>438</v>
      </c>
      <c r="Y21" s="190" t="s">
        <v>301</v>
      </c>
      <c r="Z21" s="154">
        <f>VLOOKUP(X21,'Model Calculator'!$B$2:$AK$311,36,FALSE)</f>
        <v>1359.46</v>
      </c>
    </row>
    <row r="22" spans="3:26">
      <c r="C22" s="192" t="s">
        <v>321</v>
      </c>
      <c r="D22" s="170"/>
      <c r="E22" s="175"/>
      <c r="F22" s="174"/>
      <c r="G22" s="174"/>
      <c r="H22" s="174"/>
      <c r="I22" s="174"/>
      <c r="J22" s="174"/>
      <c r="K22" s="172">
        <f>VLOOKUP(CONCATENATE(LEFT(K$3,1),LEFT($K$2,1),$C22),'Model Calculator'!$B$2:$AK$311,36,FALSE)</f>
        <v>2148.91</v>
      </c>
      <c r="L22" s="173">
        <f>VLOOKUP(CONCATENATE(LEFT(L$3,1),LEFT($K$2,1),$C22),'Model Calculator'!$B$2:$AK$311,36,FALSE)</f>
        <v>2228.87</v>
      </c>
      <c r="M22" s="173">
        <f>VLOOKUP(CONCATENATE(LEFT(M$3,1),LEFT($K$2,1),$C22,RIGHT(M$3,1)),'Model Calculator'!$B$2:$AK$311,36,FALSE)</f>
        <v>2502.89</v>
      </c>
      <c r="N22" s="173">
        <f>VLOOKUP(CONCATENATE(LEFT(N$3,1),LEFT($K$2,1),$C22,RIGHT(N$3,1)),'Model Calculator'!$B$2:$AK$311,36,FALSE)</f>
        <v>2659.28</v>
      </c>
      <c r="O22" s="171">
        <f>VLOOKUP(CONCATENATE(LEFT(O$3,1),LEFT($K$2,1),$C22,RIGHT(O$3,1)),'Model Calculator'!$B$2:$AK$311,36,FALSE)</f>
        <v>2857.31</v>
      </c>
      <c r="R22" t="str">
        <f t="shared" si="0"/>
        <v>B</v>
      </c>
      <c r="S22" t="str">
        <f t="shared" si="1"/>
        <v>08.0</v>
      </c>
      <c r="T22" t="s">
        <v>520</v>
      </c>
      <c r="U22" t="str">
        <f t="shared" si="2"/>
        <v/>
      </c>
      <c r="V22" s="190" t="str">
        <f t="shared" si="3"/>
        <v>B08.0B</v>
      </c>
      <c r="X22" s="56" t="s">
        <v>439</v>
      </c>
      <c r="Y22" s="190" t="s">
        <v>301</v>
      </c>
      <c r="Z22" s="154">
        <f>VLOOKUP(X22,'Model Calculator'!$B$2:$AK$311,36,FALSE)</f>
        <v>1432.25</v>
      </c>
    </row>
    <row r="23" spans="3:26">
      <c r="C23" s="192">
        <v>12.5</v>
      </c>
      <c r="D23" s="170"/>
      <c r="E23" s="175"/>
      <c r="F23" s="174"/>
      <c r="G23" s="174"/>
      <c r="H23" s="174"/>
      <c r="I23" s="174"/>
      <c r="J23" s="174"/>
      <c r="K23" s="172">
        <f>VLOOKUP(CONCATENATE(LEFT(K$3,1),LEFT($K$2,1),$C23),'Model Calculator'!$B$2:$AK$311,36,FALSE)</f>
        <v>2222.98</v>
      </c>
      <c r="L23" s="173">
        <f>VLOOKUP(CONCATENATE(LEFT(L$3,1),LEFT($K$2,1),$C23),'Model Calculator'!$B$2:$AK$311,36,FALSE)</f>
        <v>2305.5100000000002</v>
      </c>
      <c r="M23" s="173">
        <f>VLOOKUP(CONCATENATE(LEFT(M$3,1),LEFT($K$2,1),$C23,RIGHT(M$3,1)),'Model Calculator'!$B$2:$AK$311,36,FALSE)</f>
        <v>2592.42</v>
      </c>
      <c r="N23" s="173">
        <f>VLOOKUP(CONCATENATE(LEFT(N$3,1),LEFT($K$2,1),$C23,RIGHT(N$3,1)),'Model Calculator'!$B$2:$AK$311,36,FALSE)</f>
        <v>2756.1</v>
      </c>
      <c r="O23" s="171">
        <f>VLOOKUP(CONCATENATE(LEFT(O$3,1),LEFT($K$2,1),$C23,RIGHT(O$3,1)),'Model Calculator'!$B$2:$AK$311,36,FALSE)</f>
        <v>2963.37</v>
      </c>
      <c r="R23" t="str">
        <f t="shared" si="0"/>
        <v>B</v>
      </c>
      <c r="S23" t="str">
        <f t="shared" si="1"/>
        <v>08.5</v>
      </c>
      <c r="T23" t="s">
        <v>520</v>
      </c>
      <c r="U23" t="str">
        <f t="shared" si="2"/>
        <v/>
      </c>
      <c r="V23" s="190" t="str">
        <f t="shared" si="3"/>
        <v>B08.5B</v>
      </c>
      <c r="X23" s="56" t="s">
        <v>440</v>
      </c>
      <c r="Y23" s="190" t="s">
        <v>301</v>
      </c>
      <c r="Z23" s="154">
        <f>VLOOKUP(X23,'Model Calculator'!$B$2:$AK$311,36,FALSE)</f>
        <v>1506.32</v>
      </c>
    </row>
    <row r="24" spans="3:26">
      <c r="C24" s="192" t="s">
        <v>322</v>
      </c>
      <c r="D24" s="170"/>
      <c r="E24" s="175"/>
      <c r="F24" s="174"/>
      <c r="G24" s="174"/>
      <c r="H24" s="174"/>
      <c r="I24" s="174"/>
      <c r="J24" s="174"/>
      <c r="K24" s="170"/>
      <c r="L24" s="173">
        <f>VLOOKUP(CONCATENATE(LEFT(L$3,1),LEFT($K$2,1),$C24),'Model Calculator'!$B$2:$AK$311,36,FALSE)</f>
        <v>2380.8200000000002</v>
      </c>
      <c r="M24" s="173">
        <f>VLOOKUP(CONCATENATE(LEFT(M$3,1),LEFT($K$2,1),$C24,RIGHT(M$3,1)),'Model Calculator'!$B$2:$AK$311,36,FALSE)</f>
        <v>2680.57</v>
      </c>
      <c r="N24" s="173">
        <f>VLOOKUP(CONCATENATE(LEFT(N$3,1),LEFT($K$2,1),$C24,RIGHT(N$3,1)),'Model Calculator'!$B$2:$AK$311,36,FALSE)</f>
        <v>2851.44</v>
      </c>
      <c r="O24" s="171">
        <f>VLOOKUP(CONCATENATE(LEFT(O$3,1),LEFT($K$2,1),$C24,RIGHT(O$3,1)),'Model Calculator'!$B$2:$AK$311,36,FALSE)</f>
        <v>3067.8</v>
      </c>
      <c r="R24" t="str">
        <f t="shared" si="0"/>
        <v>B</v>
      </c>
      <c r="S24" t="str">
        <f t="shared" si="1"/>
        <v>09.0</v>
      </c>
      <c r="T24" t="s">
        <v>520</v>
      </c>
      <c r="U24" t="str">
        <f t="shared" si="2"/>
        <v/>
      </c>
      <c r="V24" s="190" t="str">
        <f t="shared" si="3"/>
        <v>B09.0B</v>
      </c>
      <c r="X24" s="56" t="s">
        <v>441</v>
      </c>
      <c r="Y24" s="190" t="s">
        <v>301</v>
      </c>
      <c r="Z24" s="154">
        <f>VLOOKUP(X24,'Model Calculator'!$B$2:$AK$311,36,FALSE)</f>
        <v>1580.38</v>
      </c>
    </row>
    <row r="25" spans="3:26">
      <c r="C25" s="192">
        <v>13.5</v>
      </c>
      <c r="D25" s="170"/>
      <c r="E25" s="175"/>
      <c r="F25" s="174"/>
      <c r="G25" s="174"/>
      <c r="H25" s="174"/>
      <c r="I25" s="174"/>
      <c r="J25" s="174"/>
      <c r="K25" s="170"/>
      <c r="L25" s="173">
        <f>VLOOKUP(CONCATENATE(LEFT(L$3,1),LEFT($K$2,1),$C25),'Model Calculator'!$B$2:$AK$311,36,FALSE)</f>
        <v>2457.46</v>
      </c>
      <c r="M25" s="173">
        <f>VLOOKUP(CONCATENATE(LEFT(M$3,1),LEFT($K$2,1),$C25,RIGHT(M$3,1)),'Model Calculator'!$B$2:$AK$311,36,FALSE)</f>
        <v>2770.1</v>
      </c>
      <c r="N25" s="173">
        <f>VLOOKUP(CONCATENATE(LEFT(N$3,1),LEFT($K$2,1),$C25,RIGHT(N$3,1)),'Model Calculator'!$B$2:$AK$311,36,FALSE)</f>
        <v>2948.26</v>
      </c>
      <c r="O25" s="171">
        <f>VLOOKUP(CONCATENATE(LEFT(O$3,1),LEFT($K$2,1),$C25,RIGHT(O$3,1)),'Model Calculator'!$B$2:$AK$311,36,FALSE)</f>
        <v>3173.86</v>
      </c>
      <c r="R25" t="str">
        <f t="shared" si="0"/>
        <v>I</v>
      </c>
      <c r="S25" t="str">
        <f t="shared" si="1"/>
        <v>03.5</v>
      </c>
      <c r="T25" t="s">
        <v>520</v>
      </c>
      <c r="U25" t="str">
        <f t="shared" si="2"/>
        <v/>
      </c>
      <c r="V25" s="190" t="str">
        <f t="shared" si="3"/>
        <v>I03.5B</v>
      </c>
      <c r="X25" s="56" t="s">
        <v>442</v>
      </c>
      <c r="Y25" s="190" t="s">
        <v>301</v>
      </c>
      <c r="Z25" s="154">
        <f>VLOOKUP(X25,'Model Calculator'!$B$2:$AK$311,36,FALSE)</f>
        <v>795.67</v>
      </c>
    </row>
    <row r="26" spans="3:26">
      <c r="C26" s="192" t="s">
        <v>323</v>
      </c>
      <c r="D26" s="170"/>
      <c r="E26" s="175"/>
      <c r="F26" s="174"/>
      <c r="G26" s="174"/>
      <c r="H26" s="174"/>
      <c r="I26" s="174"/>
      <c r="J26" s="174"/>
      <c r="K26" s="170"/>
      <c r="L26" s="173">
        <f>VLOOKUP(CONCATENATE(LEFT(L$3,1),LEFT($K$2,1),$C26),'Model Calculator'!$B$2:$AK$311,36,FALSE)</f>
        <v>2534.09</v>
      </c>
      <c r="M26" s="173">
        <f>VLOOKUP(CONCATENATE(LEFT(M$3,1),LEFT($K$2,1),$C26,RIGHT(M$3,1)),'Model Calculator'!$B$2:$AK$311,36,FALSE)</f>
        <v>2859.62</v>
      </c>
      <c r="N26" s="173">
        <f>VLOOKUP(CONCATENATE(LEFT(N$3,1),LEFT($K$2,1),$C26,RIGHT(N$3,1)),'Model Calculator'!$B$2:$AK$311,36,FALSE)</f>
        <v>3045.08</v>
      </c>
      <c r="O26" s="171">
        <f>VLOOKUP(CONCATENATE(LEFT(O$3,1),LEFT($K$2,1),$C26,RIGHT(O$3,1)),'Model Calculator'!$B$2:$AK$311,36,FALSE)</f>
        <v>3279.92</v>
      </c>
      <c r="R26" t="str">
        <f t="shared" si="0"/>
        <v>I</v>
      </c>
      <c r="S26" t="str">
        <f t="shared" si="1"/>
        <v>04.0</v>
      </c>
      <c r="T26" t="s">
        <v>520</v>
      </c>
      <c r="U26" t="str">
        <f t="shared" si="2"/>
        <v/>
      </c>
      <c r="V26" s="190" t="str">
        <f t="shared" si="3"/>
        <v>I04.0B</v>
      </c>
      <c r="X26" s="56" t="s">
        <v>443</v>
      </c>
      <c r="Y26" s="190" t="s">
        <v>301</v>
      </c>
      <c r="Z26" s="154">
        <f>VLOOKUP(X26,'Model Calculator'!$B$2:$AK$311,36,FALSE)</f>
        <v>872.3</v>
      </c>
    </row>
    <row r="27" spans="3:26">
      <c r="C27" s="192">
        <v>14.5</v>
      </c>
      <c r="D27" s="170"/>
      <c r="E27" s="175"/>
      <c r="F27" s="174"/>
      <c r="G27" s="174"/>
      <c r="H27" s="174"/>
      <c r="I27" s="174"/>
      <c r="J27" s="174"/>
      <c r="K27" s="170"/>
      <c r="L27" s="173">
        <f>VLOOKUP(CONCATENATE(LEFT(L$3,1),LEFT($K$2,1),$C27),'Model Calculator'!$B$2:$AK$311,36,FALSE)</f>
        <v>2609.4</v>
      </c>
      <c r="M27" s="173">
        <f>VLOOKUP(CONCATENATE(LEFT(M$3,1),LEFT($K$2,1),$C27,RIGHT(M$3,1)),'Model Calculator'!$B$2:$AK$311,36,FALSE)</f>
        <v>2947.77</v>
      </c>
      <c r="N27" s="173">
        <f>VLOOKUP(CONCATENATE(LEFT(N$3,1),LEFT($K$2,1),$C27,RIGHT(N$3,1)),'Model Calculator'!$B$2:$AK$311,36,FALSE)</f>
        <v>3140.41</v>
      </c>
      <c r="O27" s="171">
        <f>VLOOKUP(CONCATENATE(LEFT(O$3,1),LEFT($K$2,1),$C27,RIGHT(O$3,1)),'Model Calculator'!$B$2:$AK$311,36,FALSE)</f>
        <v>3384.35</v>
      </c>
      <c r="R27" t="str">
        <f t="shared" si="0"/>
        <v>I</v>
      </c>
      <c r="S27" t="str">
        <f t="shared" si="1"/>
        <v>04.5</v>
      </c>
      <c r="T27" t="s">
        <v>520</v>
      </c>
      <c r="U27" t="str">
        <f t="shared" si="2"/>
        <v/>
      </c>
      <c r="V27" s="190" t="str">
        <f t="shared" si="3"/>
        <v>I04.5B</v>
      </c>
      <c r="X27" s="56" t="s">
        <v>444</v>
      </c>
      <c r="Y27" s="190" t="s">
        <v>301</v>
      </c>
      <c r="Z27" s="154">
        <f>VLOOKUP(X27,'Model Calculator'!$B$2:$AK$311,36,FALSE)</f>
        <v>947.62</v>
      </c>
    </row>
    <row r="28" spans="3:26">
      <c r="C28" s="192" t="s">
        <v>324</v>
      </c>
      <c r="D28" s="170"/>
      <c r="E28" s="175"/>
      <c r="F28" s="174"/>
      <c r="G28" s="174"/>
      <c r="H28" s="174"/>
      <c r="I28" s="174"/>
      <c r="J28" s="174"/>
      <c r="K28" s="170"/>
      <c r="L28" s="173">
        <f>VLOOKUP(CONCATENATE(LEFT(L$3,1),LEFT($K$2,1),$C28),'Model Calculator'!$B$2:$AK$311,36,FALSE)</f>
        <v>2686.04</v>
      </c>
      <c r="M28" s="173">
        <f>VLOOKUP(CONCATENATE(LEFT(M$3,1),LEFT($K$2,1),$C28,RIGHT(M$3,1)),'Model Calculator'!$B$2:$AK$311,36,FALSE)</f>
        <v>3037.3</v>
      </c>
      <c r="N28" s="173">
        <f>VLOOKUP(CONCATENATE(LEFT(N$3,1),LEFT($K$2,1),$C28,RIGHT(N$3,1)),'Model Calculator'!$B$2:$AK$311,36,FALSE)</f>
        <v>3237.23</v>
      </c>
      <c r="O28" s="171">
        <f>VLOOKUP(CONCATENATE(LEFT(O$3,1),LEFT($K$2,1),$C28,RIGHT(O$3,1)),'Model Calculator'!$B$2:$AK$311,36,FALSE)</f>
        <v>3490.41</v>
      </c>
      <c r="R28" t="str">
        <f t="shared" si="0"/>
        <v>I</v>
      </c>
      <c r="S28" t="str">
        <f t="shared" si="1"/>
        <v>05.0</v>
      </c>
      <c r="T28" t="s">
        <v>520</v>
      </c>
      <c r="U28" t="str">
        <f t="shared" si="2"/>
        <v/>
      </c>
      <c r="V28" s="190" t="str">
        <f t="shared" si="3"/>
        <v>I05.0B</v>
      </c>
      <c r="X28" s="56" t="s">
        <v>445</v>
      </c>
      <c r="Y28" s="190" t="s">
        <v>301</v>
      </c>
      <c r="Z28" s="154">
        <f>VLOOKUP(X28,'Model Calculator'!$B$2:$AK$311,36,FALSE)</f>
        <v>1024.25</v>
      </c>
    </row>
    <row r="29" spans="3:26" ht="15.75" thickBot="1">
      <c r="C29" s="193">
        <v>15.5</v>
      </c>
      <c r="D29" s="176"/>
      <c r="E29" s="177"/>
      <c r="F29" s="178"/>
      <c r="G29" s="178"/>
      <c r="H29" s="178"/>
      <c r="I29" s="178"/>
      <c r="J29" s="178"/>
      <c r="K29" s="176"/>
      <c r="L29" s="179">
        <f>VLOOKUP(CONCATENATE(LEFT(L$3,1),LEFT($K$2,1),$C29),'Model Calculator'!$B$2:$AK$311,36,FALSE)</f>
        <v>2762.67</v>
      </c>
      <c r="M29" s="179">
        <f>VLOOKUP(CONCATENATE(LEFT(M$3,1),LEFT($K$2,1),$C29,RIGHT(M$3,1)),'Model Calculator'!$B$2:$AK$311,36,FALSE)</f>
        <v>3126.82</v>
      </c>
      <c r="N29" s="179">
        <f>VLOOKUP(CONCATENATE(LEFT(N$3,1),LEFT($K$2,1),$C29,RIGHT(N$3,1)),'Model Calculator'!$B$2:$AK$311,36,FALSE)</f>
        <v>3334.05</v>
      </c>
      <c r="O29" s="180">
        <f>VLOOKUP(CONCATENATE(LEFT(O$3,1),LEFT($K$2,1),$C29,RIGHT(O$3,1)),'Model Calculator'!$B$2:$AK$311,36,FALSE)</f>
        <v>3596.47</v>
      </c>
      <c r="R29" t="str">
        <f t="shared" si="0"/>
        <v>I</v>
      </c>
      <c r="S29" t="str">
        <f t="shared" si="1"/>
        <v>05.5</v>
      </c>
      <c r="T29" t="s">
        <v>520</v>
      </c>
      <c r="U29" t="str">
        <f t="shared" si="2"/>
        <v/>
      </c>
      <c r="V29" s="190" t="str">
        <f t="shared" si="3"/>
        <v>I05.5B</v>
      </c>
      <c r="X29" s="56" t="s">
        <v>446</v>
      </c>
      <c r="Y29" s="190" t="s">
        <v>301</v>
      </c>
      <c r="Z29" s="154">
        <f>VLOOKUP(X29,'Model Calculator'!$B$2:$AK$311,36,FALSE)</f>
        <v>1100.8900000000001</v>
      </c>
    </row>
    <row r="30" spans="3:26">
      <c r="C30" s="156"/>
      <c r="R30" t="str">
        <f t="shared" si="0"/>
        <v>I</v>
      </c>
      <c r="S30" t="str">
        <f t="shared" si="1"/>
        <v>06.0</v>
      </c>
      <c r="T30" t="s">
        <v>520</v>
      </c>
      <c r="U30" t="str">
        <f t="shared" si="2"/>
        <v/>
      </c>
      <c r="V30" s="190" t="str">
        <f t="shared" si="3"/>
        <v>I06.0B</v>
      </c>
      <c r="X30" s="56" t="s">
        <v>447</v>
      </c>
      <c r="Y30" s="190" t="s">
        <v>301</v>
      </c>
      <c r="Z30" s="154">
        <f>VLOOKUP(X30,'Model Calculator'!$B$2:$AK$311,36,FALSE)</f>
        <v>1176.2</v>
      </c>
    </row>
    <row r="31" spans="3:26">
      <c r="R31" t="str">
        <f t="shared" si="0"/>
        <v>I</v>
      </c>
      <c r="S31" t="str">
        <f t="shared" si="1"/>
        <v>06.5</v>
      </c>
      <c r="T31" t="s">
        <v>520</v>
      </c>
      <c r="U31" t="str">
        <f t="shared" si="2"/>
        <v/>
      </c>
      <c r="V31" s="190" t="str">
        <f t="shared" si="3"/>
        <v>I06.5B</v>
      </c>
      <c r="X31" s="56" t="s">
        <v>448</v>
      </c>
      <c r="Y31" s="190" t="s">
        <v>301</v>
      </c>
      <c r="Z31" s="154">
        <f>VLOOKUP(X31,'Model Calculator'!$B$2:$AK$311,36,FALSE)</f>
        <v>1252.8399999999999</v>
      </c>
    </row>
    <row r="32" spans="3:26">
      <c r="H32" s="194"/>
      <c r="R32" t="str">
        <f t="shared" si="0"/>
        <v>I</v>
      </c>
      <c r="S32" t="str">
        <f t="shared" si="1"/>
        <v>07.0</v>
      </c>
      <c r="T32" t="s">
        <v>520</v>
      </c>
      <c r="U32" t="str">
        <f t="shared" si="2"/>
        <v/>
      </c>
      <c r="V32" s="190" t="str">
        <f t="shared" si="3"/>
        <v>I07.0B</v>
      </c>
      <c r="X32" s="56" t="s">
        <v>449</v>
      </c>
      <c r="Y32" s="190" t="s">
        <v>301</v>
      </c>
      <c r="Z32" s="154">
        <f>VLOOKUP(X32,'Model Calculator'!$B$2:$AK$311,36,FALSE)</f>
        <v>1329.47</v>
      </c>
    </row>
    <row r="33" spans="8:26">
      <c r="H33" s="194"/>
      <c r="R33" t="str">
        <f t="shared" si="0"/>
        <v>I</v>
      </c>
      <c r="S33" t="str">
        <f t="shared" si="1"/>
        <v>07.5</v>
      </c>
      <c r="T33" t="s">
        <v>520</v>
      </c>
      <c r="U33" t="str">
        <f t="shared" si="2"/>
        <v/>
      </c>
      <c r="V33" s="190" t="str">
        <f t="shared" si="3"/>
        <v>I07.5B</v>
      </c>
      <c r="X33" s="56" t="s">
        <v>450</v>
      </c>
      <c r="Y33" s="190" t="s">
        <v>301</v>
      </c>
      <c r="Z33" s="154">
        <f>VLOOKUP(X33,'Model Calculator'!$B$2:$AK$311,36,FALSE)</f>
        <v>1406.11</v>
      </c>
    </row>
    <row r="34" spans="8:26">
      <c r="H34" s="194"/>
      <c r="R34" t="str">
        <f t="shared" si="0"/>
        <v>I</v>
      </c>
      <c r="S34" t="str">
        <f t="shared" si="1"/>
        <v>08.0</v>
      </c>
      <c r="T34" t="s">
        <v>520</v>
      </c>
      <c r="U34" t="str">
        <f t="shared" si="2"/>
        <v/>
      </c>
      <c r="V34" s="190" t="str">
        <f t="shared" si="3"/>
        <v>I08.0B</v>
      </c>
      <c r="X34" s="56" t="s">
        <v>451</v>
      </c>
      <c r="Y34" s="190" t="s">
        <v>301</v>
      </c>
      <c r="Z34" s="154">
        <f>VLOOKUP(X34,'Model Calculator'!$B$2:$AK$311,36,FALSE)</f>
        <v>1481.42</v>
      </c>
    </row>
    <row r="35" spans="8:26">
      <c r="H35" s="194"/>
      <c r="R35" t="str">
        <f t="shared" si="0"/>
        <v>I</v>
      </c>
      <c r="S35" t="str">
        <f t="shared" si="1"/>
        <v>08.5</v>
      </c>
      <c r="T35" t="s">
        <v>520</v>
      </c>
      <c r="U35" t="str">
        <f t="shared" si="2"/>
        <v/>
      </c>
      <c r="V35" s="190" t="str">
        <f t="shared" si="3"/>
        <v>I08.5B</v>
      </c>
      <c r="X35" s="56" t="s">
        <v>452</v>
      </c>
      <c r="Y35" s="190" t="s">
        <v>301</v>
      </c>
      <c r="Z35" s="154">
        <f>VLOOKUP(X35,'Model Calculator'!$B$2:$AK$311,36,FALSE)</f>
        <v>1558.06</v>
      </c>
    </row>
    <row r="36" spans="8:26">
      <c r="H36" s="194"/>
      <c r="R36" t="str">
        <f t="shared" si="0"/>
        <v>I</v>
      </c>
      <c r="S36" t="str">
        <f t="shared" si="1"/>
        <v>09.0</v>
      </c>
      <c r="T36" t="s">
        <v>520</v>
      </c>
      <c r="U36" t="str">
        <f t="shared" si="2"/>
        <v/>
      </c>
      <c r="V36" s="190" t="str">
        <f t="shared" si="3"/>
        <v>I09.0B</v>
      </c>
      <c r="X36" s="56" t="s">
        <v>453</v>
      </c>
      <c r="Y36" s="190" t="s">
        <v>301</v>
      </c>
      <c r="Z36" s="154">
        <f>VLOOKUP(X36,'Model Calculator'!$B$2:$AK$311,36,FALSE)</f>
        <v>1634.69</v>
      </c>
    </row>
    <row r="37" spans="8:26">
      <c r="H37" s="194"/>
      <c r="R37" t="str">
        <f t="shared" si="0"/>
        <v>I</v>
      </c>
      <c r="S37" t="str">
        <f t="shared" si="1"/>
        <v>09.5</v>
      </c>
      <c r="T37" t="s">
        <v>520</v>
      </c>
      <c r="U37" t="str">
        <f t="shared" si="2"/>
        <v/>
      </c>
      <c r="V37" s="190" t="str">
        <f t="shared" si="3"/>
        <v>I09.5B</v>
      </c>
      <c r="X37" s="56" t="s">
        <v>454</v>
      </c>
      <c r="Y37" s="190" t="s">
        <v>301</v>
      </c>
      <c r="Z37" s="154">
        <f>VLOOKUP(X37,'Model Calculator'!$B$2:$AK$311,36,FALSE)</f>
        <v>1710.01</v>
      </c>
    </row>
    <row r="38" spans="8:26">
      <c r="H38" s="194"/>
      <c r="R38" t="str">
        <f t="shared" si="0"/>
        <v>I</v>
      </c>
      <c r="S38" t="str">
        <f t="shared" si="1"/>
        <v>10.0</v>
      </c>
      <c r="T38" t="s">
        <v>520</v>
      </c>
      <c r="U38" t="str">
        <f t="shared" si="2"/>
        <v/>
      </c>
      <c r="V38" s="190" t="str">
        <f t="shared" si="3"/>
        <v>I10.0B</v>
      </c>
      <c r="X38" s="56" t="s">
        <v>455</v>
      </c>
      <c r="Y38" s="190" t="s">
        <v>301</v>
      </c>
      <c r="Z38" s="154">
        <f>VLOOKUP(X38,'Model Calculator'!$B$2:$AK$311,36,FALSE)</f>
        <v>1786.64</v>
      </c>
    </row>
    <row r="39" spans="8:26">
      <c r="H39" s="194"/>
      <c r="R39" t="str">
        <f t="shared" si="0"/>
        <v>I</v>
      </c>
      <c r="S39" t="str">
        <f t="shared" si="1"/>
        <v>10.5</v>
      </c>
      <c r="T39" t="s">
        <v>520</v>
      </c>
      <c r="U39" t="str">
        <f t="shared" si="2"/>
        <v/>
      </c>
      <c r="V39" s="190" t="str">
        <f t="shared" si="3"/>
        <v>I10.5B</v>
      </c>
      <c r="X39" s="56" t="s">
        <v>456</v>
      </c>
      <c r="Y39" s="190" t="s">
        <v>301</v>
      </c>
      <c r="Z39" s="154">
        <f>VLOOKUP(X39,'Model Calculator'!$B$2:$AK$311,36,FALSE)</f>
        <v>1863.28</v>
      </c>
    </row>
    <row r="40" spans="8:26">
      <c r="H40" s="194"/>
      <c r="R40" t="str">
        <f t="shared" si="0"/>
        <v>I</v>
      </c>
      <c r="S40" t="str">
        <f t="shared" si="1"/>
        <v>11.0</v>
      </c>
      <c r="T40" t="s">
        <v>520</v>
      </c>
      <c r="U40" t="str">
        <f t="shared" si="2"/>
        <v/>
      </c>
      <c r="V40" s="190" t="str">
        <f t="shared" si="3"/>
        <v>I11.0B</v>
      </c>
      <c r="X40" s="56" t="s">
        <v>457</v>
      </c>
      <c r="Y40" s="190" t="s">
        <v>301</v>
      </c>
      <c r="Z40" s="154">
        <f>VLOOKUP(X40,'Model Calculator'!$B$2:$AK$311,36,FALSE)</f>
        <v>1938.59</v>
      </c>
    </row>
    <row r="41" spans="8:26">
      <c r="H41" s="194"/>
      <c r="R41" t="str">
        <f t="shared" si="0"/>
        <v>M</v>
      </c>
      <c r="S41" t="str">
        <f t="shared" si="1"/>
        <v>03.5</v>
      </c>
      <c r="T41" t="s">
        <v>520</v>
      </c>
      <c r="U41" t="str">
        <f t="shared" si="2"/>
        <v>1</v>
      </c>
      <c r="V41" s="190" t="str">
        <f t="shared" si="3"/>
        <v>M03.5B1</v>
      </c>
      <c r="X41" s="56" t="s">
        <v>458</v>
      </c>
      <c r="Y41" s="190" t="s">
        <v>301</v>
      </c>
      <c r="Z41" s="154">
        <f>VLOOKUP(X41,'Model Calculator'!$B$2:$AK$311,36,FALSE)</f>
        <v>850.83</v>
      </c>
    </row>
    <row r="42" spans="8:26">
      <c r="H42" s="194"/>
      <c r="R42" t="str">
        <f t="shared" si="0"/>
        <v>M</v>
      </c>
      <c r="S42" t="str">
        <f t="shared" si="1"/>
        <v>04.0</v>
      </c>
      <c r="T42" t="s">
        <v>520</v>
      </c>
      <c r="U42" t="str">
        <f t="shared" si="2"/>
        <v>1</v>
      </c>
      <c r="V42" s="190" t="str">
        <f t="shared" si="3"/>
        <v>M04.0B1</v>
      </c>
      <c r="X42" s="56" t="s">
        <v>459</v>
      </c>
      <c r="Y42" s="190" t="s">
        <v>301</v>
      </c>
      <c r="Z42" s="154">
        <f>VLOOKUP(X42,'Model Calculator'!$B$2:$AK$311,36,FALSE)</f>
        <v>940.35</v>
      </c>
    </row>
    <row r="43" spans="8:26">
      <c r="H43" s="194"/>
      <c r="R43" t="str">
        <f t="shared" si="0"/>
        <v>M</v>
      </c>
      <c r="S43" t="str">
        <f t="shared" si="1"/>
        <v>04.5</v>
      </c>
      <c r="T43" t="s">
        <v>520</v>
      </c>
      <c r="U43" t="str">
        <f t="shared" si="2"/>
        <v>1</v>
      </c>
      <c r="V43" s="190" t="str">
        <f t="shared" si="3"/>
        <v>M04.5B1</v>
      </c>
      <c r="X43" s="56" t="s">
        <v>460</v>
      </c>
      <c r="Y43" s="190" t="s">
        <v>301</v>
      </c>
      <c r="Z43" s="154">
        <f>VLOOKUP(X43,'Model Calculator'!$B$2:$AK$311,36,FALSE)</f>
        <v>1028.51</v>
      </c>
    </row>
    <row r="44" spans="8:26">
      <c r="H44" s="194"/>
      <c r="R44" t="str">
        <f t="shared" si="0"/>
        <v>M</v>
      </c>
      <c r="S44" t="str">
        <f t="shared" si="1"/>
        <v>05.0</v>
      </c>
      <c r="T44" t="s">
        <v>520</v>
      </c>
      <c r="U44" t="str">
        <f t="shared" si="2"/>
        <v>1</v>
      </c>
      <c r="V44" s="190" t="str">
        <f t="shared" si="3"/>
        <v>M05.0B1</v>
      </c>
      <c r="X44" s="56" t="s">
        <v>461</v>
      </c>
      <c r="Y44" s="190" t="s">
        <v>301</v>
      </c>
      <c r="Z44" s="154">
        <f>VLOOKUP(X44,'Model Calculator'!$B$2:$AK$311,36,FALSE)</f>
        <v>1118.03</v>
      </c>
    </row>
    <row r="45" spans="8:26">
      <c r="H45" s="194"/>
      <c r="R45" t="str">
        <f t="shared" si="0"/>
        <v>M</v>
      </c>
      <c r="S45" t="str">
        <f t="shared" si="1"/>
        <v>05.5</v>
      </c>
      <c r="T45" t="s">
        <v>520</v>
      </c>
      <c r="U45" t="str">
        <f t="shared" si="2"/>
        <v>1</v>
      </c>
      <c r="V45" s="190" t="str">
        <f t="shared" si="3"/>
        <v>M05.5B1</v>
      </c>
      <c r="X45" s="56" t="s">
        <v>462</v>
      </c>
      <c r="Y45" s="190" t="s">
        <v>301</v>
      </c>
      <c r="Z45" s="154">
        <f>VLOOKUP(X45,'Model Calculator'!$B$2:$AK$311,36,FALSE)</f>
        <v>1207.55</v>
      </c>
    </row>
    <row r="46" spans="8:26">
      <c r="H46" s="194"/>
      <c r="R46" t="str">
        <f t="shared" si="0"/>
        <v>M</v>
      </c>
      <c r="S46" t="str">
        <f t="shared" si="1"/>
        <v>06.0</v>
      </c>
      <c r="T46" t="s">
        <v>520</v>
      </c>
      <c r="U46" t="str">
        <f t="shared" si="2"/>
        <v>1</v>
      </c>
      <c r="V46" s="190" t="str">
        <f t="shared" si="3"/>
        <v>M06.0B1</v>
      </c>
      <c r="X46" s="56" t="s">
        <v>463</v>
      </c>
      <c r="Y46" s="190" t="s">
        <v>301</v>
      </c>
      <c r="Z46" s="154">
        <f>VLOOKUP(X46,'Model Calculator'!$B$2:$AK$311,36,FALSE)</f>
        <v>1295.71</v>
      </c>
    </row>
    <row r="47" spans="8:26">
      <c r="H47" s="194"/>
      <c r="R47" t="str">
        <f t="shared" si="0"/>
        <v>M</v>
      </c>
      <c r="S47" t="str">
        <f t="shared" si="1"/>
        <v>06.5</v>
      </c>
      <c r="T47" t="s">
        <v>520</v>
      </c>
      <c r="U47" t="str">
        <f t="shared" si="2"/>
        <v>1</v>
      </c>
      <c r="V47" s="190" t="str">
        <f t="shared" si="3"/>
        <v>M06.5B1</v>
      </c>
      <c r="X47" s="56" t="s">
        <v>464</v>
      </c>
      <c r="Y47" s="190" t="s">
        <v>301</v>
      </c>
      <c r="Z47" s="154">
        <f>VLOOKUP(X47,'Model Calculator'!$B$2:$AK$311,36,FALSE)</f>
        <v>1385.23</v>
      </c>
    </row>
    <row r="48" spans="8:26">
      <c r="H48" s="194"/>
      <c r="R48" t="str">
        <f t="shared" si="0"/>
        <v>M</v>
      </c>
      <c r="S48" t="str">
        <f t="shared" si="1"/>
        <v>07.0</v>
      </c>
      <c r="T48" t="s">
        <v>520</v>
      </c>
      <c r="U48" t="str">
        <f t="shared" si="2"/>
        <v>1</v>
      </c>
      <c r="V48" s="190" t="str">
        <f t="shared" si="3"/>
        <v>M07.0B1</v>
      </c>
      <c r="X48" s="56" t="s">
        <v>465</v>
      </c>
      <c r="Y48" s="190" t="s">
        <v>301</v>
      </c>
      <c r="Z48" s="154">
        <f>VLOOKUP(X48,'Model Calculator'!$B$2:$AK$311,36,FALSE)</f>
        <v>1474.76</v>
      </c>
    </row>
    <row r="49" spans="8:26">
      <c r="H49" s="194"/>
      <c r="R49" t="str">
        <f t="shared" si="0"/>
        <v>M</v>
      </c>
      <c r="S49" t="str">
        <f t="shared" si="1"/>
        <v>07.5</v>
      </c>
      <c r="T49" t="s">
        <v>520</v>
      </c>
      <c r="U49" t="str">
        <f t="shared" si="2"/>
        <v>1</v>
      </c>
      <c r="V49" s="190" t="str">
        <f t="shared" si="3"/>
        <v>M07.5B1</v>
      </c>
      <c r="X49" s="56" t="s">
        <v>466</v>
      </c>
      <c r="Y49" s="190" t="s">
        <v>301</v>
      </c>
      <c r="Z49" s="154">
        <f>VLOOKUP(X49,'Model Calculator'!$B$2:$AK$311,36,FALSE)</f>
        <v>1564.28</v>
      </c>
    </row>
    <row r="50" spans="8:26">
      <c r="H50" s="194"/>
      <c r="R50" t="str">
        <f t="shared" si="0"/>
        <v>M</v>
      </c>
      <c r="S50" t="str">
        <f t="shared" si="1"/>
        <v>08.0</v>
      </c>
      <c r="T50" t="s">
        <v>520</v>
      </c>
      <c r="U50" t="str">
        <f t="shared" si="2"/>
        <v>1</v>
      </c>
      <c r="V50" s="190" t="str">
        <f t="shared" si="3"/>
        <v>M08.0B1</v>
      </c>
      <c r="X50" s="56" t="s">
        <v>467</v>
      </c>
      <c r="Y50" s="190" t="s">
        <v>301</v>
      </c>
      <c r="Z50" s="154">
        <f>VLOOKUP(X50,'Model Calculator'!$B$2:$AK$311,36,FALSE)</f>
        <v>1652.43</v>
      </c>
    </row>
    <row r="51" spans="8:26">
      <c r="H51" s="194"/>
      <c r="R51" t="str">
        <f t="shared" si="0"/>
        <v>M</v>
      </c>
      <c r="S51" t="str">
        <f t="shared" si="1"/>
        <v>08.5</v>
      </c>
      <c r="T51" t="s">
        <v>520</v>
      </c>
      <c r="U51" t="str">
        <f t="shared" si="2"/>
        <v>1</v>
      </c>
      <c r="V51" s="190" t="str">
        <f t="shared" si="3"/>
        <v>M08.5B1</v>
      </c>
      <c r="X51" s="56" t="s">
        <v>468</v>
      </c>
      <c r="Y51" s="190" t="s">
        <v>301</v>
      </c>
      <c r="Z51" s="154">
        <f>VLOOKUP(X51,'Model Calculator'!$B$2:$AK$311,36,FALSE)</f>
        <v>1741.96</v>
      </c>
    </row>
    <row r="52" spans="8:26">
      <c r="H52" s="194"/>
      <c r="R52" t="str">
        <f t="shared" si="0"/>
        <v>M</v>
      </c>
      <c r="S52" t="str">
        <f t="shared" si="1"/>
        <v>09.0</v>
      </c>
      <c r="T52" t="s">
        <v>520</v>
      </c>
      <c r="U52" t="str">
        <f t="shared" si="2"/>
        <v>1</v>
      </c>
      <c r="V52" s="190" t="str">
        <f t="shared" si="3"/>
        <v>M09.0B1</v>
      </c>
      <c r="X52" s="56" t="s">
        <v>469</v>
      </c>
      <c r="Y52" s="190" t="s">
        <v>301</v>
      </c>
      <c r="Z52" s="154">
        <f>VLOOKUP(X52,'Model Calculator'!$B$2:$AK$311,36,FALSE)</f>
        <v>1831.48</v>
      </c>
    </row>
    <row r="53" spans="8:26">
      <c r="H53" s="194"/>
      <c r="R53" t="str">
        <f t="shared" si="0"/>
        <v>M</v>
      </c>
      <c r="S53" t="str">
        <f t="shared" si="1"/>
        <v>09.5</v>
      </c>
      <c r="T53" t="s">
        <v>520</v>
      </c>
      <c r="U53" t="str">
        <f t="shared" si="2"/>
        <v>1</v>
      </c>
      <c r="V53" s="190" t="str">
        <f t="shared" si="3"/>
        <v>M09.5B1</v>
      </c>
      <c r="X53" s="56" t="s">
        <v>470</v>
      </c>
      <c r="Y53" s="190" t="s">
        <v>301</v>
      </c>
      <c r="Z53" s="154">
        <f>VLOOKUP(X53,'Model Calculator'!$B$2:$AK$311,36,FALSE)</f>
        <v>1919.63</v>
      </c>
    </row>
    <row r="54" spans="8:26">
      <c r="H54" s="194"/>
      <c r="R54" t="str">
        <f t="shared" si="0"/>
        <v>M</v>
      </c>
      <c r="S54" t="str">
        <f t="shared" si="1"/>
        <v>10.0</v>
      </c>
      <c r="T54" t="s">
        <v>520</v>
      </c>
      <c r="U54" t="str">
        <f t="shared" si="2"/>
        <v>1</v>
      </c>
      <c r="V54" s="190" t="str">
        <f t="shared" si="3"/>
        <v>M10.0B1</v>
      </c>
      <c r="X54" s="56" t="s">
        <v>471</v>
      </c>
      <c r="Y54" s="190" t="s">
        <v>301</v>
      </c>
      <c r="Z54" s="154">
        <f>VLOOKUP(X54,'Model Calculator'!$B$2:$AK$311,36,FALSE)</f>
        <v>2009.16</v>
      </c>
    </row>
    <row r="55" spans="8:26">
      <c r="H55" s="194"/>
      <c r="R55" t="str">
        <f t="shared" si="0"/>
        <v>M</v>
      </c>
      <c r="S55" t="str">
        <f t="shared" si="1"/>
        <v>10.5</v>
      </c>
      <c r="T55" t="s">
        <v>520</v>
      </c>
      <c r="U55" t="str">
        <f t="shared" si="2"/>
        <v>1</v>
      </c>
      <c r="V55" s="190" t="str">
        <f t="shared" si="3"/>
        <v>M10.5B1</v>
      </c>
      <c r="X55" s="56" t="s">
        <v>472</v>
      </c>
      <c r="Y55" s="190" t="s">
        <v>301</v>
      </c>
      <c r="Z55" s="154">
        <f>VLOOKUP(X55,'Model Calculator'!$B$2:$AK$311,36,FALSE)</f>
        <v>2098.6799999999998</v>
      </c>
    </row>
    <row r="56" spans="8:26">
      <c r="H56" s="194"/>
      <c r="R56" t="str">
        <f t="shared" si="0"/>
        <v>M</v>
      </c>
      <c r="S56" t="str">
        <f t="shared" si="1"/>
        <v>11.0</v>
      </c>
      <c r="T56" t="s">
        <v>520</v>
      </c>
      <c r="U56" t="str">
        <f t="shared" si="2"/>
        <v>1</v>
      </c>
      <c r="V56" s="190" t="str">
        <f t="shared" si="3"/>
        <v>M11.0B1</v>
      </c>
      <c r="X56" s="56" t="s">
        <v>473</v>
      </c>
      <c r="Y56" s="190" t="s">
        <v>301</v>
      </c>
      <c r="Z56" s="154">
        <f>VLOOKUP(X56,'Model Calculator'!$B$2:$AK$311,36,FALSE)</f>
        <v>2186.84</v>
      </c>
    </row>
    <row r="57" spans="8:26">
      <c r="H57" s="194"/>
      <c r="R57" t="str">
        <f t="shared" si="0"/>
        <v>M</v>
      </c>
      <c r="S57" t="str">
        <f t="shared" si="1"/>
        <v>03.5</v>
      </c>
      <c r="T57" t="s">
        <v>520</v>
      </c>
      <c r="U57" t="str">
        <f t="shared" si="2"/>
        <v>2</v>
      </c>
      <c r="V57" s="190" t="str">
        <f t="shared" si="3"/>
        <v>M03.5B2</v>
      </c>
      <c r="X57" s="56" t="s">
        <v>474</v>
      </c>
      <c r="Y57" s="190" t="s">
        <v>301</v>
      </c>
      <c r="Z57" s="154">
        <f>VLOOKUP(X57,'Model Calculator'!$B$2:$AK$311,36,FALSE)</f>
        <v>883.75</v>
      </c>
    </row>
    <row r="58" spans="8:26">
      <c r="H58" s="194"/>
      <c r="R58" t="str">
        <f t="shared" si="0"/>
        <v>M</v>
      </c>
      <c r="S58" t="str">
        <f t="shared" si="1"/>
        <v>04.0</v>
      </c>
      <c r="T58" t="s">
        <v>520</v>
      </c>
      <c r="U58" t="str">
        <f t="shared" si="2"/>
        <v>2</v>
      </c>
      <c r="V58" s="190" t="str">
        <f t="shared" si="3"/>
        <v>M04.0B2</v>
      </c>
      <c r="X58" s="56" t="s">
        <v>475</v>
      </c>
      <c r="Y58" s="190" t="s">
        <v>301</v>
      </c>
      <c r="Z58" s="154">
        <f>VLOOKUP(X58,'Model Calculator'!$B$2:$AK$311,36,FALSE)</f>
        <v>980.57</v>
      </c>
    </row>
    <row r="59" spans="8:26">
      <c r="R59" t="str">
        <f t="shared" si="0"/>
        <v>M</v>
      </c>
      <c r="S59" t="str">
        <f t="shared" si="1"/>
        <v>04.5</v>
      </c>
      <c r="T59" t="s">
        <v>520</v>
      </c>
      <c r="U59" t="str">
        <f t="shared" si="2"/>
        <v>2</v>
      </c>
      <c r="V59" s="190" t="str">
        <f t="shared" si="3"/>
        <v>M04.5B2</v>
      </c>
      <c r="X59" s="56" t="s">
        <v>476</v>
      </c>
      <c r="Y59" s="190" t="s">
        <v>301</v>
      </c>
      <c r="Z59" s="154">
        <f>VLOOKUP(X59,'Model Calculator'!$B$2:$AK$311,36,FALSE)</f>
        <v>1075.9100000000001</v>
      </c>
    </row>
    <row r="60" spans="8:26">
      <c r="R60" t="str">
        <f t="shared" si="0"/>
        <v>M</v>
      </c>
      <c r="S60" t="str">
        <f t="shared" si="1"/>
        <v>05.0</v>
      </c>
      <c r="T60" t="s">
        <v>520</v>
      </c>
      <c r="U60" t="str">
        <f t="shared" si="2"/>
        <v>2</v>
      </c>
      <c r="V60" s="190" t="str">
        <f t="shared" si="3"/>
        <v>M05.0B2</v>
      </c>
      <c r="X60" s="56" t="s">
        <v>477</v>
      </c>
      <c r="Y60" s="190" t="s">
        <v>301</v>
      </c>
      <c r="Z60" s="154">
        <f>VLOOKUP(X60,'Model Calculator'!$B$2:$AK$311,36,FALSE)</f>
        <v>1172.73</v>
      </c>
    </row>
    <row r="61" spans="8:26">
      <c r="R61" t="str">
        <f t="shared" si="0"/>
        <v>M</v>
      </c>
      <c r="S61" t="str">
        <f t="shared" si="1"/>
        <v>05.5</v>
      </c>
      <c r="T61" t="s">
        <v>520</v>
      </c>
      <c r="U61" t="str">
        <f t="shared" si="2"/>
        <v>2</v>
      </c>
      <c r="V61" s="190" t="str">
        <f t="shared" si="3"/>
        <v>M05.5B2</v>
      </c>
      <c r="X61" s="56" t="s">
        <v>478</v>
      </c>
      <c r="Y61" s="190" t="s">
        <v>301</v>
      </c>
      <c r="Z61" s="154">
        <f>VLOOKUP(X61,'Model Calculator'!$B$2:$AK$311,36,FALSE)</f>
        <v>1269.55</v>
      </c>
    </row>
    <row r="62" spans="8:26">
      <c r="R62" t="str">
        <f t="shared" si="0"/>
        <v>M</v>
      </c>
      <c r="S62" t="str">
        <f t="shared" si="1"/>
        <v>06.0</v>
      </c>
      <c r="T62" t="s">
        <v>520</v>
      </c>
      <c r="U62" t="str">
        <f t="shared" si="2"/>
        <v>2</v>
      </c>
      <c r="V62" s="190" t="str">
        <f t="shared" si="3"/>
        <v>M06.0B2</v>
      </c>
      <c r="X62" s="56" t="s">
        <v>479</v>
      </c>
      <c r="Y62" s="190" t="s">
        <v>301</v>
      </c>
      <c r="Z62" s="154">
        <f>VLOOKUP(X62,'Model Calculator'!$B$2:$AK$311,36,FALSE)</f>
        <v>1364.88</v>
      </c>
    </row>
    <row r="63" spans="8:26">
      <c r="R63" t="str">
        <f t="shared" si="0"/>
        <v>M</v>
      </c>
      <c r="S63" t="str">
        <f t="shared" si="1"/>
        <v>06.5</v>
      </c>
      <c r="T63" t="s">
        <v>520</v>
      </c>
      <c r="U63" t="str">
        <f t="shared" si="2"/>
        <v>2</v>
      </c>
      <c r="V63" s="190" t="str">
        <f t="shared" si="3"/>
        <v>M06.5B2</v>
      </c>
      <c r="X63" s="56" t="s">
        <v>480</v>
      </c>
      <c r="Y63" s="190" t="s">
        <v>301</v>
      </c>
      <c r="Z63" s="154">
        <f>VLOOKUP(X63,'Model Calculator'!$B$2:$AK$311,36,FALSE)</f>
        <v>1461.7</v>
      </c>
    </row>
    <row r="64" spans="8:26">
      <c r="R64" t="str">
        <f t="shared" si="0"/>
        <v>M</v>
      </c>
      <c r="S64" t="str">
        <f t="shared" si="1"/>
        <v>07.0</v>
      </c>
      <c r="T64" t="s">
        <v>520</v>
      </c>
      <c r="U64" t="str">
        <f t="shared" si="2"/>
        <v>2</v>
      </c>
      <c r="V64" s="190" t="str">
        <f t="shared" si="3"/>
        <v>M07.0B2</v>
      </c>
      <c r="X64" s="56" t="s">
        <v>481</v>
      </c>
      <c r="Y64" s="190" t="s">
        <v>301</v>
      </c>
      <c r="Z64" s="154">
        <f>VLOOKUP(X64,'Model Calculator'!$B$2:$AK$311,36,FALSE)</f>
        <v>1558.52</v>
      </c>
    </row>
    <row r="65" spans="18:26">
      <c r="R65" t="str">
        <f t="shared" si="0"/>
        <v>M</v>
      </c>
      <c r="S65" t="str">
        <f t="shared" si="1"/>
        <v>07.5</v>
      </c>
      <c r="T65" t="s">
        <v>520</v>
      </c>
      <c r="U65" t="str">
        <f t="shared" si="2"/>
        <v>2</v>
      </c>
      <c r="V65" s="190" t="str">
        <f t="shared" si="3"/>
        <v>M07.5B2</v>
      </c>
      <c r="X65" s="56" t="s">
        <v>482</v>
      </c>
      <c r="Y65" s="190" t="s">
        <v>301</v>
      </c>
      <c r="Z65" s="154">
        <f>VLOOKUP(X65,'Model Calculator'!$B$2:$AK$311,36,FALSE)</f>
        <v>1655.34</v>
      </c>
    </row>
    <row r="66" spans="18:26">
      <c r="R66" t="str">
        <f t="shared" si="0"/>
        <v>M</v>
      </c>
      <c r="S66" t="str">
        <f t="shared" si="1"/>
        <v>08.0</v>
      </c>
      <c r="T66" t="s">
        <v>520</v>
      </c>
      <c r="U66" t="str">
        <f t="shared" si="2"/>
        <v>2</v>
      </c>
      <c r="V66" s="190" t="str">
        <f t="shared" si="3"/>
        <v>M08.0B2</v>
      </c>
      <c r="X66" s="56" t="s">
        <v>483</v>
      </c>
      <c r="Y66" s="190" t="s">
        <v>301</v>
      </c>
      <c r="Z66" s="154">
        <f>VLOOKUP(X66,'Model Calculator'!$B$2:$AK$311,36,FALSE)</f>
        <v>1750.68</v>
      </c>
    </row>
    <row r="67" spans="18:26">
      <c r="R67" t="str">
        <f t="shared" si="0"/>
        <v>M</v>
      </c>
      <c r="S67" t="str">
        <f t="shared" si="1"/>
        <v>08.5</v>
      </c>
      <c r="T67" t="s">
        <v>520</v>
      </c>
      <c r="U67" t="str">
        <f t="shared" si="2"/>
        <v>2</v>
      </c>
      <c r="V67" s="190" t="str">
        <f t="shared" si="3"/>
        <v>M08.5B2</v>
      </c>
      <c r="X67" s="56" t="s">
        <v>484</v>
      </c>
      <c r="Y67" s="190" t="s">
        <v>301</v>
      </c>
      <c r="Z67" s="154">
        <f>VLOOKUP(X67,'Model Calculator'!$B$2:$AK$311,36,FALSE)</f>
        <v>1847.5</v>
      </c>
    </row>
    <row r="68" spans="18:26">
      <c r="R68" t="str">
        <f t="shared" ref="R68:R131" si="4">LEFT(X68,1)</f>
        <v>M</v>
      </c>
      <c r="S68" t="str">
        <f t="shared" ref="S68:S131" si="5">MID(X68,3,4)</f>
        <v>09.0</v>
      </c>
      <c r="T68" t="s">
        <v>520</v>
      </c>
      <c r="U68" t="str">
        <f t="shared" si="2"/>
        <v>2</v>
      </c>
      <c r="V68" s="190" t="str">
        <f t="shared" ref="V68:V131" si="6">CONCATENATE(R68,S68,T68,U68)</f>
        <v>M09.0B2</v>
      </c>
      <c r="X68" s="56" t="s">
        <v>485</v>
      </c>
      <c r="Y68" s="190" t="s">
        <v>301</v>
      </c>
      <c r="Z68" s="154">
        <f>VLOOKUP(X68,'Model Calculator'!$B$2:$AK$311,36,FALSE)</f>
        <v>1944.32</v>
      </c>
    </row>
    <row r="69" spans="18:26">
      <c r="R69" t="str">
        <f t="shared" si="4"/>
        <v>M</v>
      </c>
      <c r="S69" t="str">
        <f t="shared" si="5"/>
        <v>09.5</v>
      </c>
      <c r="T69" t="s">
        <v>520</v>
      </c>
      <c r="U69" t="str">
        <f t="shared" ref="U69:U132" si="7">MID(X69,7,1)</f>
        <v>2</v>
      </c>
      <c r="V69" s="190" t="str">
        <f t="shared" si="6"/>
        <v>M09.5B2</v>
      </c>
      <c r="X69" s="56" t="s">
        <v>486</v>
      </c>
      <c r="Y69" s="190" t="s">
        <v>301</v>
      </c>
      <c r="Z69" s="154">
        <f>VLOOKUP(X69,'Model Calculator'!$B$2:$AK$311,36,FALSE)</f>
        <v>2039.65</v>
      </c>
    </row>
    <row r="70" spans="18:26">
      <c r="R70" t="str">
        <f t="shared" si="4"/>
        <v>M</v>
      </c>
      <c r="S70" t="str">
        <f t="shared" si="5"/>
        <v>10.0</v>
      </c>
      <c r="T70" t="s">
        <v>520</v>
      </c>
      <c r="U70" t="str">
        <f t="shared" si="7"/>
        <v>2</v>
      </c>
      <c r="V70" s="190" t="str">
        <f t="shared" si="6"/>
        <v>M10.0B2</v>
      </c>
      <c r="X70" s="56" t="s">
        <v>487</v>
      </c>
      <c r="Y70" s="190" t="s">
        <v>301</v>
      </c>
      <c r="Z70" s="154">
        <f>VLOOKUP(X70,'Model Calculator'!$B$2:$AK$311,36,FALSE)</f>
        <v>2136.4699999999998</v>
      </c>
    </row>
    <row r="71" spans="18:26">
      <c r="R71" t="str">
        <f t="shared" si="4"/>
        <v>M</v>
      </c>
      <c r="S71" t="str">
        <f t="shared" si="5"/>
        <v>10.5</v>
      </c>
      <c r="T71" t="s">
        <v>520</v>
      </c>
      <c r="U71" t="str">
        <f t="shared" si="7"/>
        <v>2</v>
      </c>
      <c r="V71" s="190" t="str">
        <f t="shared" si="6"/>
        <v>M10.5B2</v>
      </c>
      <c r="X71" s="56" t="s">
        <v>488</v>
      </c>
      <c r="Y71" s="190" t="s">
        <v>301</v>
      </c>
      <c r="Z71" s="154">
        <f>VLOOKUP(X71,'Model Calculator'!$B$2:$AK$311,36,FALSE)</f>
        <v>2233.29</v>
      </c>
    </row>
    <row r="72" spans="18:26">
      <c r="R72" t="str">
        <f t="shared" si="4"/>
        <v>M</v>
      </c>
      <c r="S72" t="str">
        <f t="shared" si="5"/>
        <v>11.0</v>
      </c>
      <c r="T72" t="s">
        <v>520</v>
      </c>
      <c r="U72" t="str">
        <f t="shared" si="7"/>
        <v>2</v>
      </c>
      <c r="V72" s="190" t="str">
        <f t="shared" si="6"/>
        <v>M11.0B2</v>
      </c>
      <c r="X72" s="56" t="s">
        <v>489</v>
      </c>
      <c r="Y72" s="190" t="s">
        <v>301</v>
      </c>
      <c r="Z72" s="154">
        <f>VLOOKUP(X72,'Model Calculator'!$B$2:$AK$311,36,FALSE)</f>
        <v>2328.63</v>
      </c>
    </row>
    <row r="73" spans="18:26">
      <c r="R73" t="str">
        <f t="shared" si="4"/>
        <v>M</v>
      </c>
      <c r="S73" t="str">
        <f t="shared" si="5"/>
        <v>03.5</v>
      </c>
      <c r="T73" t="s">
        <v>520</v>
      </c>
      <c r="U73" t="str">
        <f t="shared" si="7"/>
        <v>3</v>
      </c>
      <c r="V73" s="190" t="str">
        <f t="shared" si="6"/>
        <v>M03.5B3</v>
      </c>
      <c r="X73" s="56" t="s">
        <v>490</v>
      </c>
      <c r="Y73" s="190" t="s">
        <v>301</v>
      </c>
      <c r="Z73" s="154">
        <f>VLOOKUP(X73,'Model Calculator'!$B$2:$AK$311,36,FALSE)</f>
        <v>925.44</v>
      </c>
    </row>
    <row r="74" spans="18:26">
      <c r="R74" t="str">
        <f t="shared" si="4"/>
        <v>M</v>
      </c>
      <c r="S74" t="str">
        <f t="shared" si="5"/>
        <v>04.0</v>
      </c>
      <c r="T74" t="s">
        <v>520</v>
      </c>
      <c r="U74" t="str">
        <f t="shared" si="7"/>
        <v>3</v>
      </c>
      <c r="V74" s="190" t="str">
        <f t="shared" si="6"/>
        <v>M04.0B3</v>
      </c>
      <c r="X74" s="56" t="s">
        <v>491</v>
      </c>
      <c r="Y74" s="190" t="s">
        <v>301</v>
      </c>
      <c r="Z74" s="154">
        <f>VLOOKUP(X74,'Model Calculator'!$B$2:$AK$311,36,FALSE)</f>
        <v>1031.5</v>
      </c>
    </row>
    <row r="75" spans="18:26">
      <c r="R75" t="str">
        <f t="shared" si="4"/>
        <v>M</v>
      </c>
      <c r="S75" t="str">
        <f t="shared" si="5"/>
        <v>04.5</v>
      </c>
      <c r="T75" t="s">
        <v>520</v>
      </c>
      <c r="U75" t="str">
        <f t="shared" si="7"/>
        <v>3</v>
      </c>
      <c r="V75" s="190" t="str">
        <f t="shared" si="6"/>
        <v>M04.5B3</v>
      </c>
      <c r="X75" s="56" t="s">
        <v>492</v>
      </c>
      <c r="Y75" s="190" t="s">
        <v>301</v>
      </c>
      <c r="Z75" s="154">
        <f>VLOOKUP(X75,'Model Calculator'!$B$2:$AK$311,36,FALSE)</f>
        <v>1135.93</v>
      </c>
    </row>
    <row r="76" spans="18:26">
      <c r="R76" t="str">
        <f t="shared" si="4"/>
        <v>M</v>
      </c>
      <c r="S76" t="str">
        <f t="shared" si="5"/>
        <v>05.0</v>
      </c>
      <c r="T76" t="s">
        <v>520</v>
      </c>
      <c r="U76" t="str">
        <f t="shared" si="7"/>
        <v>3</v>
      </c>
      <c r="V76" s="190" t="str">
        <f t="shared" si="6"/>
        <v>M05.0B3</v>
      </c>
      <c r="X76" s="56" t="s">
        <v>493</v>
      </c>
      <c r="Y76" s="190" t="s">
        <v>301</v>
      </c>
      <c r="Z76" s="154">
        <f>VLOOKUP(X76,'Model Calculator'!$B$2:$AK$311,36,FALSE)</f>
        <v>1241.99</v>
      </c>
    </row>
    <row r="77" spans="18:26">
      <c r="R77" t="str">
        <f t="shared" si="4"/>
        <v>M</v>
      </c>
      <c r="S77" t="str">
        <f t="shared" si="5"/>
        <v>05.5</v>
      </c>
      <c r="T77" t="s">
        <v>520</v>
      </c>
      <c r="U77" t="str">
        <f t="shared" si="7"/>
        <v>3</v>
      </c>
      <c r="V77" s="190" t="str">
        <f t="shared" si="6"/>
        <v>M05.5B3</v>
      </c>
      <c r="X77" s="56" t="s">
        <v>494</v>
      </c>
      <c r="Y77" s="190" t="s">
        <v>301</v>
      </c>
      <c r="Z77" s="154">
        <f>VLOOKUP(X77,'Model Calculator'!$B$2:$AK$311,36,FALSE)</f>
        <v>1348.04</v>
      </c>
    </row>
    <row r="78" spans="18:26">
      <c r="R78" t="str">
        <f t="shared" si="4"/>
        <v>M</v>
      </c>
      <c r="S78" t="str">
        <f t="shared" si="5"/>
        <v>06.0</v>
      </c>
      <c r="T78" t="s">
        <v>520</v>
      </c>
      <c r="U78" t="str">
        <f t="shared" si="7"/>
        <v>3</v>
      </c>
      <c r="V78" s="190" t="str">
        <f t="shared" si="6"/>
        <v>M06.0B3</v>
      </c>
      <c r="X78" s="56" t="s">
        <v>495</v>
      </c>
      <c r="Y78" s="190" t="s">
        <v>301</v>
      </c>
      <c r="Z78" s="154">
        <f>VLOOKUP(X78,'Model Calculator'!$B$2:$AK$311,36,FALSE)</f>
        <v>1452.48</v>
      </c>
    </row>
    <row r="79" spans="18:26">
      <c r="R79" t="str">
        <f t="shared" si="4"/>
        <v>M</v>
      </c>
      <c r="S79" t="str">
        <f t="shared" si="5"/>
        <v>06.5</v>
      </c>
      <c r="T79" t="s">
        <v>520</v>
      </c>
      <c r="U79" t="str">
        <f t="shared" si="7"/>
        <v>3</v>
      </c>
      <c r="V79" s="190" t="str">
        <f t="shared" si="6"/>
        <v>M06.5B3</v>
      </c>
      <c r="X79" s="56" t="s">
        <v>496</v>
      </c>
      <c r="Y79" s="190" t="s">
        <v>301</v>
      </c>
      <c r="Z79" s="154">
        <f>VLOOKUP(X79,'Model Calculator'!$B$2:$AK$311,36,FALSE)</f>
        <v>1558.54</v>
      </c>
    </row>
    <row r="80" spans="18:26">
      <c r="R80" t="str">
        <f t="shared" si="4"/>
        <v>M</v>
      </c>
      <c r="S80" t="str">
        <f t="shared" si="5"/>
        <v>07.0</v>
      </c>
      <c r="T80" t="s">
        <v>520</v>
      </c>
      <c r="U80" t="str">
        <f t="shared" si="7"/>
        <v>3</v>
      </c>
      <c r="V80" s="190" t="str">
        <f t="shared" si="6"/>
        <v>M07.0B3</v>
      </c>
      <c r="X80" s="56" t="s">
        <v>497</v>
      </c>
      <c r="Y80" s="190" t="s">
        <v>301</v>
      </c>
      <c r="Z80" s="154">
        <f>VLOOKUP(X80,'Model Calculator'!$B$2:$AK$311,36,FALSE)</f>
        <v>1664.59</v>
      </c>
    </row>
    <row r="81" spans="18:26">
      <c r="R81" t="str">
        <f t="shared" si="4"/>
        <v>M</v>
      </c>
      <c r="S81" t="str">
        <f t="shared" si="5"/>
        <v>07.5</v>
      </c>
      <c r="T81" t="s">
        <v>520</v>
      </c>
      <c r="U81" t="str">
        <f t="shared" si="7"/>
        <v>3</v>
      </c>
      <c r="V81" s="190" t="str">
        <f t="shared" si="6"/>
        <v>M07.5B3</v>
      </c>
      <c r="X81" s="56" t="s">
        <v>498</v>
      </c>
      <c r="Y81" s="190" t="s">
        <v>301</v>
      </c>
      <c r="Z81" s="154">
        <f>VLOOKUP(X81,'Model Calculator'!$B$2:$AK$311,36,FALSE)</f>
        <v>1770.65</v>
      </c>
    </row>
    <row r="82" spans="18:26">
      <c r="R82" t="str">
        <f t="shared" si="4"/>
        <v>M</v>
      </c>
      <c r="S82" t="str">
        <f t="shared" si="5"/>
        <v>08.0</v>
      </c>
      <c r="T82" t="s">
        <v>520</v>
      </c>
      <c r="U82" t="str">
        <f t="shared" si="7"/>
        <v>3</v>
      </c>
      <c r="V82" s="190" t="str">
        <f t="shared" si="6"/>
        <v>M08.0B3</v>
      </c>
      <c r="X82" s="56" t="s">
        <v>499</v>
      </c>
      <c r="Y82" s="190" t="s">
        <v>301</v>
      </c>
      <c r="Z82" s="154">
        <f>VLOOKUP(X82,'Model Calculator'!$B$2:$AK$311,36,FALSE)</f>
        <v>1875.08</v>
      </c>
    </row>
    <row r="83" spans="18:26">
      <c r="R83" t="str">
        <f t="shared" si="4"/>
        <v>M</v>
      </c>
      <c r="S83" t="str">
        <f t="shared" si="5"/>
        <v>08.5</v>
      </c>
      <c r="T83" t="s">
        <v>520</v>
      </c>
      <c r="U83" t="str">
        <f t="shared" si="7"/>
        <v>3</v>
      </c>
      <c r="V83" s="190" t="str">
        <f t="shared" si="6"/>
        <v>M08.5B3</v>
      </c>
      <c r="X83" s="56" t="s">
        <v>500</v>
      </c>
      <c r="Y83" s="190" t="s">
        <v>301</v>
      </c>
      <c r="Z83" s="154">
        <f>VLOOKUP(X83,'Model Calculator'!$B$2:$AK$311,36,FALSE)</f>
        <v>1981.14</v>
      </c>
    </row>
    <row r="84" spans="18:26">
      <c r="R84" t="str">
        <f t="shared" si="4"/>
        <v>M</v>
      </c>
      <c r="S84" t="str">
        <f t="shared" si="5"/>
        <v>09.0</v>
      </c>
      <c r="T84" t="s">
        <v>520</v>
      </c>
      <c r="U84" t="str">
        <f t="shared" si="7"/>
        <v>3</v>
      </c>
      <c r="V84" s="190" t="str">
        <f t="shared" si="6"/>
        <v>M09.0B3</v>
      </c>
      <c r="X84" s="56" t="s">
        <v>501</v>
      </c>
      <c r="Y84" s="190" t="s">
        <v>301</v>
      </c>
      <c r="Z84" s="154">
        <f>VLOOKUP(X84,'Model Calculator'!$B$2:$AK$311,36,FALSE)</f>
        <v>2087.1999999999998</v>
      </c>
    </row>
    <row r="85" spans="18:26">
      <c r="R85" t="str">
        <f t="shared" si="4"/>
        <v>M</v>
      </c>
      <c r="S85" t="str">
        <f t="shared" si="5"/>
        <v>09.5</v>
      </c>
      <c r="T85" t="s">
        <v>520</v>
      </c>
      <c r="U85" t="str">
        <f t="shared" si="7"/>
        <v>3</v>
      </c>
      <c r="V85" s="190" t="str">
        <f t="shared" si="6"/>
        <v>M09.5B3</v>
      </c>
      <c r="X85" s="56" t="s">
        <v>502</v>
      </c>
      <c r="Y85" s="190" t="s">
        <v>301</v>
      </c>
      <c r="Z85" s="154">
        <f>VLOOKUP(X85,'Model Calculator'!$B$2:$AK$311,36,FALSE)</f>
        <v>2191.63</v>
      </c>
    </row>
    <row r="86" spans="18:26">
      <c r="R86" t="str">
        <f t="shared" si="4"/>
        <v>M</v>
      </c>
      <c r="S86" t="str">
        <f t="shared" si="5"/>
        <v>10.0</v>
      </c>
      <c r="T86" t="s">
        <v>520</v>
      </c>
      <c r="U86" t="str">
        <f t="shared" si="7"/>
        <v>3</v>
      </c>
      <c r="V86" s="190" t="str">
        <f t="shared" si="6"/>
        <v>M10.0B3</v>
      </c>
      <c r="X86" s="56" t="s">
        <v>503</v>
      </c>
      <c r="Y86" s="190" t="s">
        <v>301</v>
      </c>
      <c r="Z86" s="154">
        <f>VLOOKUP(X86,'Model Calculator'!$B$2:$AK$311,36,FALSE)</f>
        <v>2297.69</v>
      </c>
    </row>
    <row r="87" spans="18:26">
      <c r="R87" t="str">
        <f t="shared" si="4"/>
        <v>M</v>
      </c>
      <c r="S87" t="str">
        <f t="shared" si="5"/>
        <v>10.5</v>
      </c>
      <c r="T87" t="s">
        <v>520</v>
      </c>
      <c r="U87" t="str">
        <f t="shared" si="7"/>
        <v>3</v>
      </c>
      <c r="V87" s="190" t="str">
        <f t="shared" si="6"/>
        <v>M10.5B3</v>
      </c>
      <c r="X87" s="56" t="s">
        <v>504</v>
      </c>
      <c r="Y87" s="190" t="s">
        <v>301</v>
      </c>
      <c r="Z87" s="154">
        <f>VLOOKUP(X87,'Model Calculator'!$B$2:$AK$311,36,FALSE)</f>
        <v>2403.75</v>
      </c>
    </row>
    <row r="88" spans="18:26">
      <c r="R88" t="str">
        <f t="shared" si="4"/>
        <v>M</v>
      </c>
      <c r="S88" t="str">
        <f t="shared" si="5"/>
        <v>11.0</v>
      </c>
      <c r="T88" t="s">
        <v>520</v>
      </c>
      <c r="U88" t="str">
        <f t="shared" si="7"/>
        <v>3</v>
      </c>
      <c r="V88" s="190" t="str">
        <f t="shared" si="6"/>
        <v>M11.0B3</v>
      </c>
      <c r="X88" s="56" t="s">
        <v>505</v>
      </c>
      <c r="Y88" s="190" t="s">
        <v>301</v>
      </c>
      <c r="Z88" s="154">
        <f>VLOOKUP(X88,'Model Calculator'!$B$2:$AK$311,36,FALSE)</f>
        <v>2508.1799999999998</v>
      </c>
    </row>
    <row r="89" spans="18:26">
      <c r="R89" t="str">
        <f t="shared" si="4"/>
        <v>B</v>
      </c>
      <c r="S89" t="str">
        <f t="shared" si="5"/>
        <v>03.5</v>
      </c>
      <c r="T89" t="s">
        <v>521</v>
      </c>
      <c r="U89" t="str">
        <f t="shared" si="7"/>
        <v/>
      </c>
      <c r="V89" s="190" t="str">
        <f t="shared" si="6"/>
        <v>B03.5C</v>
      </c>
      <c r="X89" s="56" t="s">
        <v>331</v>
      </c>
      <c r="Y89" s="190" t="s">
        <v>282</v>
      </c>
      <c r="Z89" s="154">
        <f>VLOOKUP(X89,'Model Calculator'!$B$2:$AK$311,36,FALSE)</f>
        <v>896.2</v>
      </c>
    </row>
    <row r="90" spans="18:26">
      <c r="R90" t="str">
        <f t="shared" si="4"/>
        <v>B</v>
      </c>
      <c r="S90" t="str">
        <f t="shared" si="5"/>
        <v>04.0</v>
      </c>
      <c r="T90" t="s">
        <v>521</v>
      </c>
      <c r="U90" t="str">
        <f t="shared" si="7"/>
        <v/>
      </c>
      <c r="V90" s="190" t="str">
        <f t="shared" si="6"/>
        <v>B04.0C</v>
      </c>
      <c r="X90" s="56" t="s">
        <v>332</v>
      </c>
      <c r="Y90" s="190" t="s">
        <v>282</v>
      </c>
      <c r="Z90" s="154">
        <f>VLOOKUP(X90,'Model Calculator'!$B$2:$AK$311,36,FALSE)</f>
        <v>970.27</v>
      </c>
    </row>
    <row r="91" spans="18:26">
      <c r="R91" t="str">
        <f t="shared" si="4"/>
        <v>B</v>
      </c>
      <c r="S91" t="str">
        <f t="shared" si="5"/>
        <v>04.5</v>
      </c>
      <c r="T91" t="s">
        <v>521</v>
      </c>
      <c r="U91" t="str">
        <f t="shared" si="7"/>
        <v/>
      </c>
      <c r="V91" s="190" t="str">
        <f t="shared" si="6"/>
        <v>B04.5C</v>
      </c>
      <c r="X91" s="56" t="s">
        <v>333</v>
      </c>
      <c r="Y91" s="190" t="s">
        <v>282</v>
      </c>
      <c r="Z91" s="154">
        <f>VLOOKUP(X91,'Model Calculator'!$B$2:$AK$311,36,FALSE)</f>
        <v>1043.05</v>
      </c>
    </row>
    <row r="92" spans="18:26">
      <c r="R92" t="str">
        <f t="shared" si="4"/>
        <v>B</v>
      </c>
      <c r="S92" t="str">
        <f t="shared" si="5"/>
        <v>05.0</v>
      </c>
      <c r="T92" t="s">
        <v>521</v>
      </c>
      <c r="U92" t="str">
        <f t="shared" si="7"/>
        <v/>
      </c>
      <c r="V92" s="190" t="str">
        <f t="shared" si="6"/>
        <v>B05.0C</v>
      </c>
      <c r="X92" s="56" t="s">
        <v>334</v>
      </c>
      <c r="Y92" s="190" t="s">
        <v>282</v>
      </c>
      <c r="Z92" s="154">
        <f>VLOOKUP(X92,'Model Calculator'!$B$2:$AK$311,36,FALSE)</f>
        <v>1117.1199999999999</v>
      </c>
    </row>
    <row r="93" spans="18:26">
      <c r="R93" t="str">
        <f t="shared" si="4"/>
        <v>B</v>
      </c>
      <c r="S93" t="str">
        <f t="shared" si="5"/>
        <v>05.5</v>
      </c>
      <c r="T93" t="s">
        <v>521</v>
      </c>
      <c r="U93" t="str">
        <f t="shared" si="7"/>
        <v/>
      </c>
      <c r="V93" s="190" t="str">
        <f t="shared" si="6"/>
        <v>B05.5C</v>
      </c>
      <c r="X93" s="56" t="s">
        <v>335</v>
      </c>
      <c r="Y93" s="190" t="s">
        <v>282</v>
      </c>
      <c r="Z93" s="154">
        <f>VLOOKUP(X93,'Model Calculator'!$B$2:$AK$311,36,FALSE)</f>
        <v>1191.18</v>
      </c>
    </row>
    <row r="94" spans="18:26">
      <c r="R94" t="str">
        <f t="shared" si="4"/>
        <v>B</v>
      </c>
      <c r="S94" t="str">
        <f t="shared" si="5"/>
        <v>06.0</v>
      </c>
      <c r="T94" t="s">
        <v>521</v>
      </c>
      <c r="U94" t="str">
        <f t="shared" si="7"/>
        <v/>
      </c>
      <c r="V94" s="190" t="str">
        <f t="shared" si="6"/>
        <v>B06.0C</v>
      </c>
      <c r="X94" s="56" t="s">
        <v>336</v>
      </c>
      <c r="Y94" s="190" t="s">
        <v>282</v>
      </c>
      <c r="Z94" s="154">
        <f>VLOOKUP(X94,'Model Calculator'!$B$2:$AK$311,36,FALSE)</f>
        <v>1263.97</v>
      </c>
    </row>
    <row r="95" spans="18:26">
      <c r="R95" t="str">
        <f t="shared" si="4"/>
        <v>B</v>
      </c>
      <c r="S95" t="str">
        <f t="shared" si="5"/>
        <v>06.5</v>
      </c>
      <c r="T95" t="s">
        <v>521</v>
      </c>
      <c r="U95" t="str">
        <f t="shared" si="7"/>
        <v/>
      </c>
      <c r="V95" s="190" t="str">
        <f t="shared" si="6"/>
        <v>B06.5C</v>
      </c>
      <c r="X95" s="56" t="s">
        <v>337</v>
      </c>
      <c r="Y95" s="190" t="s">
        <v>282</v>
      </c>
      <c r="Z95" s="154">
        <f>VLOOKUP(X95,'Model Calculator'!$B$2:$AK$311,36,FALSE)</f>
        <v>1338.03</v>
      </c>
    </row>
    <row r="96" spans="18:26">
      <c r="R96" t="str">
        <f t="shared" si="4"/>
        <v>B</v>
      </c>
      <c r="S96" t="str">
        <f t="shared" si="5"/>
        <v>07.0</v>
      </c>
      <c r="T96" t="s">
        <v>521</v>
      </c>
      <c r="U96" t="str">
        <f t="shared" si="7"/>
        <v/>
      </c>
      <c r="V96" s="190" t="str">
        <f t="shared" si="6"/>
        <v>B07.0C</v>
      </c>
      <c r="X96" s="56" t="s">
        <v>338</v>
      </c>
      <c r="Y96" s="190" t="s">
        <v>282</v>
      </c>
      <c r="Z96" s="154">
        <f>VLOOKUP(X96,'Model Calculator'!$B$2:$AK$311,36,FALSE)</f>
        <v>1412.1</v>
      </c>
    </row>
    <row r="97" spans="18:26">
      <c r="R97" t="str">
        <f t="shared" si="4"/>
        <v>B</v>
      </c>
      <c r="S97" t="str">
        <f t="shared" si="5"/>
        <v>07.5</v>
      </c>
      <c r="T97" t="s">
        <v>521</v>
      </c>
      <c r="U97" t="str">
        <f t="shared" si="7"/>
        <v/>
      </c>
      <c r="V97" s="190" t="str">
        <f t="shared" si="6"/>
        <v>B07.5C</v>
      </c>
      <c r="X97" s="56" t="s">
        <v>339</v>
      </c>
      <c r="Y97" s="190" t="s">
        <v>282</v>
      </c>
      <c r="Z97" s="154">
        <f>VLOOKUP(X97,'Model Calculator'!$B$2:$AK$311,36,FALSE)</f>
        <v>1486.16</v>
      </c>
    </row>
    <row r="98" spans="18:26">
      <c r="R98" t="str">
        <f t="shared" si="4"/>
        <v>B</v>
      </c>
      <c r="S98" t="str">
        <f t="shared" si="5"/>
        <v>08.0</v>
      </c>
      <c r="T98" t="s">
        <v>521</v>
      </c>
      <c r="U98" t="str">
        <f t="shared" si="7"/>
        <v/>
      </c>
      <c r="V98" s="190" t="str">
        <f t="shared" si="6"/>
        <v>B08.0C</v>
      </c>
      <c r="X98" s="56" t="s">
        <v>340</v>
      </c>
      <c r="Y98" s="190" t="s">
        <v>282</v>
      </c>
      <c r="Z98" s="154">
        <f>VLOOKUP(X98,'Model Calculator'!$B$2:$AK$311,36,FALSE)</f>
        <v>1558.95</v>
      </c>
    </row>
    <row r="99" spans="18:26">
      <c r="R99" t="str">
        <f t="shared" si="4"/>
        <v>B</v>
      </c>
      <c r="S99" t="str">
        <f t="shared" si="5"/>
        <v>08.5</v>
      </c>
      <c r="T99" t="s">
        <v>521</v>
      </c>
      <c r="U99" t="str">
        <f t="shared" si="7"/>
        <v/>
      </c>
      <c r="V99" s="190" t="str">
        <f t="shared" si="6"/>
        <v>B08.5C</v>
      </c>
      <c r="X99" s="56" t="s">
        <v>341</v>
      </c>
      <c r="Y99" s="190" t="s">
        <v>282</v>
      </c>
      <c r="Z99" s="154">
        <f>VLOOKUP(X99,'Model Calculator'!$B$2:$AK$311,36,FALSE)</f>
        <v>1633.01</v>
      </c>
    </row>
    <row r="100" spans="18:26">
      <c r="R100" t="str">
        <f t="shared" si="4"/>
        <v>B</v>
      </c>
      <c r="S100" t="str">
        <f t="shared" si="5"/>
        <v>09.0</v>
      </c>
      <c r="T100" t="s">
        <v>521</v>
      </c>
      <c r="U100" t="str">
        <f t="shared" si="7"/>
        <v/>
      </c>
      <c r="V100" s="190" t="str">
        <f t="shared" si="6"/>
        <v>B09.0C</v>
      </c>
      <c r="X100" s="56" t="s">
        <v>342</v>
      </c>
      <c r="Y100" s="190" t="s">
        <v>282</v>
      </c>
      <c r="Z100" s="154">
        <f>VLOOKUP(X100,'Model Calculator'!$B$2:$AK$311,36,FALSE)</f>
        <v>1707.08</v>
      </c>
    </row>
    <row r="101" spans="18:26">
      <c r="R101" t="str">
        <f t="shared" si="4"/>
        <v>B</v>
      </c>
      <c r="S101" t="str">
        <f t="shared" si="5"/>
        <v>09.5</v>
      </c>
      <c r="T101" t="s">
        <v>521</v>
      </c>
      <c r="U101" t="str">
        <f t="shared" si="7"/>
        <v/>
      </c>
      <c r="V101" s="190" t="str">
        <f t="shared" si="6"/>
        <v>B09.5C</v>
      </c>
      <c r="X101" s="56" t="s">
        <v>343</v>
      </c>
      <c r="Y101" s="190" t="s">
        <v>282</v>
      </c>
      <c r="Z101" s="154">
        <f>VLOOKUP(X101,'Model Calculator'!$B$2:$AK$311,36,FALSE)</f>
        <v>1779.87</v>
      </c>
    </row>
    <row r="102" spans="18:26">
      <c r="R102" t="str">
        <f t="shared" si="4"/>
        <v>B</v>
      </c>
      <c r="S102" t="str">
        <f t="shared" si="5"/>
        <v>10.0</v>
      </c>
      <c r="T102" t="s">
        <v>521</v>
      </c>
      <c r="U102" t="str">
        <f t="shared" si="7"/>
        <v/>
      </c>
      <c r="V102" s="190" t="str">
        <f t="shared" si="6"/>
        <v>B10.0C</v>
      </c>
      <c r="X102" s="56" t="s">
        <v>344</v>
      </c>
      <c r="Y102" s="190" t="s">
        <v>282</v>
      </c>
      <c r="Z102" s="154">
        <f>VLOOKUP(X102,'Model Calculator'!$B$2:$AK$311,36,FALSE)</f>
        <v>1853.93</v>
      </c>
    </row>
    <row r="103" spans="18:26">
      <c r="R103" t="str">
        <f t="shared" si="4"/>
        <v>B</v>
      </c>
      <c r="S103" t="str">
        <f t="shared" si="5"/>
        <v>10.5</v>
      </c>
      <c r="T103" t="s">
        <v>521</v>
      </c>
      <c r="U103" t="str">
        <f t="shared" si="7"/>
        <v/>
      </c>
      <c r="V103" s="190" t="str">
        <f t="shared" si="6"/>
        <v>B10.5C</v>
      </c>
      <c r="X103" s="56" t="s">
        <v>345</v>
      </c>
      <c r="Y103" s="190" t="s">
        <v>282</v>
      </c>
      <c r="Z103" s="154">
        <f>VLOOKUP(X103,'Model Calculator'!$B$2:$AK$311,36,FALSE)</f>
        <v>1928</v>
      </c>
    </row>
    <row r="104" spans="18:26">
      <c r="R104" t="str">
        <f t="shared" si="4"/>
        <v>B</v>
      </c>
      <c r="S104" t="str">
        <f t="shared" si="5"/>
        <v>11.0</v>
      </c>
      <c r="T104" t="s">
        <v>521</v>
      </c>
      <c r="U104" t="str">
        <f t="shared" si="7"/>
        <v/>
      </c>
      <c r="V104" s="190" t="str">
        <f t="shared" si="6"/>
        <v>B11.0C</v>
      </c>
      <c r="X104" s="56" t="s">
        <v>346</v>
      </c>
      <c r="Y104" s="190" t="s">
        <v>282</v>
      </c>
      <c r="Z104" s="154">
        <f>VLOOKUP(X104,'Model Calculator'!$B$2:$AK$311,36,FALSE)</f>
        <v>2000.78</v>
      </c>
    </row>
    <row r="105" spans="18:26">
      <c r="R105" t="str">
        <f t="shared" si="4"/>
        <v>B</v>
      </c>
      <c r="S105" t="str">
        <f t="shared" si="5"/>
        <v>11.5</v>
      </c>
      <c r="T105" t="s">
        <v>521</v>
      </c>
      <c r="U105" t="str">
        <f t="shared" si="7"/>
        <v/>
      </c>
      <c r="V105" s="190" t="str">
        <f t="shared" si="6"/>
        <v>B11.5C</v>
      </c>
      <c r="X105" s="56" t="s">
        <v>347</v>
      </c>
      <c r="Y105" s="190" t="s">
        <v>282</v>
      </c>
      <c r="Z105" s="154">
        <f>VLOOKUP(X105,'Model Calculator'!$B$2:$AK$311,36,FALSE)</f>
        <v>2074.85</v>
      </c>
    </row>
    <row r="106" spans="18:26">
      <c r="R106" t="str">
        <f t="shared" si="4"/>
        <v>B</v>
      </c>
      <c r="S106" t="str">
        <f t="shared" si="5"/>
        <v>12.0</v>
      </c>
      <c r="T106" t="s">
        <v>521</v>
      </c>
      <c r="U106" t="str">
        <f t="shared" si="7"/>
        <v/>
      </c>
      <c r="V106" s="190" t="str">
        <f t="shared" si="6"/>
        <v>B12.0C</v>
      </c>
      <c r="X106" s="56" t="s">
        <v>348</v>
      </c>
      <c r="Y106" s="190" t="s">
        <v>282</v>
      </c>
      <c r="Z106" s="154">
        <f>VLOOKUP(X106,'Model Calculator'!$B$2:$AK$311,36,FALSE)</f>
        <v>2148.91</v>
      </c>
    </row>
    <row r="107" spans="18:26">
      <c r="R107" t="str">
        <f t="shared" si="4"/>
        <v>B</v>
      </c>
      <c r="S107" t="str">
        <f t="shared" si="5"/>
        <v>12.5</v>
      </c>
      <c r="T107" t="s">
        <v>521</v>
      </c>
      <c r="U107" t="str">
        <f t="shared" si="7"/>
        <v/>
      </c>
      <c r="V107" s="190" t="str">
        <f t="shared" si="6"/>
        <v>B12.5C</v>
      </c>
      <c r="X107" s="56" t="s">
        <v>349</v>
      </c>
      <c r="Y107" s="190" t="s">
        <v>282</v>
      </c>
      <c r="Z107" s="154">
        <f>VLOOKUP(X107,'Model Calculator'!$B$2:$AK$311,36,FALSE)</f>
        <v>2222.98</v>
      </c>
    </row>
    <row r="108" spans="18:26">
      <c r="R108" t="str">
        <f t="shared" si="4"/>
        <v>I</v>
      </c>
      <c r="S108" t="str">
        <f t="shared" si="5"/>
        <v>06.0</v>
      </c>
      <c r="T108" t="s">
        <v>521</v>
      </c>
      <c r="U108" t="str">
        <f t="shared" si="7"/>
        <v/>
      </c>
      <c r="V108" s="190" t="str">
        <f t="shared" si="6"/>
        <v>I06.0C</v>
      </c>
      <c r="X108" s="56" t="s">
        <v>350</v>
      </c>
      <c r="Y108" s="190" t="s">
        <v>282</v>
      </c>
      <c r="Z108" s="154">
        <f>VLOOKUP(X108,'Model Calculator'!$B$2:$AK$311,36,FALSE)</f>
        <v>1313.21</v>
      </c>
    </row>
    <row r="109" spans="18:26">
      <c r="R109" t="str">
        <f t="shared" si="4"/>
        <v>I</v>
      </c>
      <c r="S109" t="str">
        <f t="shared" si="5"/>
        <v>06.5</v>
      </c>
      <c r="T109" t="s">
        <v>521</v>
      </c>
      <c r="U109" t="str">
        <f t="shared" si="7"/>
        <v/>
      </c>
      <c r="V109" s="190" t="str">
        <f t="shared" si="6"/>
        <v>I06.5C</v>
      </c>
      <c r="X109" s="56" t="s">
        <v>351</v>
      </c>
      <c r="Y109" s="190" t="s">
        <v>282</v>
      </c>
      <c r="Z109" s="154">
        <f>VLOOKUP(X109,'Model Calculator'!$B$2:$AK$311,36,FALSE)</f>
        <v>1389.85</v>
      </c>
    </row>
    <row r="110" spans="18:26">
      <c r="R110" t="str">
        <f t="shared" si="4"/>
        <v>I</v>
      </c>
      <c r="S110" t="str">
        <f t="shared" si="5"/>
        <v>07.0</v>
      </c>
      <c r="T110" t="s">
        <v>521</v>
      </c>
      <c r="U110" t="str">
        <f t="shared" si="7"/>
        <v/>
      </c>
      <c r="V110" s="190" t="str">
        <f t="shared" si="6"/>
        <v>I07.0C</v>
      </c>
      <c r="X110" s="56" t="s">
        <v>352</v>
      </c>
      <c r="Y110" s="190" t="s">
        <v>282</v>
      </c>
      <c r="Z110" s="154">
        <f>VLOOKUP(X110,'Model Calculator'!$B$2:$AK$311,36,FALSE)</f>
        <v>1466.48</v>
      </c>
    </row>
    <row r="111" spans="18:26">
      <c r="R111" t="str">
        <f t="shared" si="4"/>
        <v>I</v>
      </c>
      <c r="S111" t="str">
        <f t="shared" si="5"/>
        <v>07.5</v>
      </c>
      <c r="T111" t="s">
        <v>521</v>
      </c>
      <c r="U111" t="str">
        <f t="shared" si="7"/>
        <v/>
      </c>
      <c r="V111" s="190" t="str">
        <f t="shared" si="6"/>
        <v>I07.5C</v>
      </c>
      <c r="X111" s="56" t="s">
        <v>353</v>
      </c>
      <c r="Y111" s="190" t="s">
        <v>282</v>
      </c>
      <c r="Z111" s="154">
        <f>VLOOKUP(X111,'Model Calculator'!$B$2:$AK$311,36,FALSE)</f>
        <v>1543.12</v>
      </c>
    </row>
    <row r="112" spans="18:26">
      <c r="R112" t="str">
        <f t="shared" si="4"/>
        <v>I</v>
      </c>
      <c r="S112" t="str">
        <f t="shared" si="5"/>
        <v>08.0</v>
      </c>
      <c r="T112" t="s">
        <v>521</v>
      </c>
      <c r="U112" t="str">
        <f t="shared" si="7"/>
        <v/>
      </c>
      <c r="V112" s="190" t="str">
        <f t="shared" si="6"/>
        <v>I08.0C</v>
      </c>
      <c r="X112" s="56" t="s">
        <v>354</v>
      </c>
      <c r="Y112" s="190" t="s">
        <v>282</v>
      </c>
      <c r="Z112" s="154">
        <f>VLOOKUP(X112,'Model Calculator'!$B$2:$AK$311,36,FALSE)</f>
        <v>1618.43</v>
      </c>
    </row>
    <row r="113" spans="18:26">
      <c r="R113" t="str">
        <f t="shared" si="4"/>
        <v>I</v>
      </c>
      <c r="S113" t="str">
        <f t="shared" si="5"/>
        <v>08.5</v>
      </c>
      <c r="T113" t="s">
        <v>521</v>
      </c>
      <c r="U113" t="str">
        <f t="shared" si="7"/>
        <v/>
      </c>
      <c r="V113" s="190" t="str">
        <f t="shared" si="6"/>
        <v>I08.5C</v>
      </c>
      <c r="X113" s="56" t="s">
        <v>355</v>
      </c>
      <c r="Y113" s="190" t="s">
        <v>282</v>
      </c>
      <c r="Z113" s="154">
        <f>VLOOKUP(X113,'Model Calculator'!$B$2:$AK$311,36,FALSE)</f>
        <v>1695.07</v>
      </c>
    </row>
    <row r="114" spans="18:26">
      <c r="R114" t="str">
        <f t="shared" si="4"/>
        <v>I</v>
      </c>
      <c r="S114" t="str">
        <f t="shared" si="5"/>
        <v>09.0</v>
      </c>
      <c r="T114" t="s">
        <v>521</v>
      </c>
      <c r="U114" t="str">
        <f t="shared" si="7"/>
        <v/>
      </c>
      <c r="V114" s="190" t="str">
        <f t="shared" si="6"/>
        <v>I09.0C</v>
      </c>
      <c r="X114" s="56" t="s">
        <v>356</v>
      </c>
      <c r="Y114" s="190" t="s">
        <v>282</v>
      </c>
      <c r="Z114" s="154">
        <f>VLOOKUP(X114,'Model Calculator'!$B$2:$AK$311,36,FALSE)</f>
        <v>1771.7</v>
      </c>
    </row>
    <row r="115" spans="18:26">
      <c r="R115" t="str">
        <f t="shared" si="4"/>
        <v>I</v>
      </c>
      <c r="S115" t="str">
        <f t="shared" si="5"/>
        <v>09.5</v>
      </c>
      <c r="T115" t="s">
        <v>521</v>
      </c>
      <c r="U115" t="str">
        <f t="shared" si="7"/>
        <v/>
      </c>
      <c r="V115" s="190" t="str">
        <f t="shared" si="6"/>
        <v>I09.5C</v>
      </c>
      <c r="X115" s="56" t="s">
        <v>357</v>
      </c>
      <c r="Y115" s="190" t="s">
        <v>282</v>
      </c>
      <c r="Z115" s="154">
        <f>VLOOKUP(X115,'Model Calculator'!$B$2:$AK$311,36,FALSE)</f>
        <v>1847.02</v>
      </c>
    </row>
    <row r="116" spans="18:26">
      <c r="R116" t="str">
        <f t="shared" si="4"/>
        <v>I</v>
      </c>
      <c r="S116" t="str">
        <f t="shared" si="5"/>
        <v>10.0</v>
      </c>
      <c r="T116" t="s">
        <v>521</v>
      </c>
      <c r="U116" t="str">
        <f t="shared" si="7"/>
        <v/>
      </c>
      <c r="V116" s="190" t="str">
        <f t="shared" si="6"/>
        <v>I10.0C</v>
      </c>
      <c r="X116" s="56" t="s">
        <v>358</v>
      </c>
      <c r="Y116" s="190" t="s">
        <v>282</v>
      </c>
      <c r="Z116" s="154">
        <f>VLOOKUP(X116,'Model Calculator'!$B$2:$AK$311,36,FALSE)</f>
        <v>1923.65</v>
      </c>
    </row>
    <row r="117" spans="18:26">
      <c r="R117" t="str">
        <f t="shared" si="4"/>
        <v>I</v>
      </c>
      <c r="S117" t="str">
        <f t="shared" si="5"/>
        <v>10.5</v>
      </c>
      <c r="T117" t="s">
        <v>521</v>
      </c>
      <c r="U117" t="str">
        <f t="shared" si="7"/>
        <v/>
      </c>
      <c r="V117" s="190" t="str">
        <f t="shared" si="6"/>
        <v>I10.5C</v>
      </c>
      <c r="X117" s="56" t="s">
        <v>359</v>
      </c>
      <c r="Y117" s="190" t="s">
        <v>282</v>
      </c>
      <c r="Z117" s="154">
        <f>VLOOKUP(X117,'Model Calculator'!$B$2:$AK$311,36,FALSE)</f>
        <v>2000.29</v>
      </c>
    </row>
    <row r="118" spans="18:26">
      <c r="R118" t="str">
        <f t="shared" si="4"/>
        <v>I</v>
      </c>
      <c r="S118" t="str">
        <f t="shared" si="5"/>
        <v>11.0</v>
      </c>
      <c r="T118" t="s">
        <v>521</v>
      </c>
      <c r="U118" t="str">
        <f t="shared" si="7"/>
        <v/>
      </c>
      <c r="V118" s="190" t="str">
        <f t="shared" si="6"/>
        <v>I11.0C</v>
      </c>
      <c r="X118" s="56" t="s">
        <v>360</v>
      </c>
      <c r="Y118" s="190" t="s">
        <v>282</v>
      </c>
      <c r="Z118" s="154">
        <f>VLOOKUP(X118,'Model Calculator'!$B$2:$AK$311,36,FALSE)</f>
        <v>2075.6</v>
      </c>
    </row>
    <row r="119" spans="18:26">
      <c r="R119" t="str">
        <f t="shared" si="4"/>
        <v>I</v>
      </c>
      <c r="S119" t="str">
        <f t="shared" si="5"/>
        <v>11.5</v>
      </c>
      <c r="T119" t="s">
        <v>521</v>
      </c>
      <c r="U119" t="str">
        <f t="shared" si="7"/>
        <v/>
      </c>
      <c r="V119" s="190" t="str">
        <f t="shared" si="6"/>
        <v>I11.5C</v>
      </c>
      <c r="X119" s="56" t="s">
        <v>361</v>
      </c>
      <c r="Y119" s="190" t="s">
        <v>282</v>
      </c>
      <c r="Z119" s="154">
        <f>VLOOKUP(X119,'Model Calculator'!$B$2:$AK$311,36,FALSE)</f>
        <v>2152.2399999999998</v>
      </c>
    </row>
    <row r="120" spans="18:26">
      <c r="R120" t="str">
        <f t="shared" si="4"/>
        <v>I</v>
      </c>
      <c r="S120" t="str">
        <f t="shared" si="5"/>
        <v>12.0</v>
      </c>
      <c r="T120" t="s">
        <v>521</v>
      </c>
      <c r="U120" t="str">
        <f t="shared" si="7"/>
        <v/>
      </c>
      <c r="V120" s="190" t="str">
        <f t="shared" si="6"/>
        <v>I12.0C</v>
      </c>
      <c r="X120" s="56" t="s">
        <v>362</v>
      </c>
      <c r="Y120" s="190" t="s">
        <v>282</v>
      </c>
      <c r="Z120" s="154">
        <f>VLOOKUP(X120,'Model Calculator'!$B$2:$AK$311,36,FALSE)</f>
        <v>2228.87</v>
      </c>
    </row>
    <row r="121" spans="18:26">
      <c r="R121" t="str">
        <f t="shared" si="4"/>
        <v>I</v>
      </c>
      <c r="S121" t="str">
        <f t="shared" si="5"/>
        <v>12.5</v>
      </c>
      <c r="T121" t="s">
        <v>521</v>
      </c>
      <c r="U121" t="str">
        <f t="shared" si="7"/>
        <v/>
      </c>
      <c r="V121" s="190" t="str">
        <f t="shared" si="6"/>
        <v>I12.5C</v>
      </c>
      <c r="X121" s="56" t="s">
        <v>363</v>
      </c>
      <c r="Y121" s="190" t="s">
        <v>282</v>
      </c>
      <c r="Z121" s="154">
        <f>VLOOKUP(X121,'Model Calculator'!$B$2:$AK$311,36,FALSE)</f>
        <v>2305.5100000000002</v>
      </c>
    </row>
    <row r="122" spans="18:26">
      <c r="R122" t="str">
        <f t="shared" si="4"/>
        <v>I</v>
      </c>
      <c r="S122" t="str">
        <f t="shared" si="5"/>
        <v>13.0</v>
      </c>
      <c r="T122" t="s">
        <v>521</v>
      </c>
      <c r="U122" t="str">
        <f t="shared" si="7"/>
        <v/>
      </c>
      <c r="V122" s="190" t="str">
        <f t="shared" si="6"/>
        <v>I13.0C</v>
      </c>
      <c r="X122" s="56" t="s">
        <v>364</v>
      </c>
      <c r="Y122" s="190" t="s">
        <v>282</v>
      </c>
      <c r="Z122" s="154">
        <f>VLOOKUP(X122,'Model Calculator'!$B$2:$AK$311,36,FALSE)</f>
        <v>2380.8200000000002</v>
      </c>
    </row>
    <row r="123" spans="18:26">
      <c r="R123" t="str">
        <f t="shared" si="4"/>
        <v>I</v>
      </c>
      <c r="S123" t="str">
        <f t="shared" si="5"/>
        <v>13.5</v>
      </c>
      <c r="T123" t="s">
        <v>521</v>
      </c>
      <c r="U123" t="str">
        <f t="shared" si="7"/>
        <v/>
      </c>
      <c r="V123" s="190" t="str">
        <f t="shared" si="6"/>
        <v>I13.5C</v>
      </c>
      <c r="X123" s="56" t="s">
        <v>365</v>
      </c>
      <c r="Y123" s="190" t="s">
        <v>282</v>
      </c>
      <c r="Z123" s="154">
        <f>VLOOKUP(X123,'Model Calculator'!$B$2:$AK$311,36,FALSE)</f>
        <v>2457.46</v>
      </c>
    </row>
    <row r="124" spans="18:26">
      <c r="R124" t="str">
        <f t="shared" si="4"/>
        <v>I</v>
      </c>
      <c r="S124" t="str">
        <f t="shared" si="5"/>
        <v>14.0</v>
      </c>
      <c r="T124" t="s">
        <v>521</v>
      </c>
      <c r="U124" t="str">
        <f t="shared" si="7"/>
        <v/>
      </c>
      <c r="V124" s="190" t="str">
        <f t="shared" si="6"/>
        <v>I14.0C</v>
      </c>
      <c r="X124" s="56" t="s">
        <v>366</v>
      </c>
      <c r="Y124" s="190" t="s">
        <v>282</v>
      </c>
      <c r="Z124" s="154">
        <f>VLOOKUP(X124,'Model Calculator'!$B$2:$AK$311,36,FALSE)</f>
        <v>2534.09</v>
      </c>
    </row>
    <row r="125" spans="18:26">
      <c r="R125" t="str">
        <f t="shared" si="4"/>
        <v>I</v>
      </c>
      <c r="S125" t="str">
        <f t="shared" si="5"/>
        <v>14.5</v>
      </c>
      <c r="T125" t="s">
        <v>521</v>
      </c>
      <c r="U125" t="str">
        <f t="shared" si="7"/>
        <v/>
      </c>
      <c r="V125" s="190" t="str">
        <f t="shared" si="6"/>
        <v>I14.5C</v>
      </c>
      <c r="X125" s="56" t="s">
        <v>367</v>
      </c>
      <c r="Y125" s="190" t="s">
        <v>282</v>
      </c>
      <c r="Z125" s="154">
        <f>VLOOKUP(X125,'Model Calculator'!$B$2:$AK$311,36,FALSE)</f>
        <v>2609.4</v>
      </c>
    </row>
    <row r="126" spans="18:26">
      <c r="R126" t="str">
        <f t="shared" si="4"/>
        <v>I</v>
      </c>
      <c r="S126" t="str">
        <f t="shared" si="5"/>
        <v>15.0</v>
      </c>
      <c r="T126" t="s">
        <v>521</v>
      </c>
      <c r="U126" t="str">
        <f t="shared" si="7"/>
        <v/>
      </c>
      <c r="V126" s="190" t="str">
        <f t="shared" si="6"/>
        <v>I15.0C</v>
      </c>
      <c r="X126" s="56" t="s">
        <v>368</v>
      </c>
      <c r="Y126" s="190" t="s">
        <v>282</v>
      </c>
      <c r="Z126" s="154">
        <f>VLOOKUP(X126,'Model Calculator'!$B$2:$AK$311,36,FALSE)</f>
        <v>2686.04</v>
      </c>
    </row>
    <row r="127" spans="18:26">
      <c r="R127" t="str">
        <f t="shared" si="4"/>
        <v>I</v>
      </c>
      <c r="S127" t="str">
        <f t="shared" si="5"/>
        <v>15.5</v>
      </c>
      <c r="T127" t="s">
        <v>521</v>
      </c>
      <c r="U127" t="str">
        <f t="shared" si="7"/>
        <v/>
      </c>
      <c r="V127" s="190" t="str">
        <f t="shared" si="6"/>
        <v>I15.5C</v>
      </c>
      <c r="X127" s="56" t="s">
        <v>369</v>
      </c>
      <c r="Y127" s="190" t="s">
        <v>282</v>
      </c>
      <c r="Z127" s="154">
        <f>VLOOKUP(X127,'Model Calculator'!$B$2:$AK$311,36,FALSE)</f>
        <v>2762.67</v>
      </c>
    </row>
    <row r="128" spans="18:26">
      <c r="R128" t="str">
        <f t="shared" si="4"/>
        <v>M</v>
      </c>
      <c r="S128" t="str">
        <f t="shared" si="5"/>
        <v>06.0</v>
      </c>
      <c r="T128" t="s">
        <v>521</v>
      </c>
      <c r="U128" t="str">
        <f t="shared" si="7"/>
        <v>1</v>
      </c>
      <c r="V128" s="190" t="str">
        <f t="shared" si="6"/>
        <v>M06.0C1</v>
      </c>
      <c r="X128" s="56" t="s">
        <v>370</v>
      </c>
      <c r="Y128" s="190" t="s">
        <v>282</v>
      </c>
      <c r="Z128" s="154">
        <f>VLOOKUP(X128,'Model Calculator'!$B$2:$AK$311,36,FALSE)</f>
        <v>1432.72</v>
      </c>
    </row>
    <row r="129" spans="18:26">
      <c r="R129" t="str">
        <f t="shared" si="4"/>
        <v>M</v>
      </c>
      <c r="S129" t="str">
        <f t="shared" si="5"/>
        <v>06.5</v>
      </c>
      <c r="T129" t="s">
        <v>521</v>
      </c>
      <c r="U129" t="str">
        <f t="shared" si="7"/>
        <v>1</v>
      </c>
      <c r="V129" s="190" t="str">
        <f t="shared" si="6"/>
        <v>M06.5C1</v>
      </c>
      <c r="X129" s="56" t="s">
        <v>371</v>
      </c>
      <c r="Y129" s="190" t="s">
        <v>282</v>
      </c>
      <c r="Z129" s="154">
        <f>VLOOKUP(X129,'Model Calculator'!$B$2:$AK$311,36,FALSE)</f>
        <v>1522.24</v>
      </c>
    </row>
    <row r="130" spans="18:26">
      <c r="R130" t="str">
        <f t="shared" si="4"/>
        <v>M</v>
      </c>
      <c r="S130" t="str">
        <f t="shared" si="5"/>
        <v>07.0</v>
      </c>
      <c r="T130" t="s">
        <v>521</v>
      </c>
      <c r="U130" t="str">
        <f t="shared" si="7"/>
        <v>1</v>
      </c>
      <c r="V130" s="190" t="str">
        <f t="shared" si="6"/>
        <v>M07.0C1</v>
      </c>
      <c r="X130" s="56" t="s">
        <v>372</v>
      </c>
      <c r="Y130" s="190" t="s">
        <v>282</v>
      </c>
      <c r="Z130" s="154">
        <f>VLOOKUP(X130,'Model Calculator'!$B$2:$AK$311,36,FALSE)</f>
        <v>1611.77</v>
      </c>
    </row>
    <row r="131" spans="18:26">
      <c r="R131" t="str">
        <f t="shared" si="4"/>
        <v>M</v>
      </c>
      <c r="S131" t="str">
        <f t="shared" si="5"/>
        <v>07.5</v>
      </c>
      <c r="T131" t="s">
        <v>521</v>
      </c>
      <c r="U131" t="str">
        <f t="shared" si="7"/>
        <v>1</v>
      </c>
      <c r="V131" s="190" t="str">
        <f t="shared" si="6"/>
        <v>M07.5C1</v>
      </c>
      <c r="X131" s="56" t="s">
        <v>373</v>
      </c>
      <c r="Y131" s="190" t="s">
        <v>282</v>
      </c>
      <c r="Z131" s="154">
        <f>VLOOKUP(X131,'Model Calculator'!$B$2:$AK$311,36,FALSE)</f>
        <v>1701.29</v>
      </c>
    </row>
    <row r="132" spans="18:26">
      <c r="R132" t="str">
        <f t="shared" ref="R132:R187" si="8">LEFT(X132,1)</f>
        <v>M</v>
      </c>
      <c r="S132" t="str">
        <f t="shared" ref="S132:S187" si="9">MID(X132,3,4)</f>
        <v>08.0</v>
      </c>
      <c r="T132" t="s">
        <v>521</v>
      </c>
      <c r="U132" t="str">
        <f t="shared" si="7"/>
        <v>1</v>
      </c>
      <c r="V132" s="190" t="str">
        <f t="shared" ref="V132:V187" si="10">CONCATENATE(R132,S132,T132,U132)</f>
        <v>M08.0C1</v>
      </c>
      <c r="X132" s="56" t="s">
        <v>374</v>
      </c>
      <c r="Y132" s="190" t="s">
        <v>282</v>
      </c>
      <c r="Z132" s="154">
        <f>VLOOKUP(X132,'Model Calculator'!$B$2:$AK$311,36,FALSE)</f>
        <v>1789.44</v>
      </c>
    </row>
    <row r="133" spans="18:26">
      <c r="R133" t="str">
        <f t="shared" si="8"/>
        <v>M</v>
      </c>
      <c r="S133" t="str">
        <f t="shared" si="9"/>
        <v>08.5</v>
      </c>
      <c r="T133" t="s">
        <v>521</v>
      </c>
      <c r="U133" t="str">
        <f t="shared" ref="U133:U187" si="11">MID(X133,7,1)</f>
        <v>1</v>
      </c>
      <c r="V133" s="190" t="str">
        <f t="shared" si="10"/>
        <v>M08.5C1</v>
      </c>
      <c r="X133" s="56" t="s">
        <v>375</v>
      </c>
      <c r="Y133" s="190" t="s">
        <v>282</v>
      </c>
      <c r="Z133" s="154">
        <f>VLOOKUP(X133,'Model Calculator'!$B$2:$AK$311,36,FALSE)</f>
        <v>1878.97</v>
      </c>
    </row>
    <row r="134" spans="18:26">
      <c r="R134" t="str">
        <f t="shared" si="8"/>
        <v>M</v>
      </c>
      <c r="S134" t="str">
        <f t="shared" si="9"/>
        <v>09.0</v>
      </c>
      <c r="T134" t="s">
        <v>521</v>
      </c>
      <c r="U134" t="str">
        <f t="shared" si="11"/>
        <v>1</v>
      </c>
      <c r="V134" s="190" t="str">
        <f t="shared" si="10"/>
        <v>M09.0C1</v>
      </c>
      <c r="X134" s="56" t="s">
        <v>376</v>
      </c>
      <c r="Y134" s="190" t="s">
        <v>282</v>
      </c>
      <c r="Z134" s="154">
        <f>VLOOKUP(X134,'Model Calculator'!$B$2:$AK$311,36,FALSE)</f>
        <v>1968.49</v>
      </c>
    </row>
    <row r="135" spans="18:26">
      <c r="R135" t="str">
        <f t="shared" si="8"/>
        <v>M</v>
      </c>
      <c r="S135" t="str">
        <f t="shared" si="9"/>
        <v>09.5</v>
      </c>
      <c r="T135" t="s">
        <v>521</v>
      </c>
      <c r="U135" t="str">
        <f t="shared" si="11"/>
        <v>1</v>
      </c>
      <c r="V135" s="190" t="str">
        <f t="shared" si="10"/>
        <v>M09.5C1</v>
      </c>
      <c r="X135" s="56" t="s">
        <v>377</v>
      </c>
      <c r="Y135" s="190" t="s">
        <v>282</v>
      </c>
      <c r="Z135" s="154">
        <f>VLOOKUP(X135,'Model Calculator'!$B$2:$AK$311,36,FALSE)</f>
        <v>2056.64</v>
      </c>
    </row>
    <row r="136" spans="18:26">
      <c r="R136" t="str">
        <f t="shared" si="8"/>
        <v>M</v>
      </c>
      <c r="S136" t="str">
        <f t="shared" si="9"/>
        <v>10.0</v>
      </c>
      <c r="T136" t="s">
        <v>521</v>
      </c>
      <c r="U136" t="str">
        <f t="shared" si="11"/>
        <v>1</v>
      </c>
      <c r="V136" s="190" t="str">
        <f t="shared" si="10"/>
        <v>M10.0C1</v>
      </c>
      <c r="X136" s="56" t="s">
        <v>378</v>
      </c>
      <c r="Y136" s="190" t="s">
        <v>282</v>
      </c>
      <c r="Z136" s="154">
        <f>VLOOKUP(X136,'Model Calculator'!$B$2:$AK$311,36,FALSE)</f>
        <v>2146.17</v>
      </c>
    </row>
    <row r="137" spans="18:26">
      <c r="R137" t="str">
        <f t="shared" si="8"/>
        <v>M</v>
      </c>
      <c r="S137" t="str">
        <f t="shared" si="9"/>
        <v>10.5</v>
      </c>
      <c r="T137" t="s">
        <v>521</v>
      </c>
      <c r="U137" t="str">
        <f t="shared" si="11"/>
        <v>1</v>
      </c>
      <c r="V137" s="190" t="str">
        <f t="shared" si="10"/>
        <v>M10.5C1</v>
      </c>
      <c r="X137" s="56" t="s">
        <v>379</v>
      </c>
      <c r="Y137" s="190" t="s">
        <v>282</v>
      </c>
      <c r="Z137" s="154">
        <f>VLOOKUP(X137,'Model Calculator'!$B$2:$AK$311,36,FALSE)</f>
        <v>2235.69</v>
      </c>
    </row>
    <row r="138" spans="18:26">
      <c r="R138" t="str">
        <f t="shared" si="8"/>
        <v>M</v>
      </c>
      <c r="S138" t="str">
        <f t="shared" si="9"/>
        <v>11.0</v>
      </c>
      <c r="T138" t="s">
        <v>521</v>
      </c>
      <c r="U138" t="str">
        <f t="shared" si="11"/>
        <v>1</v>
      </c>
      <c r="V138" s="190" t="str">
        <f t="shared" si="10"/>
        <v>M11.0C1</v>
      </c>
      <c r="X138" s="56" t="s">
        <v>380</v>
      </c>
      <c r="Y138" s="190" t="s">
        <v>282</v>
      </c>
      <c r="Z138" s="154">
        <f>VLOOKUP(X138,'Model Calculator'!$B$2:$AK$311,36,FALSE)</f>
        <v>2323.85</v>
      </c>
    </row>
    <row r="139" spans="18:26">
      <c r="R139" t="str">
        <f t="shared" si="8"/>
        <v>M</v>
      </c>
      <c r="S139" t="str">
        <f t="shared" si="9"/>
        <v>11.5</v>
      </c>
      <c r="T139" t="s">
        <v>521</v>
      </c>
      <c r="U139" t="str">
        <f t="shared" si="11"/>
        <v>1</v>
      </c>
      <c r="V139" s="190" t="str">
        <f t="shared" si="10"/>
        <v>M11.5C1</v>
      </c>
      <c r="X139" s="56" t="s">
        <v>381</v>
      </c>
      <c r="Y139" s="190" t="s">
        <v>282</v>
      </c>
      <c r="Z139" s="154">
        <f>VLOOKUP(X139,'Model Calculator'!$B$2:$AK$311,36,FALSE)</f>
        <v>2413.37</v>
      </c>
    </row>
    <row r="140" spans="18:26">
      <c r="R140" t="str">
        <f t="shared" si="8"/>
        <v>M</v>
      </c>
      <c r="S140" t="str">
        <f t="shared" si="9"/>
        <v>12.0</v>
      </c>
      <c r="T140" t="s">
        <v>521</v>
      </c>
      <c r="U140" t="str">
        <f t="shared" si="11"/>
        <v>1</v>
      </c>
      <c r="V140" s="190" t="str">
        <f t="shared" si="10"/>
        <v>M12.0C1</v>
      </c>
      <c r="X140" s="56" t="s">
        <v>382</v>
      </c>
      <c r="Y140" s="190" t="s">
        <v>282</v>
      </c>
      <c r="Z140" s="154">
        <f>VLOOKUP(X140,'Model Calculator'!$B$2:$AK$311,36,FALSE)</f>
        <v>2502.89</v>
      </c>
    </row>
    <row r="141" spans="18:26">
      <c r="R141" t="str">
        <f t="shared" si="8"/>
        <v>M</v>
      </c>
      <c r="S141" t="str">
        <f t="shared" si="9"/>
        <v>12.5</v>
      </c>
      <c r="T141" t="s">
        <v>521</v>
      </c>
      <c r="U141" t="str">
        <f t="shared" si="11"/>
        <v>1</v>
      </c>
      <c r="V141" s="190" t="str">
        <f t="shared" si="10"/>
        <v>M12.5C1</v>
      </c>
      <c r="X141" s="56" t="s">
        <v>383</v>
      </c>
      <c r="Y141" s="190" t="s">
        <v>282</v>
      </c>
      <c r="Z141" s="154">
        <f>VLOOKUP(X141,'Model Calculator'!$B$2:$AK$311,36,FALSE)</f>
        <v>2592.42</v>
      </c>
    </row>
    <row r="142" spans="18:26">
      <c r="R142" t="str">
        <f t="shared" si="8"/>
        <v>M</v>
      </c>
      <c r="S142" t="str">
        <f t="shared" si="9"/>
        <v>13.0</v>
      </c>
      <c r="T142" t="s">
        <v>521</v>
      </c>
      <c r="U142" t="str">
        <f t="shared" si="11"/>
        <v>1</v>
      </c>
      <c r="V142" s="190" t="str">
        <f t="shared" si="10"/>
        <v>M13.0C1</v>
      </c>
      <c r="X142" s="56" t="s">
        <v>384</v>
      </c>
      <c r="Y142" s="190" t="s">
        <v>282</v>
      </c>
      <c r="Z142" s="154">
        <f>VLOOKUP(X142,'Model Calculator'!$B$2:$AK$311,36,FALSE)</f>
        <v>2680.57</v>
      </c>
    </row>
    <row r="143" spans="18:26">
      <c r="R143" t="str">
        <f t="shared" si="8"/>
        <v>M</v>
      </c>
      <c r="S143" t="str">
        <f t="shared" si="9"/>
        <v>13.5</v>
      </c>
      <c r="T143" t="s">
        <v>521</v>
      </c>
      <c r="U143" t="str">
        <f t="shared" si="11"/>
        <v>1</v>
      </c>
      <c r="V143" s="190" t="str">
        <f t="shared" si="10"/>
        <v>M13.5C1</v>
      </c>
      <c r="X143" s="56" t="s">
        <v>385</v>
      </c>
      <c r="Y143" s="190" t="s">
        <v>282</v>
      </c>
      <c r="Z143" s="154">
        <f>VLOOKUP(X143,'Model Calculator'!$B$2:$AK$311,36,FALSE)</f>
        <v>2770.1</v>
      </c>
    </row>
    <row r="144" spans="18:26">
      <c r="R144" t="str">
        <f t="shared" si="8"/>
        <v>M</v>
      </c>
      <c r="S144" t="str">
        <f t="shared" si="9"/>
        <v>14.0</v>
      </c>
      <c r="T144" t="s">
        <v>521</v>
      </c>
      <c r="U144" t="str">
        <f t="shared" si="11"/>
        <v>1</v>
      </c>
      <c r="V144" s="190" t="str">
        <f t="shared" si="10"/>
        <v>M14.0C1</v>
      </c>
      <c r="X144" s="56" t="s">
        <v>386</v>
      </c>
      <c r="Y144" s="190" t="s">
        <v>282</v>
      </c>
      <c r="Z144" s="154">
        <f>VLOOKUP(X144,'Model Calculator'!$B$2:$AK$311,36,FALSE)</f>
        <v>2859.62</v>
      </c>
    </row>
    <row r="145" spans="18:26">
      <c r="R145" t="str">
        <f t="shared" si="8"/>
        <v>M</v>
      </c>
      <c r="S145" t="str">
        <f t="shared" si="9"/>
        <v>14.5</v>
      </c>
      <c r="T145" t="s">
        <v>521</v>
      </c>
      <c r="U145" t="str">
        <f t="shared" si="11"/>
        <v>1</v>
      </c>
      <c r="V145" s="190" t="str">
        <f t="shared" si="10"/>
        <v>M14.5C1</v>
      </c>
      <c r="X145" s="56" t="s">
        <v>387</v>
      </c>
      <c r="Y145" s="190" t="s">
        <v>282</v>
      </c>
      <c r="Z145" s="154">
        <f>VLOOKUP(X145,'Model Calculator'!$B$2:$AK$311,36,FALSE)</f>
        <v>2947.77</v>
      </c>
    </row>
    <row r="146" spans="18:26">
      <c r="R146" t="str">
        <f t="shared" si="8"/>
        <v>M</v>
      </c>
      <c r="S146" t="str">
        <f t="shared" si="9"/>
        <v>15.0</v>
      </c>
      <c r="T146" t="s">
        <v>521</v>
      </c>
      <c r="U146" t="str">
        <f t="shared" si="11"/>
        <v>1</v>
      </c>
      <c r="V146" s="190" t="str">
        <f t="shared" si="10"/>
        <v>M15.0C1</v>
      </c>
      <c r="X146" s="56" t="s">
        <v>388</v>
      </c>
      <c r="Y146" s="190" t="s">
        <v>282</v>
      </c>
      <c r="Z146" s="154">
        <f>VLOOKUP(X146,'Model Calculator'!$B$2:$AK$311,36,FALSE)</f>
        <v>3037.3</v>
      </c>
    </row>
    <row r="147" spans="18:26">
      <c r="R147" t="str">
        <f t="shared" si="8"/>
        <v>M</v>
      </c>
      <c r="S147" t="str">
        <f t="shared" si="9"/>
        <v>15.5</v>
      </c>
      <c r="T147" t="s">
        <v>521</v>
      </c>
      <c r="U147" t="str">
        <f t="shared" si="11"/>
        <v>1</v>
      </c>
      <c r="V147" s="190" t="str">
        <f t="shared" si="10"/>
        <v>M15.5C1</v>
      </c>
      <c r="X147" s="56" t="s">
        <v>389</v>
      </c>
      <c r="Y147" s="190" t="s">
        <v>282</v>
      </c>
      <c r="Z147" s="154">
        <f>VLOOKUP(X147,'Model Calculator'!$B$2:$AK$311,36,FALSE)</f>
        <v>3126.82</v>
      </c>
    </row>
    <row r="148" spans="18:26">
      <c r="R148" t="str">
        <f t="shared" si="8"/>
        <v>M</v>
      </c>
      <c r="S148" t="str">
        <f t="shared" si="9"/>
        <v>06.0</v>
      </c>
      <c r="T148" t="s">
        <v>521</v>
      </c>
      <c r="U148" t="str">
        <f t="shared" si="11"/>
        <v>2</v>
      </c>
      <c r="V148" s="190" t="str">
        <f t="shared" si="10"/>
        <v>M06.0C2</v>
      </c>
      <c r="X148" s="56" t="s">
        <v>390</v>
      </c>
      <c r="Y148" s="190" t="s">
        <v>282</v>
      </c>
      <c r="Z148" s="154">
        <f>VLOOKUP(X148,'Model Calculator'!$B$2:$AK$311,36,FALSE)</f>
        <v>1501.89</v>
      </c>
    </row>
    <row r="149" spans="18:26">
      <c r="R149" t="str">
        <f t="shared" si="8"/>
        <v>M</v>
      </c>
      <c r="S149" t="str">
        <f t="shared" si="9"/>
        <v>06.5</v>
      </c>
      <c r="T149" t="s">
        <v>521</v>
      </c>
      <c r="U149" t="str">
        <f t="shared" si="11"/>
        <v>2</v>
      </c>
      <c r="V149" s="190" t="str">
        <f t="shared" si="10"/>
        <v>M06.5C2</v>
      </c>
      <c r="X149" s="56" t="s">
        <v>391</v>
      </c>
      <c r="Y149" s="190" t="s">
        <v>282</v>
      </c>
      <c r="Z149" s="154">
        <f>VLOOKUP(X149,'Model Calculator'!$B$2:$AK$311,36,FALSE)</f>
        <v>1598.71</v>
      </c>
    </row>
    <row r="150" spans="18:26">
      <c r="R150" t="str">
        <f t="shared" si="8"/>
        <v>M</v>
      </c>
      <c r="S150" t="str">
        <f t="shared" si="9"/>
        <v>07.0</v>
      </c>
      <c r="T150" t="s">
        <v>521</v>
      </c>
      <c r="U150" t="str">
        <f t="shared" si="11"/>
        <v>2</v>
      </c>
      <c r="V150" s="190" t="str">
        <f t="shared" si="10"/>
        <v>M07.0C2</v>
      </c>
      <c r="X150" s="56" t="s">
        <v>392</v>
      </c>
      <c r="Y150" s="190" t="s">
        <v>282</v>
      </c>
      <c r="Z150" s="154">
        <f>VLOOKUP(X150,'Model Calculator'!$B$2:$AK$311,36,FALSE)</f>
        <v>1695.53</v>
      </c>
    </row>
    <row r="151" spans="18:26">
      <c r="R151" t="str">
        <f t="shared" si="8"/>
        <v>M</v>
      </c>
      <c r="S151" t="str">
        <f t="shared" si="9"/>
        <v>07.5</v>
      </c>
      <c r="T151" t="s">
        <v>521</v>
      </c>
      <c r="U151" t="str">
        <f t="shared" si="11"/>
        <v>2</v>
      </c>
      <c r="V151" s="190" t="str">
        <f t="shared" si="10"/>
        <v>M07.5C2</v>
      </c>
      <c r="X151" s="56" t="s">
        <v>393</v>
      </c>
      <c r="Y151" s="190" t="s">
        <v>282</v>
      </c>
      <c r="Z151" s="154">
        <f>VLOOKUP(X151,'Model Calculator'!$B$2:$AK$311,36,FALSE)</f>
        <v>1792.35</v>
      </c>
    </row>
    <row r="152" spans="18:26">
      <c r="R152" t="str">
        <f t="shared" si="8"/>
        <v>M</v>
      </c>
      <c r="S152" t="str">
        <f t="shared" si="9"/>
        <v>08.0</v>
      </c>
      <c r="T152" t="s">
        <v>521</v>
      </c>
      <c r="U152" t="str">
        <f t="shared" si="11"/>
        <v>2</v>
      </c>
      <c r="V152" s="190" t="str">
        <f t="shared" si="10"/>
        <v>M08.0C2</v>
      </c>
      <c r="X152" s="56" t="s">
        <v>394</v>
      </c>
      <c r="Y152" s="190" t="s">
        <v>282</v>
      </c>
      <c r="Z152" s="154">
        <f>VLOOKUP(X152,'Model Calculator'!$B$2:$AK$311,36,FALSE)</f>
        <v>1887.69</v>
      </c>
    </row>
    <row r="153" spans="18:26">
      <c r="R153" t="str">
        <f t="shared" si="8"/>
        <v>M</v>
      </c>
      <c r="S153" t="str">
        <f t="shared" si="9"/>
        <v>08.5</v>
      </c>
      <c r="T153" t="s">
        <v>521</v>
      </c>
      <c r="U153" t="str">
        <f t="shared" si="11"/>
        <v>2</v>
      </c>
      <c r="V153" s="190" t="str">
        <f t="shared" si="10"/>
        <v>M08.5C2</v>
      </c>
      <c r="X153" s="56" t="s">
        <v>395</v>
      </c>
      <c r="Y153" s="190" t="s">
        <v>282</v>
      </c>
      <c r="Z153" s="154">
        <f>VLOOKUP(X153,'Model Calculator'!$B$2:$AK$311,36,FALSE)</f>
        <v>1984.51</v>
      </c>
    </row>
    <row r="154" spans="18:26">
      <c r="R154" t="str">
        <f t="shared" si="8"/>
        <v>M</v>
      </c>
      <c r="S154" t="str">
        <f t="shared" si="9"/>
        <v>09.0</v>
      </c>
      <c r="T154" t="s">
        <v>521</v>
      </c>
      <c r="U154" t="str">
        <f t="shared" si="11"/>
        <v>2</v>
      </c>
      <c r="V154" s="190" t="str">
        <f t="shared" si="10"/>
        <v>M09.0C2</v>
      </c>
      <c r="X154" s="56" t="s">
        <v>396</v>
      </c>
      <c r="Y154" s="190" t="s">
        <v>282</v>
      </c>
      <c r="Z154" s="154">
        <f>VLOOKUP(X154,'Model Calculator'!$B$2:$AK$311,36,FALSE)</f>
        <v>2081.33</v>
      </c>
    </row>
    <row r="155" spans="18:26">
      <c r="R155" t="str">
        <f t="shared" si="8"/>
        <v>M</v>
      </c>
      <c r="S155" t="str">
        <f t="shared" si="9"/>
        <v>09.5</v>
      </c>
      <c r="T155" t="s">
        <v>521</v>
      </c>
      <c r="U155" t="str">
        <f t="shared" si="11"/>
        <v>2</v>
      </c>
      <c r="V155" s="190" t="str">
        <f t="shared" si="10"/>
        <v>M09.5C2</v>
      </c>
      <c r="X155" s="56" t="s">
        <v>397</v>
      </c>
      <c r="Y155" s="190" t="s">
        <v>282</v>
      </c>
      <c r="Z155" s="154">
        <f>VLOOKUP(X155,'Model Calculator'!$B$2:$AK$311,36,FALSE)</f>
        <v>2176.66</v>
      </c>
    </row>
    <row r="156" spans="18:26">
      <c r="R156" t="str">
        <f t="shared" si="8"/>
        <v>M</v>
      </c>
      <c r="S156" t="str">
        <f t="shared" si="9"/>
        <v>10.0</v>
      </c>
      <c r="T156" t="s">
        <v>521</v>
      </c>
      <c r="U156" t="str">
        <f t="shared" si="11"/>
        <v>2</v>
      </c>
      <c r="V156" s="190" t="str">
        <f t="shared" si="10"/>
        <v>M10.0C2</v>
      </c>
      <c r="X156" s="56" t="s">
        <v>398</v>
      </c>
      <c r="Y156" s="190" t="s">
        <v>282</v>
      </c>
      <c r="Z156" s="154">
        <f>VLOOKUP(X156,'Model Calculator'!$B$2:$AK$311,36,FALSE)</f>
        <v>2273.48</v>
      </c>
    </row>
    <row r="157" spans="18:26">
      <c r="R157" t="str">
        <f t="shared" si="8"/>
        <v>M</v>
      </c>
      <c r="S157" t="str">
        <f t="shared" si="9"/>
        <v>10.5</v>
      </c>
      <c r="T157" t="s">
        <v>521</v>
      </c>
      <c r="U157" t="str">
        <f t="shared" si="11"/>
        <v>2</v>
      </c>
      <c r="V157" s="190" t="str">
        <f t="shared" si="10"/>
        <v>M10.5C2</v>
      </c>
      <c r="X157" s="56" t="s">
        <v>399</v>
      </c>
      <c r="Y157" s="190" t="s">
        <v>282</v>
      </c>
      <c r="Z157" s="154">
        <f>VLOOKUP(X157,'Model Calculator'!$B$2:$AK$311,36,FALSE)</f>
        <v>2370.3000000000002</v>
      </c>
    </row>
    <row r="158" spans="18:26">
      <c r="R158" t="str">
        <f t="shared" si="8"/>
        <v>M</v>
      </c>
      <c r="S158" t="str">
        <f t="shared" si="9"/>
        <v>11.0</v>
      </c>
      <c r="T158" t="s">
        <v>521</v>
      </c>
      <c r="U158" t="str">
        <f t="shared" si="11"/>
        <v>2</v>
      </c>
      <c r="V158" s="190" t="str">
        <f t="shared" si="10"/>
        <v>M11.0C2</v>
      </c>
      <c r="X158" s="56" t="s">
        <v>400</v>
      </c>
      <c r="Y158" s="190" t="s">
        <v>282</v>
      </c>
      <c r="Z158" s="154">
        <f>VLOOKUP(X158,'Model Calculator'!$B$2:$AK$311,36,FALSE)</f>
        <v>2465.64</v>
      </c>
    </row>
    <row r="159" spans="18:26">
      <c r="R159" t="str">
        <f t="shared" si="8"/>
        <v>M</v>
      </c>
      <c r="S159" t="str">
        <f t="shared" si="9"/>
        <v>11.5</v>
      </c>
      <c r="T159" t="s">
        <v>521</v>
      </c>
      <c r="U159" t="str">
        <f t="shared" si="11"/>
        <v>2</v>
      </c>
      <c r="V159" s="190" t="str">
        <f t="shared" si="10"/>
        <v>M11.5C2</v>
      </c>
      <c r="X159" s="56" t="s">
        <v>401</v>
      </c>
      <c r="Y159" s="190" t="s">
        <v>282</v>
      </c>
      <c r="Z159" s="154">
        <f>VLOOKUP(X159,'Model Calculator'!$B$2:$AK$311,36,FALSE)</f>
        <v>2562.46</v>
      </c>
    </row>
    <row r="160" spans="18:26">
      <c r="R160" t="str">
        <f t="shared" si="8"/>
        <v>M</v>
      </c>
      <c r="S160" t="str">
        <f t="shared" si="9"/>
        <v>12.0</v>
      </c>
      <c r="T160" t="s">
        <v>521</v>
      </c>
      <c r="U160" t="str">
        <f t="shared" si="11"/>
        <v>2</v>
      </c>
      <c r="V160" s="190" t="str">
        <f t="shared" si="10"/>
        <v>M12.0C2</v>
      </c>
      <c r="X160" s="56" t="s">
        <v>402</v>
      </c>
      <c r="Y160" s="190" t="s">
        <v>282</v>
      </c>
      <c r="Z160" s="154">
        <f>VLOOKUP(X160,'Model Calculator'!$B$2:$AK$311,36,FALSE)</f>
        <v>2659.28</v>
      </c>
    </row>
    <row r="161" spans="18:26">
      <c r="R161" t="str">
        <f t="shared" si="8"/>
        <v>M</v>
      </c>
      <c r="S161" t="str">
        <f t="shared" si="9"/>
        <v>12.5</v>
      </c>
      <c r="T161" t="s">
        <v>521</v>
      </c>
      <c r="U161" t="str">
        <f t="shared" si="11"/>
        <v>2</v>
      </c>
      <c r="V161" s="190" t="str">
        <f t="shared" si="10"/>
        <v>M12.5C2</v>
      </c>
      <c r="X161" s="56" t="s">
        <v>403</v>
      </c>
      <c r="Y161" s="190" t="s">
        <v>282</v>
      </c>
      <c r="Z161" s="154">
        <f>VLOOKUP(X161,'Model Calculator'!$B$2:$AK$311,36,FALSE)</f>
        <v>2756.1</v>
      </c>
    </row>
    <row r="162" spans="18:26">
      <c r="R162" t="str">
        <f t="shared" si="8"/>
        <v>M</v>
      </c>
      <c r="S162" t="str">
        <f t="shared" si="9"/>
        <v>13.0</v>
      </c>
      <c r="T162" t="s">
        <v>521</v>
      </c>
      <c r="U162" t="str">
        <f t="shared" si="11"/>
        <v>2</v>
      </c>
      <c r="V162" s="190" t="str">
        <f t="shared" si="10"/>
        <v>M13.0C2</v>
      </c>
      <c r="X162" s="56" t="s">
        <v>404</v>
      </c>
      <c r="Y162" s="190" t="s">
        <v>282</v>
      </c>
      <c r="Z162" s="154">
        <f>VLOOKUP(X162,'Model Calculator'!$B$2:$AK$311,36,FALSE)</f>
        <v>2851.44</v>
      </c>
    </row>
    <row r="163" spans="18:26">
      <c r="R163" t="str">
        <f t="shared" si="8"/>
        <v>M</v>
      </c>
      <c r="S163" t="str">
        <f t="shared" si="9"/>
        <v>13.5</v>
      </c>
      <c r="T163" t="s">
        <v>521</v>
      </c>
      <c r="U163" t="str">
        <f t="shared" si="11"/>
        <v>2</v>
      </c>
      <c r="V163" s="190" t="str">
        <f t="shared" si="10"/>
        <v>M13.5C2</v>
      </c>
      <c r="X163" s="56" t="s">
        <v>405</v>
      </c>
      <c r="Y163" s="190" t="s">
        <v>282</v>
      </c>
      <c r="Z163" s="154">
        <f>VLOOKUP(X163,'Model Calculator'!$B$2:$AK$311,36,FALSE)</f>
        <v>2948.26</v>
      </c>
    </row>
    <row r="164" spans="18:26">
      <c r="R164" t="str">
        <f t="shared" si="8"/>
        <v>M</v>
      </c>
      <c r="S164" t="str">
        <f t="shared" si="9"/>
        <v>14.0</v>
      </c>
      <c r="T164" t="s">
        <v>521</v>
      </c>
      <c r="U164" t="str">
        <f t="shared" si="11"/>
        <v>2</v>
      </c>
      <c r="V164" s="190" t="str">
        <f t="shared" si="10"/>
        <v>M14.0C2</v>
      </c>
      <c r="X164" s="56" t="s">
        <v>406</v>
      </c>
      <c r="Y164" s="190" t="s">
        <v>282</v>
      </c>
      <c r="Z164" s="154">
        <f>VLOOKUP(X164,'Model Calculator'!$B$2:$AK$311,36,FALSE)</f>
        <v>3045.08</v>
      </c>
    </row>
    <row r="165" spans="18:26">
      <c r="R165" t="str">
        <f t="shared" si="8"/>
        <v>M</v>
      </c>
      <c r="S165" t="str">
        <f t="shared" si="9"/>
        <v>14.5</v>
      </c>
      <c r="T165" t="s">
        <v>521</v>
      </c>
      <c r="U165" t="str">
        <f t="shared" si="11"/>
        <v>2</v>
      </c>
      <c r="V165" s="190" t="str">
        <f t="shared" si="10"/>
        <v>M14.5C2</v>
      </c>
      <c r="X165" s="56" t="s">
        <v>407</v>
      </c>
      <c r="Y165" s="190" t="s">
        <v>282</v>
      </c>
      <c r="Z165" s="154">
        <f>VLOOKUP(X165,'Model Calculator'!$B$2:$AK$311,36,FALSE)</f>
        <v>3140.41</v>
      </c>
    </row>
    <row r="166" spans="18:26">
      <c r="R166" t="str">
        <f t="shared" si="8"/>
        <v>M</v>
      </c>
      <c r="S166" t="str">
        <f t="shared" si="9"/>
        <v>15.0</v>
      </c>
      <c r="T166" t="s">
        <v>521</v>
      </c>
      <c r="U166" t="str">
        <f t="shared" si="11"/>
        <v>2</v>
      </c>
      <c r="V166" s="190" t="str">
        <f t="shared" si="10"/>
        <v>M15.0C2</v>
      </c>
      <c r="X166" s="56" t="s">
        <v>408</v>
      </c>
      <c r="Y166" s="190" t="s">
        <v>282</v>
      </c>
      <c r="Z166" s="154">
        <f>VLOOKUP(X166,'Model Calculator'!$B$2:$AK$311,36,FALSE)</f>
        <v>3237.23</v>
      </c>
    </row>
    <row r="167" spans="18:26">
      <c r="R167" t="str">
        <f t="shared" si="8"/>
        <v>M</v>
      </c>
      <c r="S167" t="str">
        <f t="shared" si="9"/>
        <v>15.5</v>
      </c>
      <c r="T167" t="s">
        <v>521</v>
      </c>
      <c r="U167" t="str">
        <f t="shared" si="11"/>
        <v>2</v>
      </c>
      <c r="V167" s="190" t="str">
        <f t="shared" si="10"/>
        <v>M15.5C2</v>
      </c>
      <c r="X167" s="56" t="s">
        <v>409</v>
      </c>
      <c r="Y167" s="190" t="s">
        <v>282</v>
      </c>
      <c r="Z167" s="154">
        <f>VLOOKUP(X167,'Model Calculator'!$B$2:$AK$311,36,FALSE)</f>
        <v>3334.05</v>
      </c>
    </row>
    <row r="168" spans="18:26">
      <c r="R168" t="str">
        <f t="shared" si="8"/>
        <v>M</v>
      </c>
      <c r="S168" t="str">
        <f t="shared" si="9"/>
        <v>06.0</v>
      </c>
      <c r="T168" t="s">
        <v>521</v>
      </c>
      <c r="U168" t="str">
        <f t="shared" si="11"/>
        <v>3</v>
      </c>
      <c r="V168" s="190" t="str">
        <f t="shared" si="10"/>
        <v>M06.0C3</v>
      </c>
      <c r="X168" s="56" t="s">
        <v>410</v>
      </c>
      <c r="Y168" s="190" t="s">
        <v>282</v>
      </c>
      <c r="Z168" s="154">
        <f>VLOOKUP(X168,'Model Calculator'!$B$2:$AK$311,36,FALSE)</f>
        <v>1589.49</v>
      </c>
    </row>
    <row r="169" spans="18:26">
      <c r="R169" t="str">
        <f t="shared" si="8"/>
        <v>M</v>
      </c>
      <c r="S169" t="str">
        <f t="shared" si="9"/>
        <v>06.5</v>
      </c>
      <c r="T169" t="s">
        <v>521</v>
      </c>
      <c r="U169" t="str">
        <f t="shared" si="11"/>
        <v>3</v>
      </c>
      <c r="V169" s="190" t="str">
        <f t="shared" si="10"/>
        <v>M06.5C3</v>
      </c>
      <c r="X169" s="56" t="s">
        <v>411</v>
      </c>
      <c r="Y169" s="190" t="s">
        <v>282</v>
      </c>
      <c r="Z169" s="154">
        <f>VLOOKUP(X169,'Model Calculator'!$B$2:$AK$311,36,FALSE)</f>
        <v>1695.55</v>
      </c>
    </row>
    <row r="170" spans="18:26">
      <c r="R170" t="str">
        <f t="shared" si="8"/>
        <v>M</v>
      </c>
      <c r="S170" t="str">
        <f t="shared" si="9"/>
        <v>07.0</v>
      </c>
      <c r="T170" t="s">
        <v>521</v>
      </c>
      <c r="U170" t="str">
        <f t="shared" si="11"/>
        <v>3</v>
      </c>
      <c r="V170" s="190" t="str">
        <f t="shared" si="10"/>
        <v>M07.0C3</v>
      </c>
      <c r="X170" s="56" t="s">
        <v>412</v>
      </c>
      <c r="Y170" s="190" t="s">
        <v>282</v>
      </c>
      <c r="Z170" s="154">
        <f>VLOOKUP(X170,'Model Calculator'!$B$2:$AK$311,36,FALSE)</f>
        <v>1801.6</v>
      </c>
    </row>
    <row r="171" spans="18:26">
      <c r="R171" t="str">
        <f t="shared" si="8"/>
        <v>M</v>
      </c>
      <c r="S171" t="str">
        <f t="shared" si="9"/>
        <v>07.5</v>
      </c>
      <c r="T171" t="s">
        <v>521</v>
      </c>
      <c r="U171" t="str">
        <f t="shared" si="11"/>
        <v>3</v>
      </c>
      <c r="V171" s="190" t="str">
        <f t="shared" si="10"/>
        <v>M07.5C3</v>
      </c>
      <c r="X171" s="56" t="s">
        <v>413</v>
      </c>
      <c r="Y171" s="190" t="s">
        <v>282</v>
      </c>
      <c r="Z171" s="154">
        <f>VLOOKUP(X171,'Model Calculator'!$B$2:$AK$311,36,FALSE)</f>
        <v>1907.66</v>
      </c>
    </row>
    <row r="172" spans="18:26">
      <c r="R172" t="str">
        <f t="shared" si="8"/>
        <v>M</v>
      </c>
      <c r="S172" t="str">
        <f t="shared" si="9"/>
        <v>08.0</v>
      </c>
      <c r="T172" t="s">
        <v>521</v>
      </c>
      <c r="U172" t="str">
        <f t="shared" si="11"/>
        <v>3</v>
      </c>
      <c r="V172" s="190" t="str">
        <f t="shared" si="10"/>
        <v>M08.0C3</v>
      </c>
      <c r="X172" s="56" t="s">
        <v>414</v>
      </c>
      <c r="Y172" s="190" t="s">
        <v>282</v>
      </c>
      <c r="Z172" s="154">
        <f>VLOOKUP(X172,'Model Calculator'!$B$2:$AK$311,36,FALSE)</f>
        <v>2012.1</v>
      </c>
    </row>
    <row r="173" spans="18:26">
      <c r="R173" t="str">
        <f t="shared" si="8"/>
        <v>M</v>
      </c>
      <c r="S173" t="str">
        <f t="shared" si="9"/>
        <v>08.5</v>
      </c>
      <c r="T173" t="s">
        <v>521</v>
      </c>
      <c r="U173" t="str">
        <f t="shared" si="11"/>
        <v>3</v>
      </c>
      <c r="V173" s="190" t="str">
        <f t="shared" si="10"/>
        <v>M08.5C3</v>
      </c>
      <c r="X173" s="56" t="s">
        <v>415</v>
      </c>
      <c r="Y173" s="190" t="s">
        <v>282</v>
      </c>
      <c r="Z173" s="154">
        <f>VLOOKUP(X173,'Model Calculator'!$B$2:$AK$311,36,FALSE)</f>
        <v>2118.15</v>
      </c>
    </row>
    <row r="174" spans="18:26">
      <c r="R174" t="str">
        <f t="shared" si="8"/>
        <v>M</v>
      </c>
      <c r="S174" t="str">
        <f t="shared" si="9"/>
        <v>09.0</v>
      </c>
      <c r="T174" t="s">
        <v>521</v>
      </c>
      <c r="U174" t="str">
        <f t="shared" si="11"/>
        <v>3</v>
      </c>
      <c r="V174" s="190" t="str">
        <f t="shared" si="10"/>
        <v>M09.0C3</v>
      </c>
      <c r="X174" s="56" t="s">
        <v>416</v>
      </c>
      <c r="Y174" s="190" t="s">
        <v>282</v>
      </c>
      <c r="Z174" s="154">
        <f>VLOOKUP(X174,'Model Calculator'!$B$2:$AK$311,36,FALSE)</f>
        <v>2224.21</v>
      </c>
    </row>
    <row r="175" spans="18:26">
      <c r="R175" t="str">
        <f t="shared" si="8"/>
        <v>M</v>
      </c>
      <c r="S175" t="str">
        <f t="shared" si="9"/>
        <v>09.5</v>
      </c>
      <c r="T175" t="s">
        <v>521</v>
      </c>
      <c r="U175" t="str">
        <f t="shared" si="11"/>
        <v>3</v>
      </c>
      <c r="V175" s="190" t="str">
        <f t="shared" si="10"/>
        <v>M09.5C3</v>
      </c>
      <c r="X175" s="56" t="s">
        <v>417</v>
      </c>
      <c r="Y175" s="190" t="s">
        <v>282</v>
      </c>
      <c r="Z175" s="154">
        <f>VLOOKUP(X175,'Model Calculator'!$B$2:$AK$311,36,FALSE)</f>
        <v>2328.64</v>
      </c>
    </row>
    <row r="176" spans="18:26">
      <c r="R176" t="str">
        <f t="shared" si="8"/>
        <v>M</v>
      </c>
      <c r="S176" t="str">
        <f t="shared" si="9"/>
        <v>10.0</v>
      </c>
      <c r="T176" t="s">
        <v>521</v>
      </c>
      <c r="U176" t="str">
        <f t="shared" si="11"/>
        <v>3</v>
      </c>
      <c r="V176" s="190" t="str">
        <f t="shared" si="10"/>
        <v>M10.0C3</v>
      </c>
      <c r="X176" s="56" t="s">
        <v>418</v>
      </c>
      <c r="Y176" s="190" t="s">
        <v>282</v>
      </c>
      <c r="Z176" s="154">
        <f>VLOOKUP(X176,'Model Calculator'!$B$2:$AK$311,36,FALSE)</f>
        <v>2434.6999999999998</v>
      </c>
    </row>
    <row r="177" spans="18:26">
      <c r="R177" t="str">
        <f t="shared" si="8"/>
        <v>M</v>
      </c>
      <c r="S177" t="str">
        <f t="shared" si="9"/>
        <v>10.5</v>
      </c>
      <c r="T177" t="s">
        <v>521</v>
      </c>
      <c r="U177" t="str">
        <f t="shared" si="11"/>
        <v>3</v>
      </c>
      <c r="V177" s="190" t="str">
        <f t="shared" si="10"/>
        <v>M10.5C3</v>
      </c>
      <c r="X177" s="56" t="s">
        <v>419</v>
      </c>
      <c r="Y177" s="190" t="s">
        <v>282</v>
      </c>
      <c r="Z177" s="154">
        <f>VLOOKUP(X177,'Model Calculator'!$B$2:$AK$311,36,FALSE)</f>
        <v>2540.7600000000002</v>
      </c>
    </row>
    <row r="178" spans="18:26">
      <c r="R178" t="str">
        <f t="shared" si="8"/>
        <v>M</v>
      </c>
      <c r="S178" t="str">
        <f t="shared" si="9"/>
        <v>11.0</v>
      </c>
      <c r="T178" t="s">
        <v>521</v>
      </c>
      <c r="U178" t="str">
        <f t="shared" si="11"/>
        <v>3</v>
      </c>
      <c r="V178" s="190" t="str">
        <f t="shared" si="10"/>
        <v>M11.0C3</v>
      </c>
      <c r="X178" s="56" t="s">
        <v>420</v>
      </c>
      <c r="Y178" s="190" t="s">
        <v>282</v>
      </c>
      <c r="Z178" s="154">
        <f>VLOOKUP(X178,'Model Calculator'!$B$2:$AK$311,36,FALSE)</f>
        <v>2645.19</v>
      </c>
    </row>
    <row r="179" spans="18:26">
      <c r="R179" t="str">
        <f t="shared" si="8"/>
        <v>M</v>
      </c>
      <c r="S179" t="str">
        <f t="shared" si="9"/>
        <v>11.5</v>
      </c>
      <c r="T179" t="s">
        <v>521</v>
      </c>
      <c r="U179" t="str">
        <f t="shared" si="11"/>
        <v>3</v>
      </c>
      <c r="V179" s="190" t="str">
        <f t="shared" si="10"/>
        <v>M11.5C3</v>
      </c>
      <c r="X179" s="56" t="s">
        <v>421</v>
      </c>
      <c r="Y179" s="190" t="s">
        <v>282</v>
      </c>
      <c r="Z179" s="154">
        <f>VLOOKUP(X179,'Model Calculator'!$B$2:$AK$311,36,FALSE)</f>
        <v>2751.25</v>
      </c>
    </row>
    <row r="180" spans="18:26">
      <c r="R180" t="str">
        <f t="shared" si="8"/>
        <v>M</v>
      </c>
      <c r="S180" t="str">
        <f t="shared" si="9"/>
        <v>12.0</v>
      </c>
      <c r="T180" t="s">
        <v>521</v>
      </c>
      <c r="U180" t="str">
        <f t="shared" si="11"/>
        <v>3</v>
      </c>
      <c r="V180" s="190" t="str">
        <f t="shared" si="10"/>
        <v>M12.0C3</v>
      </c>
      <c r="X180" s="56" t="s">
        <v>422</v>
      </c>
      <c r="Y180" s="190" t="s">
        <v>282</v>
      </c>
      <c r="Z180" s="154">
        <f>VLOOKUP(X180,'Model Calculator'!$B$2:$AK$311,36,FALSE)</f>
        <v>2857.31</v>
      </c>
    </row>
    <row r="181" spans="18:26">
      <c r="R181" t="str">
        <f t="shared" si="8"/>
        <v>M</v>
      </c>
      <c r="S181" t="str">
        <f t="shared" si="9"/>
        <v>12.5</v>
      </c>
      <c r="T181" t="s">
        <v>521</v>
      </c>
      <c r="U181" t="str">
        <f t="shared" si="11"/>
        <v>3</v>
      </c>
      <c r="V181" s="190" t="str">
        <f t="shared" si="10"/>
        <v>M12.5C3</v>
      </c>
      <c r="X181" s="56" t="s">
        <v>423</v>
      </c>
      <c r="Y181" s="190" t="s">
        <v>282</v>
      </c>
      <c r="Z181" s="154">
        <f>VLOOKUP(X181,'Model Calculator'!$B$2:$AK$311,36,FALSE)</f>
        <v>2963.37</v>
      </c>
    </row>
    <row r="182" spans="18:26">
      <c r="R182" t="str">
        <f t="shared" si="8"/>
        <v>M</v>
      </c>
      <c r="S182" t="str">
        <f t="shared" si="9"/>
        <v>13.0</v>
      </c>
      <c r="T182" t="s">
        <v>521</v>
      </c>
      <c r="U182" t="str">
        <f t="shared" si="11"/>
        <v>3</v>
      </c>
      <c r="V182" s="190" t="str">
        <f t="shared" si="10"/>
        <v>M13.0C3</v>
      </c>
      <c r="X182" s="56" t="s">
        <v>424</v>
      </c>
      <c r="Y182" s="190" t="s">
        <v>282</v>
      </c>
      <c r="Z182" s="154">
        <f>VLOOKUP(X182,'Model Calculator'!$B$2:$AK$311,36,FALSE)</f>
        <v>3067.8</v>
      </c>
    </row>
    <row r="183" spans="18:26">
      <c r="R183" t="str">
        <f t="shared" si="8"/>
        <v>M</v>
      </c>
      <c r="S183" t="str">
        <f t="shared" si="9"/>
        <v>13.5</v>
      </c>
      <c r="T183" t="s">
        <v>521</v>
      </c>
      <c r="U183" t="str">
        <f t="shared" si="11"/>
        <v>3</v>
      </c>
      <c r="V183" s="190" t="str">
        <f t="shared" si="10"/>
        <v>M13.5C3</v>
      </c>
      <c r="X183" s="56" t="s">
        <v>425</v>
      </c>
      <c r="Y183" s="190" t="s">
        <v>282</v>
      </c>
      <c r="Z183" s="154">
        <f>VLOOKUP(X183,'Model Calculator'!$B$2:$AK$311,36,FALSE)</f>
        <v>3173.86</v>
      </c>
    </row>
    <row r="184" spans="18:26">
      <c r="R184" t="str">
        <f t="shared" si="8"/>
        <v>M</v>
      </c>
      <c r="S184" t="str">
        <f t="shared" si="9"/>
        <v>14.0</v>
      </c>
      <c r="T184" t="s">
        <v>521</v>
      </c>
      <c r="U184" t="str">
        <f t="shared" si="11"/>
        <v>3</v>
      </c>
      <c r="V184" s="190" t="str">
        <f t="shared" si="10"/>
        <v>M14.0C3</v>
      </c>
      <c r="X184" s="56" t="s">
        <v>426</v>
      </c>
      <c r="Y184" s="190" t="s">
        <v>282</v>
      </c>
      <c r="Z184" s="154">
        <f>VLOOKUP(X184,'Model Calculator'!$B$2:$AK$311,36,FALSE)</f>
        <v>3279.92</v>
      </c>
    </row>
    <row r="185" spans="18:26">
      <c r="R185" t="str">
        <f t="shared" si="8"/>
        <v>M</v>
      </c>
      <c r="S185" t="str">
        <f t="shared" si="9"/>
        <v>14.5</v>
      </c>
      <c r="T185" t="s">
        <v>521</v>
      </c>
      <c r="U185" t="str">
        <f t="shared" si="11"/>
        <v>3</v>
      </c>
      <c r="V185" s="190" t="str">
        <f t="shared" si="10"/>
        <v>M14.5C3</v>
      </c>
      <c r="X185" s="56" t="s">
        <v>427</v>
      </c>
      <c r="Y185" s="190" t="s">
        <v>282</v>
      </c>
      <c r="Z185" s="154">
        <f>VLOOKUP(X185,'Model Calculator'!$B$2:$AK$311,36,FALSE)</f>
        <v>3384.35</v>
      </c>
    </row>
    <row r="186" spans="18:26">
      <c r="R186" t="str">
        <f t="shared" si="8"/>
        <v>M</v>
      </c>
      <c r="S186" t="str">
        <f t="shared" si="9"/>
        <v>15.0</v>
      </c>
      <c r="T186" t="s">
        <v>521</v>
      </c>
      <c r="U186" t="str">
        <f t="shared" si="11"/>
        <v>3</v>
      </c>
      <c r="V186" s="190" t="str">
        <f t="shared" si="10"/>
        <v>M15.0C3</v>
      </c>
      <c r="X186" s="56" t="s">
        <v>428</v>
      </c>
      <c r="Y186" s="190" t="s">
        <v>282</v>
      </c>
      <c r="Z186" s="154">
        <f>VLOOKUP(X186,'Model Calculator'!$B$2:$AK$311,36,FALSE)</f>
        <v>3490.41</v>
      </c>
    </row>
    <row r="187" spans="18:26">
      <c r="R187" t="str">
        <f t="shared" si="8"/>
        <v>M</v>
      </c>
      <c r="S187" t="str">
        <f t="shared" si="9"/>
        <v>15.5</v>
      </c>
      <c r="T187" t="s">
        <v>521</v>
      </c>
      <c r="U187" t="str">
        <f t="shared" si="11"/>
        <v>3</v>
      </c>
      <c r="V187" s="190" t="str">
        <f t="shared" si="10"/>
        <v>M15.5C3</v>
      </c>
      <c r="X187" s="56" t="s">
        <v>429</v>
      </c>
      <c r="Y187" s="190" t="s">
        <v>282</v>
      </c>
      <c r="Z187" s="154">
        <f>VLOOKUP(X187,'Model Calculator'!$B$2:$AK$311,36,FALSE)</f>
        <v>3596.47</v>
      </c>
    </row>
  </sheetData>
  <sheetProtection selectLockedCells="1" selectUnlockedCells="1"/>
  <mergeCells count="4">
    <mergeCell ref="D2:E2"/>
    <mergeCell ref="F2:J2"/>
    <mergeCell ref="K2:O2"/>
    <mergeCell ref="C2:C3"/>
  </mergeCells>
  <pageMargins left="0.25" right="0.25" top="0.75" bottom="0.75" header="0.3" footer="0.3"/>
  <pageSetup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90" zoomScaleNormal="90" workbookViewId="0">
      <selection activeCell="L18" sqref="L18"/>
    </sheetView>
  </sheetViews>
  <sheetFormatPr defaultRowHeight="15"/>
  <cols>
    <col min="1" max="1" width="25.5703125" bestFit="1" customWidth="1"/>
    <col min="2" max="2" width="16.28515625" style="190" customWidth="1"/>
    <col min="3" max="3" width="13.28515625" style="367" customWidth="1"/>
    <col min="4" max="4" width="15.140625" style="190" bestFit="1" customWidth="1"/>
    <col min="5" max="5" width="16.5703125" style="190" customWidth="1"/>
    <col min="6" max="6" width="15.140625" style="190" customWidth="1"/>
    <col min="7" max="7" width="17.7109375" style="190" customWidth="1"/>
    <col min="8" max="8" width="15" style="190" bestFit="1" customWidth="1"/>
    <col min="9" max="10" width="14.42578125" style="190" customWidth="1"/>
    <col min="11" max="11" width="24.7109375" customWidth="1"/>
    <col min="12" max="12" width="14.7109375" customWidth="1"/>
    <col min="13" max="13" width="12" bestFit="1" customWidth="1"/>
    <col min="15" max="15" width="8.85546875" customWidth="1"/>
    <col min="18" max="19" width="10" bestFit="1" customWidth="1"/>
  </cols>
  <sheetData>
    <row r="1" spans="1:14" ht="15.75" thickBot="1"/>
    <row r="2" spans="1:14" ht="18.75">
      <c r="A2" s="368" t="s">
        <v>524</v>
      </c>
      <c r="B2" s="369"/>
      <c r="C2" s="370"/>
      <c r="D2" s="369"/>
      <c r="E2" s="369"/>
      <c r="F2" s="369"/>
      <c r="G2" s="369"/>
      <c r="H2" s="369"/>
      <c r="I2" s="369"/>
      <c r="J2" s="369"/>
      <c r="K2" s="371"/>
    </row>
    <row r="3" spans="1:14" ht="18.75">
      <c r="A3" s="372"/>
      <c r="B3" s="464" t="s">
        <v>525</v>
      </c>
      <c r="C3" s="445"/>
      <c r="D3" s="445"/>
      <c r="E3" s="445"/>
      <c r="F3" s="445"/>
      <c r="G3" s="445"/>
      <c r="H3" s="445"/>
      <c r="I3" s="445"/>
      <c r="J3" s="445"/>
      <c r="K3" s="446"/>
    </row>
    <row r="4" spans="1:14" ht="15.75" customHeight="1" thickBot="1">
      <c r="A4" s="372"/>
      <c r="B4" s="443"/>
      <c r="C4" s="442"/>
      <c r="D4" s="444"/>
      <c r="E4" s="373"/>
      <c r="F4" s="373"/>
      <c r="G4" s="442"/>
      <c r="H4" s="535"/>
      <c r="I4" s="535"/>
      <c r="J4" s="374"/>
      <c r="K4" s="375"/>
    </row>
    <row r="5" spans="1:14" ht="45.75" thickBot="1">
      <c r="A5" s="376"/>
      <c r="B5" s="482" t="s">
        <v>526</v>
      </c>
      <c r="C5" s="483" t="s">
        <v>549</v>
      </c>
      <c r="D5" s="483" t="s">
        <v>527</v>
      </c>
      <c r="E5" s="484" t="s">
        <v>30</v>
      </c>
      <c r="F5" s="485" t="s">
        <v>31</v>
      </c>
      <c r="G5" s="486" t="s">
        <v>528</v>
      </c>
      <c r="H5" s="487" t="s">
        <v>548</v>
      </c>
      <c r="I5" s="487" t="s">
        <v>529</v>
      </c>
      <c r="J5" s="536" t="s">
        <v>530</v>
      </c>
      <c r="K5" s="537"/>
    </row>
    <row r="6" spans="1:14">
      <c r="A6" s="447" t="s">
        <v>9</v>
      </c>
      <c r="B6" s="451">
        <v>32198.400000000001</v>
      </c>
      <c r="C6" s="452">
        <v>33316</v>
      </c>
      <c r="D6" s="452">
        <f>32302</f>
        <v>32302</v>
      </c>
      <c r="E6" s="452">
        <v>57449.599999999999</v>
      </c>
      <c r="F6" s="453">
        <v>86860.800000000003</v>
      </c>
      <c r="G6" s="452">
        <f>(H6*80%)+(136500*20%)</f>
        <v>76038.399999999994</v>
      </c>
      <c r="H6" s="453">
        <v>60923</v>
      </c>
      <c r="I6" s="454">
        <v>195380</v>
      </c>
      <c r="J6" s="538" t="s">
        <v>531</v>
      </c>
      <c r="K6" s="539"/>
    </row>
    <row r="7" spans="1:14">
      <c r="A7" s="447" t="s">
        <v>532</v>
      </c>
      <c r="B7" s="455">
        <v>0.22309999999999999</v>
      </c>
      <c r="C7" s="377">
        <v>0.22309999999999999</v>
      </c>
      <c r="D7" s="377">
        <v>0.22309999999999999</v>
      </c>
      <c r="E7" s="377">
        <v>0.22309999999999999</v>
      </c>
      <c r="F7" s="377">
        <v>0.22309999999999999</v>
      </c>
      <c r="G7" s="377">
        <v>0.22309999999999999</v>
      </c>
      <c r="H7" s="377">
        <v>0.22309999999999999</v>
      </c>
      <c r="I7" s="456">
        <v>0.22309999999999999</v>
      </c>
      <c r="J7" s="533" t="s">
        <v>533</v>
      </c>
      <c r="K7" s="534"/>
    </row>
    <row r="8" spans="1:14">
      <c r="A8" s="448" t="s">
        <v>534</v>
      </c>
      <c r="B8" s="457">
        <f t="shared" ref="B8:I8" si="0">B6*B7</f>
        <v>7183.4630399999996</v>
      </c>
      <c r="C8" s="379">
        <f t="shared" si="0"/>
        <v>7432.7995999999994</v>
      </c>
      <c r="D8" s="379">
        <f t="shared" si="0"/>
        <v>7206.5761999999995</v>
      </c>
      <c r="E8" s="379">
        <f t="shared" si="0"/>
        <v>12817.00576</v>
      </c>
      <c r="F8" s="379">
        <f t="shared" si="0"/>
        <v>19378.644479999999</v>
      </c>
      <c r="G8" s="379">
        <f t="shared" si="0"/>
        <v>16964.167039999997</v>
      </c>
      <c r="H8" s="379">
        <f t="shared" si="0"/>
        <v>13591.9213</v>
      </c>
      <c r="I8" s="458">
        <f t="shared" si="0"/>
        <v>43589.277999999998</v>
      </c>
      <c r="J8" s="533"/>
      <c r="K8" s="534"/>
      <c r="N8" s="155"/>
    </row>
    <row r="9" spans="1:14">
      <c r="A9" s="447" t="s">
        <v>535</v>
      </c>
      <c r="B9" s="459">
        <f>B6+B8</f>
        <v>39381.863040000004</v>
      </c>
      <c r="C9" s="380">
        <f t="shared" ref="C9:I9" si="1">C6+C8</f>
        <v>40748.799599999998</v>
      </c>
      <c r="D9" s="380">
        <f t="shared" si="1"/>
        <v>39508.576199999996</v>
      </c>
      <c r="E9" s="380">
        <f t="shared" si="1"/>
        <v>70266.605760000006</v>
      </c>
      <c r="F9" s="380">
        <f t="shared" si="1"/>
        <v>106239.44448000001</v>
      </c>
      <c r="G9" s="380">
        <f t="shared" si="1"/>
        <v>93002.567039999994</v>
      </c>
      <c r="H9" s="381">
        <f t="shared" si="1"/>
        <v>74514.921300000002</v>
      </c>
      <c r="I9" s="460">
        <f t="shared" si="1"/>
        <v>238969.27799999999</v>
      </c>
      <c r="J9" s="533"/>
      <c r="K9" s="534"/>
    </row>
    <row r="10" spans="1:14">
      <c r="A10" s="449" t="s">
        <v>233</v>
      </c>
      <c r="B10" s="461">
        <f>B6*J10</f>
        <v>119.13408000000001</v>
      </c>
      <c r="C10" s="382">
        <f>C6*J10</f>
        <v>123.26920000000001</v>
      </c>
      <c r="D10" s="382">
        <f>D6*$J$10</f>
        <v>119.51740000000001</v>
      </c>
      <c r="E10" s="382">
        <f>E6*J10</f>
        <v>212.56352000000001</v>
      </c>
      <c r="F10" s="383">
        <f>F6*J10</f>
        <v>321.38496000000004</v>
      </c>
      <c r="G10" s="382">
        <f>G6*$J$10</f>
        <v>281.34208000000001</v>
      </c>
      <c r="H10" s="383">
        <f>H6*J10</f>
        <v>225.41510000000002</v>
      </c>
      <c r="I10" s="462">
        <f>I6*J10</f>
        <v>722.90600000000006</v>
      </c>
      <c r="J10" s="388">
        <v>3.7000000000000002E-3</v>
      </c>
      <c r="K10" s="384"/>
    </row>
    <row r="11" spans="1:14" ht="15.75" thickBot="1">
      <c r="A11" s="447" t="s">
        <v>536</v>
      </c>
      <c r="B11" s="463">
        <f>B10+B9</f>
        <v>39500.997120000007</v>
      </c>
      <c r="C11" s="378">
        <f t="shared" ref="C11:I11" si="2">C10+C9</f>
        <v>40872.068800000001</v>
      </c>
      <c r="D11" s="378">
        <f t="shared" si="2"/>
        <v>39628.093599999993</v>
      </c>
      <c r="E11" s="378">
        <f t="shared" si="2"/>
        <v>70479.169280000002</v>
      </c>
      <c r="F11" s="378">
        <f t="shared" si="2"/>
        <v>106560.82944</v>
      </c>
      <c r="G11" s="378">
        <f t="shared" si="2"/>
        <v>93283.909119999997</v>
      </c>
      <c r="H11" s="379">
        <f t="shared" si="2"/>
        <v>74740.3364</v>
      </c>
      <c r="I11" s="458">
        <f t="shared" si="2"/>
        <v>239692.18399999998</v>
      </c>
      <c r="J11" s="533"/>
      <c r="K11" s="534"/>
    </row>
    <row r="12" spans="1:14" ht="15.75" thickBot="1">
      <c r="A12" s="385" t="s">
        <v>287</v>
      </c>
      <c r="B12" s="386">
        <f t="shared" ref="B12:I12" si="3">(B11*$J$12)-(B6*$J$12)</f>
        <v>129.84199418847572</v>
      </c>
      <c r="C12" s="386">
        <f t="shared" si="3"/>
        <v>134.34878374028688</v>
      </c>
      <c r="D12" s="386">
        <f t="shared" si="3"/>
        <v>130.25976745043647</v>
      </c>
      <c r="E12" s="386">
        <f t="shared" si="3"/>
        <v>231.66898446290043</v>
      </c>
      <c r="F12" s="386">
        <f t="shared" si="3"/>
        <v>350.27142618286439</v>
      </c>
      <c r="G12" s="386">
        <f t="shared" si="3"/>
        <v>306.62944403762253</v>
      </c>
      <c r="H12" s="387">
        <f t="shared" si="3"/>
        <v>245.67567990783709</v>
      </c>
      <c r="I12" s="386">
        <f t="shared" si="3"/>
        <v>787.88165947824655</v>
      </c>
      <c r="J12" s="388">
        <f>'[8]CAF 2019 Fall'!BZ25</f>
        <v>1.7780248869661817E-2</v>
      </c>
      <c r="K12" s="384"/>
    </row>
    <row r="13" spans="1:14" ht="15.75" thickBot="1">
      <c r="A13" s="385" t="s">
        <v>288</v>
      </c>
      <c r="B13" s="389">
        <f>D23</f>
        <v>1952</v>
      </c>
      <c r="C13" s="389">
        <f>$D$23</f>
        <v>1952</v>
      </c>
      <c r="D13" s="389">
        <f>$D$23</f>
        <v>1952</v>
      </c>
      <c r="E13" s="389">
        <f>$J$23</f>
        <v>1760</v>
      </c>
      <c r="F13" s="389">
        <f>$J$23</f>
        <v>1760</v>
      </c>
      <c r="G13" s="389">
        <f>J23</f>
        <v>1760</v>
      </c>
      <c r="H13" s="390">
        <f>$J$23</f>
        <v>1760</v>
      </c>
      <c r="I13" s="389">
        <f>$J$23</f>
        <v>1760</v>
      </c>
      <c r="J13" s="391"/>
      <c r="K13" s="392"/>
    </row>
    <row r="14" spans="1:14" s="181" customFormat="1" ht="15.75" thickBot="1">
      <c r="A14" s="450" t="s">
        <v>537</v>
      </c>
      <c r="B14" s="393">
        <f>(B11+B12)/B13-0.02</f>
        <v>20.282683972432626</v>
      </c>
      <c r="C14" s="393">
        <f t="shared" ref="C14" si="4">(C11+C12)/C13</f>
        <v>21.007386057243998</v>
      </c>
      <c r="D14" s="393">
        <f>(D11+D12)/D13-0.01</f>
        <v>20.358008897259438</v>
      </c>
      <c r="E14" s="393">
        <f>(E11+E12)/E13+0.02</f>
        <v>40.196612650263013</v>
      </c>
      <c r="F14" s="393">
        <f>(F11+F12)/F13+0.02</f>
        <v>60.764943673967544</v>
      </c>
      <c r="G14" s="393">
        <f>(G11+G12)/G13+0.02</f>
        <v>53.196442365930466</v>
      </c>
      <c r="H14" s="393">
        <f>(H11+H12)/H13-0.01</f>
        <v>42.595688681765822</v>
      </c>
      <c r="I14" s="393">
        <f>(I11+I12)/I13</f>
        <v>136.63640094288536</v>
      </c>
      <c r="J14" s="394"/>
      <c r="K14" s="395"/>
    </row>
    <row r="15" spans="1:14" ht="15.75" thickBot="1">
      <c r="A15" s="396"/>
      <c r="B15" s="397"/>
      <c r="C15" s="398"/>
      <c r="D15" s="397"/>
      <c r="E15" s="397"/>
      <c r="F15" s="397"/>
      <c r="G15" s="397"/>
      <c r="H15" s="397"/>
      <c r="I15" s="397"/>
      <c r="J15" s="399"/>
      <c r="K15" s="400"/>
    </row>
    <row r="16" spans="1:14">
      <c r="B16"/>
      <c r="C16" s="401"/>
      <c r="D16"/>
      <c r="E16"/>
      <c r="F16"/>
      <c r="G16"/>
      <c r="H16"/>
      <c r="I16"/>
      <c r="J16"/>
    </row>
    <row r="18" spans="1:11" ht="15.75" thickBot="1">
      <c r="A18" s="402" t="s">
        <v>538</v>
      </c>
      <c r="B18" s="403"/>
      <c r="C18" s="404"/>
      <c r="D18" s="403"/>
      <c r="F18" s="405" t="s">
        <v>539</v>
      </c>
      <c r="G18" s="406"/>
      <c r="H18" s="406"/>
      <c r="I18" s="406"/>
      <c r="J18" s="406"/>
    </row>
    <row r="19" spans="1:11">
      <c r="A19" s="407"/>
      <c r="B19" s="408"/>
      <c r="C19" s="409" t="s">
        <v>540</v>
      </c>
      <c r="D19" s="410" t="s">
        <v>541</v>
      </c>
      <c r="E19" s="488"/>
      <c r="F19" s="407"/>
      <c r="G19" s="408"/>
      <c r="H19" s="408"/>
      <c r="I19" s="409" t="s">
        <v>540</v>
      </c>
      <c r="J19" s="410" t="s">
        <v>541</v>
      </c>
    </row>
    <row r="20" spans="1:11">
      <c r="A20" s="411"/>
      <c r="B20" s="412" t="s">
        <v>542</v>
      </c>
      <c r="C20" s="489">
        <v>15</v>
      </c>
      <c r="D20" s="413">
        <f>C20*8</f>
        <v>120</v>
      </c>
      <c r="E20" s="252"/>
      <c r="F20" s="411"/>
      <c r="G20" s="412" t="s">
        <v>542</v>
      </c>
      <c r="H20" s="412"/>
      <c r="I20" s="489">
        <v>15</v>
      </c>
      <c r="J20" s="413">
        <f>I20*8</f>
        <v>120</v>
      </c>
      <c r="K20" s="1"/>
    </row>
    <row r="21" spans="1:11">
      <c r="A21" s="414"/>
      <c r="B21" s="415" t="s">
        <v>543</v>
      </c>
      <c r="C21" s="490">
        <v>1</v>
      </c>
      <c r="D21" s="416">
        <f>C21*8</f>
        <v>8</v>
      </c>
      <c r="E21" s="491"/>
      <c r="F21" s="417"/>
      <c r="G21" s="418" t="s">
        <v>544</v>
      </c>
      <c r="H21" s="418"/>
      <c r="I21" s="490">
        <v>25</v>
      </c>
      <c r="J21" s="419">
        <f>I21*8</f>
        <v>200</v>
      </c>
      <c r="K21" s="1"/>
    </row>
    <row r="22" spans="1:11">
      <c r="A22" s="411"/>
      <c r="B22" s="420"/>
      <c r="C22" s="412" t="s">
        <v>545</v>
      </c>
      <c r="D22" s="421">
        <f>SUM(D20:D21)</f>
        <v>128</v>
      </c>
      <c r="E22" s="488"/>
      <c r="F22" s="411"/>
      <c r="G22" s="420"/>
      <c r="H22" s="420"/>
      <c r="I22" s="412" t="s">
        <v>545</v>
      </c>
      <c r="J22" s="413">
        <f>SUM(J20:J21)</f>
        <v>320</v>
      </c>
    </row>
    <row r="23" spans="1:11" ht="15.75" thickBot="1">
      <c r="A23" s="422"/>
      <c r="B23" s="423"/>
      <c r="C23" s="424" t="s">
        <v>288</v>
      </c>
      <c r="D23" s="425">
        <f>2080-D22</f>
        <v>1952</v>
      </c>
      <c r="E23" s="488"/>
      <c r="F23" s="422"/>
      <c r="G23" s="423"/>
      <c r="H23" s="423"/>
      <c r="I23" s="424" t="s">
        <v>288</v>
      </c>
      <c r="J23" s="426">
        <f>2080-J22</f>
        <v>1760</v>
      </c>
    </row>
    <row r="25" spans="1:11">
      <c r="F25" s="427"/>
      <c r="G25" s="427"/>
      <c r="H25" s="427"/>
      <c r="I25" s="427"/>
    </row>
    <row r="26" spans="1:11">
      <c r="F26" s="428"/>
      <c r="G26" s="429"/>
      <c r="H26" s="428"/>
      <c r="I26" s="429"/>
    </row>
    <row r="27" spans="1:11">
      <c r="C27" s="465"/>
      <c r="F27" s="428"/>
      <c r="G27" s="429"/>
      <c r="H27" s="428"/>
      <c r="I27" s="430"/>
    </row>
    <row r="28" spans="1:11">
      <c r="F28" s="428"/>
      <c r="G28" s="431"/>
      <c r="H28" s="428"/>
      <c r="I28" s="429"/>
    </row>
    <row r="29" spans="1:11">
      <c r="F29" s="428"/>
      <c r="G29" s="429"/>
      <c r="H29" s="428"/>
      <c r="I29" s="429"/>
    </row>
    <row r="30" spans="1:11">
      <c r="F30" s="428"/>
      <c r="G30" s="429"/>
      <c r="H30" s="428"/>
      <c r="I30" s="429"/>
    </row>
    <row r="31" spans="1:11">
      <c r="F31" s="428"/>
      <c r="G31" s="429"/>
      <c r="H31" s="428"/>
      <c r="I31" s="429"/>
    </row>
    <row r="32" spans="1:11">
      <c r="F32" s="428"/>
      <c r="G32" s="429"/>
      <c r="H32" s="428"/>
      <c r="I32" s="429"/>
    </row>
    <row r="33" spans="6:9">
      <c r="F33" s="428"/>
      <c r="G33" s="429"/>
      <c r="H33" s="428"/>
      <c r="I33" s="427"/>
    </row>
    <row r="34" spans="6:9">
      <c r="F34" s="427"/>
      <c r="G34" s="427"/>
      <c r="H34" s="427"/>
      <c r="I34" s="427"/>
    </row>
    <row r="35" spans="6:9">
      <c r="F35" s="427"/>
      <c r="G35" s="427"/>
      <c r="H35" s="427"/>
      <c r="I35" s="427"/>
    </row>
  </sheetData>
  <sheetProtection selectLockedCells="1" selectUnlockedCells="1"/>
  <mergeCells count="7">
    <mergeCell ref="J9:K9"/>
    <mergeCell ref="J11:K11"/>
    <mergeCell ref="H4:I4"/>
    <mergeCell ref="J5:K5"/>
    <mergeCell ref="J6:K6"/>
    <mergeCell ref="J7:K7"/>
    <mergeCell ref="J8:K8"/>
  </mergeCells>
  <pageMargins left="0.25" right="0.25" top="0.75" bottom="0.75" header="0.3" footer="0.3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MasterData</vt:lpstr>
      <vt:lpstr>Model Calculator</vt:lpstr>
      <vt:lpstr>Vehicle Add-Ons</vt:lpstr>
      <vt:lpstr>Add-Ons old</vt:lpstr>
      <vt:lpstr>Rate Table</vt:lpstr>
      <vt:lpstr>ALTR Add on Rates </vt:lpstr>
      <vt:lpstr>'ALTR Add on Rates '!Print_Area</vt:lpstr>
      <vt:lpstr>MasterData!Print_Area</vt:lpstr>
      <vt:lpstr>'Model Calculator'!Print_Area</vt:lpstr>
      <vt:lpstr>'Rate Table'!Print_Area</vt:lpstr>
      <vt:lpstr>'Vehicle Add-Ons'!Print_Area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Lattimore</dc:creator>
  <cp:lastModifiedBy> </cp:lastModifiedBy>
  <cp:lastPrinted>2020-02-14T17:28:38Z</cp:lastPrinted>
  <dcterms:created xsi:type="dcterms:W3CDTF">2019-10-31T18:36:20Z</dcterms:created>
  <dcterms:modified xsi:type="dcterms:W3CDTF">2020-02-19T14:52:10Z</dcterms:modified>
</cp:coreProperties>
</file>