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08" windowWidth="17220" windowHeight="11700" firstSheet="1" activeTab="4"/>
  </bookViews>
  <sheets>
    <sheet name="Master Lookup" sheetId="1" r:id="rId1"/>
    <sheet name="Methadone Dosing" sheetId="2" r:id="rId2"/>
    <sheet name="Methadone Counseling" sheetId="3" r:id="rId3"/>
    <sheet name="Outpatient Counseling" sheetId="4" r:id="rId4"/>
    <sheet name="Family.Couple" sheetId="5" r:id="rId5"/>
    <sheet name="Psycho.Ed" sheetId="6" r:id="rId6"/>
    <sheet name="Day Treatments" sheetId="7" r:id="rId7"/>
    <sheet name="Telephone Rec" sheetId="8" r:id="rId8"/>
    <sheet name="Recovery Coaching" sheetId="9" r:id="rId9"/>
    <sheet name="InHome Therapy" sheetId="10" r:id="rId10"/>
    <sheet name="Case Management" sheetId="11" r:id="rId11"/>
    <sheet name="Spring 2018" sheetId="16" r:id="rId12"/>
  </sheets>
  <externalReferences>
    <externalReference r:id="rId13"/>
    <externalReference r:id="rId14"/>
  </externalReferences>
  <definedNames>
    <definedName name="Cap">[1]RawDataCalcs!$L$70:$DB$70</definedName>
    <definedName name="Floor">[1]RawDataCalcs!$L$69:$DB$69</definedName>
    <definedName name="gk">#REF!</definedName>
    <definedName name="_xlnm.Print_Area" localSheetId="10">'Case Management'!$B$2:$L$38</definedName>
    <definedName name="_xlnm.Print_Area" localSheetId="4">Family.Couple!$B$1:$F$41</definedName>
    <definedName name="_xlnm.Print_Area" localSheetId="9">'InHome Therapy'!$B$1:$K$36</definedName>
    <definedName name="_xlnm.Print_Area" localSheetId="3">'Outpatient Counseling'!$H$2:$R$33</definedName>
    <definedName name="_xlnm.Print_Area" localSheetId="5">Psycho.Ed!$A$1:$G$41</definedName>
    <definedName name="_xlnm.Print_Area" localSheetId="8">'Recovery Coaching'!$A$1:$F$43</definedName>
    <definedName name="_xlnm.Print_Area" localSheetId="11">'Spring 2018'!$BF$16:$BQ$27</definedName>
    <definedName name="_xlnm.Print_Area" localSheetId="7">'Telephone Rec'!$B$1:$H$39</definedName>
    <definedName name="_xlnm.Print_Titles" localSheetId="11">'Spring 2018'!$A:$A</definedName>
    <definedName name="Program_File">#REF!</definedName>
    <definedName name="ProvFTE">'[2]FTE Data'!$A$3:$AW$56</definedName>
    <definedName name="PurchasedBy">'[2]FTE Data'!$C$263:$AZ$657</definedName>
    <definedName name="Site_list">[2]Lists!$A$2:$A$53</definedName>
    <definedName name="Source_2">#REF!</definedName>
    <definedName name="Total_UFR">#REF!</definedName>
  </definedNames>
  <calcPr calcId="145621"/>
</workbook>
</file>

<file path=xl/calcChain.xml><?xml version="1.0" encoding="utf-8"?>
<calcChain xmlns="http://schemas.openxmlformats.org/spreadsheetml/2006/main">
  <c r="L22" i="7" l="1"/>
  <c r="D23" i="11" l="1"/>
  <c r="J23" i="11" s="1"/>
  <c r="D12" i="11"/>
  <c r="J12" i="11" s="1"/>
  <c r="D23" i="10"/>
  <c r="D12" i="10"/>
  <c r="D23" i="9"/>
  <c r="D12" i="9"/>
  <c r="D21" i="8"/>
  <c r="D12" i="8"/>
  <c r="D22" i="7"/>
  <c r="D12" i="7"/>
  <c r="D21" i="6"/>
  <c r="D12" i="6"/>
  <c r="D22" i="5"/>
  <c r="D13" i="5"/>
  <c r="J22" i="4"/>
  <c r="J13" i="4"/>
  <c r="D23" i="3"/>
  <c r="D14" i="3"/>
  <c r="D15" i="2"/>
  <c r="D24" i="2"/>
  <c r="BQ24" i="16" l="1"/>
  <c r="BH20" i="16"/>
  <c r="BQ20" i="16" s="1"/>
  <c r="BH19" i="16"/>
  <c r="BQ26" i="16" l="1"/>
  <c r="D7" i="7" l="1"/>
  <c r="J7" i="11" l="1"/>
  <c r="D7" i="8"/>
  <c r="K10" i="3" l="1"/>
  <c r="K10" i="4"/>
  <c r="J7" i="4"/>
  <c r="H7" i="4"/>
  <c r="J7" i="3" l="1"/>
  <c r="H7" i="3"/>
  <c r="B9" i="3"/>
  <c r="C20" i="1" l="1"/>
  <c r="D9" i="3" s="1"/>
  <c r="D8" i="1" l="1"/>
  <c r="D7" i="1"/>
  <c r="D6" i="1"/>
  <c r="D5" i="1"/>
  <c r="D9" i="1" l="1"/>
  <c r="D10" i="1" s="1"/>
  <c r="H7" i="11" l="1"/>
  <c r="D5" i="11" l="1"/>
  <c r="D6" i="11"/>
  <c r="J6" i="4"/>
  <c r="B6" i="10" l="1"/>
  <c r="B5" i="10"/>
  <c r="D5" i="10"/>
  <c r="B8" i="11"/>
  <c r="H8" i="11" s="1"/>
  <c r="B7" i="11"/>
  <c r="B6" i="11"/>
  <c r="H6" i="11" s="1"/>
  <c r="B5" i="11"/>
  <c r="H5" i="11" s="1"/>
  <c r="B8" i="9"/>
  <c r="B7" i="9"/>
  <c r="B6" i="9"/>
  <c r="B5" i="9"/>
  <c r="B8" i="8"/>
  <c r="B7" i="8"/>
  <c r="B6" i="8"/>
  <c r="B5" i="8"/>
  <c r="B8" i="7"/>
  <c r="B7" i="7"/>
  <c r="J7" i="7" s="1"/>
  <c r="B6" i="7"/>
  <c r="B5" i="7"/>
  <c r="B8" i="6"/>
  <c r="B7" i="6"/>
  <c r="B6" i="6"/>
  <c r="B5" i="6"/>
  <c r="B9" i="5"/>
  <c r="B8" i="5"/>
  <c r="B7" i="5"/>
  <c r="B6" i="5"/>
  <c r="H9" i="4"/>
  <c r="H8" i="4"/>
  <c r="H6" i="4"/>
  <c r="H8" i="3"/>
  <c r="H9" i="3"/>
  <c r="B10" i="3"/>
  <c r="B7" i="3"/>
  <c r="B6" i="3"/>
  <c r="B11" i="2"/>
  <c r="B10" i="2"/>
  <c r="B9" i="2"/>
  <c r="B8" i="2"/>
  <c r="B7" i="2"/>
  <c r="B6" i="2"/>
  <c r="K17" i="11" l="1"/>
  <c r="K16" i="11"/>
  <c r="K15" i="11"/>
  <c r="L15" i="11" s="1"/>
  <c r="J19" i="11"/>
  <c r="L7" i="11"/>
  <c r="J8" i="11"/>
  <c r="L8" i="11" s="1"/>
  <c r="J6" i="11"/>
  <c r="L6" i="11" s="1"/>
  <c r="J5" i="11"/>
  <c r="L5" i="11" s="1"/>
  <c r="E17" i="11"/>
  <c r="E16" i="11"/>
  <c r="E15" i="11"/>
  <c r="F15" i="11" s="1"/>
  <c r="D19" i="11"/>
  <c r="D8" i="11"/>
  <c r="F8" i="11" s="1"/>
  <c r="D7" i="11"/>
  <c r="F7" i="11" s="1"/>
  <c r="F6" i="11"/>
  <c r="F5" i="11"/>
  <c r="K9" i="11"/>
  <c r="E9" i="11"/>
  <c r="E17" i="10"/>
  <c r="E16" i="10"/>
  <c r="E15" i="10"/>
  <c r="F15" i="10" s="1"/>
  <c r="D19" i="10"/>
  <c r="D8" i="10"/>
  <c r="D7" i="10"/>
  <c r="F7" i="10" s="1"/>
  <c r="D6" i="10"/>
  <c r="F5" i="10"/>
  <c r="F8" i="10"/>
  <c r="E9" i="10"/>
  <c r="F6" i="10"/>
  <c r="E15" i="9"/>
  <c r="F15" i="9" s="1"/>
  <c r="E17" i="9"/>
  <c r="E16" i="9"/>
  <c r="D19" i="9"/>
  <c r="D8" i="9"/>
  <c r="D7" i="9"/>
  <c r="F7" i="9" s="1"/>
  <c r="D6" i="9"/>
  <c r="D5" i="9"/>
  <c r="F5" i="9" s="1"/>
  <c r="F8" i="9"/>
  <c r="E9" i="9"/>
  <c r="F6" i="9"/>
  <c r="D16" i="8"/>
  <c r="D15" i="8"/>
  <c r="D18" i="8"/>
  <c r="D8" i="8"/>
  <c r="F8" i="8" s="1"/>
  <c r="F7" i="8"/>
  <c r="D6" i="8"/>
  <c r="F6" i="8" s="1"/>
  <c r="D5" i="8"/>
  <c r="F5" i="8" s="1"/>
  <c r="E9" i="8"/>
  <c r="L15" i="7"/>
  <c r="N15" i="7" s="1"/>
  <c r="J15" i="7"/>
  <c r="J6" i="7"/>
  <c r="J8" i="7"/>
  <c r="J5" i="7"/>
  <c r="D15" i="7"/>
  <c r="F15" i="7" s="1"/>
  <c r="D17" i="7"/>
  <c r="L17" i="7" s="1"/>
  <c r="D16" i="7"/>
  <c r="L16" i="7" s="1"/>
  <c r="D19" i="5"/>
  <c r="D18" i="6"/>
  <c r="D19" i="7"/>
  <c r="L19" i="7" s="1"/>
  <c r="L12" i="7"/>
  <c r="D8" i="7"/>
  <c r="F8" i="7" s="1"/>
  <c r="D6" i="7"/>
  <c r="F6" i="7" s="1"/>
  <c r="D5" i="7"/>
  <c r="F5" i="7" s="1"/>
  <c r="M9" i="7"/>
  <c r="E9" i="7"/>
  <c r="D16" i="6"/>
  <c r="D15" i="6"/>
  <c r="D8" i="6"/>
  <c r="D7" i="6"/>
  <c r="F7" i="6" s="1"/>
  <c r="D6" i="6"/>
  <c r="F6" i="6" s="1"/>
  <c r="D5" i="6"/>
  <c r="F5" i="6" s="1"/>
  <c r="F8" i="6"/>
  <c r="E9" i="6"/>
  <c r="D17" i="5"/>
  <c r="D16" i="5"/>
  <c r="D9" i="5"/>
  <c r="F9" i="5" s="1"/>
  <c r="D8" i="5"/>
  <c r="F8" i="5" s="1"/>
  <c r="D7" i="5"/>
  <c r="F7" i="5" s="1"/>
  <c r="D6" i="5"/>
  <c r="F6" i="5" s="1"/>
  <c r="E10" i="5"/>
  <c r="F7" i="7" l="1"/>
  <c r="F9" i="7" s="1"/>
  <c r="F12" i="7" s="1"/>
  <c r="F13" i="7" s="1"/>
  <c r="L7" i="7"/>
  <c r="L9" i="11"/>
  <c r="L12" i="11" s="1"/>
  <c r="L13" i="11" s="1"/>
  <c r="K13" i="11" s="1"/>
  <c r="F9" i="11"/>
  <c r="F12" i="11" s="1"/>
  <c r="F13" i="11" s="1"/>
  <c r="E13" i="11" s="1"/>
  <c r="F17" i="11"/>
  <c r="F16" i="11"/>
  <c r="L17" i="11"/>
  <c r="L16" i="11"/>
  <c r="F9" i="10"/>
  <c r="F12" i="10" s="1"/>
  <c r="F13" i="10" s="1"/>
  <c r="F17" i="10"/>
  <c r="F16" i="10"/>
  <c r="F9" i="9"/>
  <c r="F12" i="9" s="1"/>
  <c r="F13" i="9" s="1"/>
  <c r="F17" i="9"/>
  <c r="F16" i="9"/>
  <c r="L6" i="7"/>
  <c r="N6" i="7" s="1"/>
  <c r="L8" i="7"/>
  <c r="N8" i="7" s="1"/>
  <c r="L5" i="7"/>
  <c r="N5" i="7" s="1"/>
  <c r="N7" i="7"/>
  <c r="F9" i="8"/>
  <c r="F12" i="8" s="1"/>
  <c r="F13" i="8" s="1"/>
  <c r="F16" i="8"/>
  <c r="F15" i="8"/>
  <c r="F17" i="7"/>
  <c r="F16" i="7"/>
  <c r="N17" i="7"/>
  <c r="N16" i="7"/>
  <c r="F16" i="6"/>
  <c r="F9" i="6"/>
  <c r="F12" i="6" s="1"/>
  <c r="F13" i="6" s="1"/>
  <c r="F15" i="6"/>
  <c r="F10" i="5"/>
  <c r="F13" i="5" s="1"/>
  <c r="F14" i="5" s="1"/>
  <c r="F17" i="5"/>
  <c r="F16" i="5"/>
  <c r="F18" i="5" l="1"/>
  <c r="F19" i="5" s="1"/>
  <c r="F20" i="5" s="1"/>
  <c r="F21" i="5" s="1"/>
  <c r="N9" i="7"/>
  <c r="N12" i="7" s="1"/>
  <c r="N13" i="7" s="1"/>
  <c r="N18" i="7" s="1"/>
  <c r="N19" i="7" s="1"/>
  <c r="N20" i="7" s="1"/>
  <c r="N21" i="7" s="1"/>
  <c r="N22" i="7" s="1"/>
  <c r="L18" i="11"/>
  <c r="L19" i="11" s="1"/>
  <c r="L20" i="11" s="1"/>
  <c r="L21" i="11" s="1"/>
  <c r="L22" i="11" s="1"/>
  <c r="L23" i="11" s="1"/>
  <c r="F18" i="11"/>
  <c r="F18" i="10"/>
  <c r="F19" i="10" s="1"/>
  <c r="F20" i="10" s="1"/>
  <c r="F21" i="10" s="1"/>
  <c r="F22" i="10" s="1"/>
  <c r="F23" i="10" s="1"/>
  <c r="E13" i="10"/>
  <c r="F18" i="9"/>
  <c r="F19" i="9" s="1"/>
  <c r="F20" i="9" s="1"/>
  <c r="F21" i="9" s="1"/>
  <c r="E13" i="9"/>
  <c r="F17" i="8"/>
  <c r="F18" i="8" s="1"/>
  <c r="F19" i="8" s="1"/>
  <c r="F20" i="8" s="1"/>
  <c r="F21" i="8" s="1"/>
  <c r="F22" i="8" s="1"/>
  <c r="F18" i="7"/>
  <c r="F17" i="6"/>
  <c r="J19" i="4"/>
  <c r="J17" i="4"/>
  <c r="L17" i="4" s="1"/>
  <c r="J16" i="4"/>
  <c r="L16" i="4" s="1"/>
  <c r="J9" i="4"/>
  <c r="L9" i="4" s="1"/>
  <c r="J8" i="4"/>
  <c r="L8" i="4" s="1"/>
  <c r="L7" i="4"/>
  <c r="L6" i="4"/>
  <c r="J22" i="3"/>
  <c r="J8" i="3"/>
  <c r="L8" i="3" s="1"/>
  <c r="D20" i="3"/>
  <c r="J19" i="3" s="1"/>
  <c r="D18" i="3"/>
  <c r="J17" i="3" s="1"/>
  <c r="L17" i="3" s="1"/>
  <c r="D17" i="3"/>
  <c r="F17" i="3" s="1"/>
  <c r="D10" i="3"/>
  <c r="J9" i="3" s="1"/>
  <c r="L9" i="3" s="1"/>
  <c r="L7" i="3"/>
  <c r="D7" i="3"/>
  <c r="F7" i="3" s="1"/>
  <c r="D6" i="3"/>
  <c r="J6" i="3" s="1"/>
  <c r="L6" i="3" s="1"/>
  <c r="D21" i="2"/>
  <c r="D19" i="2"/>
  <c r="D18" i="2"/>
  <c r="F18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8" i="3" l="1"/>
  <c r="F8" i="3" s="1"/>
  <c r="F12" i="2"/>
  <c r="F19" i="11"/>
  <c r="F20" i="11" s="1"/>
  <c r="F22" i="9"/>
  <c r="F19" i="7"/>
  <c r="F20" i="7" s="1"/>
  <c r="F21" i="7" s="1"/>
  <c r="F22" i="7" s="1"/>
  <c r="F18" i="6"/>
  <c r="F22" i="5"/>
  <c r="F23" i="5" s="1"/>
  <c r="L10" i="4"/>
  <c r="L13" i="4" s="1"/>
  <c r="L10" i="3"/>
  <c r="F6" i="3"/>
  <c r="F10" i="3"/>
  <c r="F18" i="3"/>
  <c r="J16" i="3"/>
  <c r="L16" i="3" s="1"/>
  <c r="F9" i="3"/>
  <c r="J13" i="3"/>
  <c r="F15" i="2" l="1"/>
  <c r="F16" i="2" s="1"/>
  <c r="F20" i="2" s="1"/>
  <c r="F21" i="2" s="1"/>
  <c r="F22" i="2" s="1"/>
  <c r="F23" i="2" s="1"/>
  <c r="F24" i="2" s="1"/>
  <c r="F21" i="11"/>
  <c r="F22" i="11" s="1"/>
  <c r="F23" i="9"/>
  <c r="F19" i="6"/>
  <c r="F20" i="6" s="1"/>
  <c r="L14" i="4"/>
  <c r="L18" i="4" s="1"/>
  <c r="F11" i="3"/>
  <c r="F14" i="3" s="1"/>
  <c r="F15" i="3" s="1"/>
  <c r="F19" i="3" s="1"/>
  <c r="F20" i="3" s="1"/>
  <c r="F21" i="3" s="1"/>
  <c r="F22" i="3" s="1"/>
  <c r="F23" i="3" s="1"/>
  <c r="F24" i="3" s="1"/>
  <c r="L13" i="3"/>
  <c r="L14" i="3" s="1"/>
  <c r="L18" i="3" s="1"/>
  <c r="F23" i="11" l="1"/>
  <c r="F21" i="6"/>
  <c r="F22" i="6" s="1"/>
  <c r="L19" i="4"/>
  <c r="L20" i="4" s="1"/>
  <c r="L21" i="4" s="1"/>
  <c r="L22" i="4" s="1"/>
  <c r="K29" i="4" s="1"/>
  <c r="L19" i="3"/>
  <c r="L20" i="3" s="1"/>
  <c r="L21" i="3" s="1"/>
  <c r="L22" i="3" s="1"/>
  <c r="L23" i="3" s="1"/>
  <c r="K30" i="4" l="1"/>
  <c r="K31" i="4" s="1"/>
  <c r="K32" i="4" s="1"/>
  <c r="R14" i="4"/>
  <c r="R7" i="4"/>
  <c r="R6" i="4"/>
  <c r="R8" i="4"/>
  <c r="R13" i="4" s="1"/>
  <c r="F23" i="6"/>
  <c r="R12" i="4" l="1"/>
  <c r="K33" i="4"/>
  <c r="R15" i="4" s="1"/>
  <c r="R10" i="4"/>
  <c r="R11" i="4"/>
  <c r="F24" i="6"/>
  <c r="R9" i="4" l="1"/>
</calcChain>
</file>

<file path=xl/comments1.xml><?xml version="1.0" encoding="utf-8"?>
<comments xmlns="http://schemas.openxmlformats.org/spreadsheetml/2006/main">
  <authors>
    <author>kara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1/24/16: 16 - 20 year olds - more medical acuity. Extended stay need more medical staff.  1:4 or 1:6 DC staff needed. Average of 22-23 participants daily
</t>
        </r>
      </text>
    </comment>
  </commentList>
</comments>
</file>

<file path=xl/comments2.xml><?xml version="1.0" encoding="utf-8"?>
<comments xmlns="http://schemas.openxmlformats.org/spreadsheetml/2006/main">
  <authors>
    <author>kara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1/24/16: 16 - 20 year olds - more medical acuity. Extended stay need more medical staff.  1:4 or 1:6 DC staff needed. Average of 22-23 participants daily
</t>
        </r>
      </text>
    </comment>
  </commentList>
</comments>
</file>

<file path=xl/comments3.xml><?xml version="1.0" encoding="utf-8"?>
<comments xmlns="http://schemas.openxmlformats.org/spreadsheetml/2006/main">
  <authors>
    <author>kara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1/24/16: 16 - 20 year olds - more medical acuity. Extended stay need more medical staff.  1:4 or 1:6 DC staff needed. Average of 22-23 participants daily
</t>
        </r>
      </text>
    </comment>
    <comment ref="J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1/24/16: 16 - 20 year olds - more medical acuity. Extended stay need more medical staff.  1:4 or 1:6 DC staff needed. Average of 22-23 participants daily
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Days per yr = 250 less 10 holidays = 240
</t>
        </r>
      </text>
    </comment>
  </commentList>
</comments>
</file>

<file path=xl/comments4.xml><?xml version="1.0" encoding="utf-8"?>
<comments xmlns="http://schemas.openxmlformats.org/spreadsheetml/2006/main">
  <authors>
    <author>kara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1/24/16: 16 - 20 year olds - more medical acuity. Extended stay need more medical staff.  1:4 or 1:6 DC staff needed. Average of 22-23 participants daily
</t>
        </r>
      </text>
    </comment>
  </commentList>
</comments>
</file>

<file path=xl/comments5.xml><?xml version="1.0" encoding="utf-8"?>
<comments xmlns="http://schemas.openxmlformats.org/spreadsheetml/2006/main">
  <authors>
    <author>kara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1/24/16: 16 - 20 year olds - more medical acuity. Extended stay need more medical staff.  1:4 or 1:6 DC staff needed. Average of 22-23 participants daily
</t>
        </r>
      </text>
    </comment>
  </commentList>
</comments>
</file>

<file path=xl/comments6.xml><?xml version="1.0" encoding="utf-8"?>
<comments xmlns="http://schemas.openxmlformats.org/spreadsheetml/2006/main">
  <authors>
    <author>kara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1/24/16: 16 - 20 year olds - more medical acuity. Extended stay need more medical staff.  1:4 or 1:6 DC staff needed. Average of 22-23 participants daily
</t>
        </r>
      </text>
    </comment>
  </commentList>
</comments>
</file>

<file path=xl/comments7.xml><?xml version="1.0" encoding="utf-8"?>
<comments xmlns="http://schemas.openxmlformats.org/spreadsheetml/2006/main">
  <authors>
    <author>kara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1/24/16: 16 - 20 year olds - more medical acuity. Extended stay need more medical staff.  1:4 or 1:6 DC staff needed. Average of 22-23 participants daily
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1/24/16: 16 - 20 year olds - more medical acuity. Extended stay need more medical staff.  1:4 or 1:6 DC staff needed. Average of 22-23 participants daily
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Moved from .10 FTE to .15 FTE to balance out the variance</t>
        </r>
      </text>
    </comment>
  </commentList>
</comments>
</file>

<file path=xl/sharedStrings.xml><?xml version="1.0" encoding="utf-8"?>
<sst xmlns="http://schemas.openxmlformats.org/spreadsheetml/2006/main" count="514" uniqueCount="244">
  <si>
    <t>Relief Assumptions:</t>
  </si>
  <si>
    <t>Days</t>
  </si>
  <si>
    <t>Hours</t>
  </si>
  <si>
    <t>vacation</t>
  </si>
  <si>
    <t>sick/ personal</t>
  </si>
  <si>
    <t>holidays</t>
  </si>
  <si>
    <t>training</t>
  </si>
  <si>
    <t>Total Hours per FTE:</t>
  </si>
  <si>
    <t>Program Management</t>
  </si>
  <si>
    <t>Medical - MD</t>
  </si>
  <si>
    <t>Nurse Manager</t>
  </si>
  <si>
    <t>Nursing Non-Master's</t>
  </si>
  <si>
    <t>Support Staffing</t>
  </si>
  <si>
    <t>Benchmark Expenses</t>
  </si>
  <si>
    <t>Tax and Fringe</t>
  </si>
  <si>
    <t>Occupancy</t>
  </si>
  <si>
    <t>Other Expenses</t>
  </si>
  <si>
    <t>Clinical Supervisor (LICSW)</t>
  </si>
  <si>
    <t>Clinician (MA Level)</t>
  </si>
  <si>
    <t>Direct Care (MA Level)</t>
  </si>
  <si>
    <t>Direct Care (Non Masters)</t>
  </si>
  <si>
    <t>Recovery Coach</t>
  </si>
  <si>
    <t>Admin Allocation</t>
  </si>
  <si>
    <t>Travel</t>
  </si>
  <si>
    <t>Methadone Dosing Only</t>
  </si>
  <si>
    <t>Methadone Dosing Expenses</t>
  </si>
  <si>
    <t>Methadone Dosing Occupancy</t>
  </si>
  <si>
    <t>avg of all other  services</t>
  </si>
  <si>
    <t>avg of all  services</t>
  </si>
  <si>
    <t>Methadone Dosing</t>
  </si>
  <si>
    <t>H0020</t>
  </si>
  <si>
    <t>Weekly Dose:</t>
  </si>
  <si>
    <t>Yearly Wks:</t>
  </si>
  <si>
    <t>Salary FTE</t>
  </si>
  <si>
    <t>FTE</t>
  </si>
  <si>
    <t>Expense</t>
  </si>
  <si>
    <t>Total Program Staff</t>
  </si>
  <si>
    <t>Expenses</t>
  </si>
  <si>
    <t>Unit Cost</t>
  </si>
  <si>
    <t>Total Staffing Costs</t>
  </si>
  <si>
    <t>Amount per FTE</t>
  </si>
  <si>
    <t>Total Reimbursable Exp. Excl. Admin.</t>
  </si>
  <si>
    <t>Admin Alloc</t>
  </si>
  <si>
    <t>TOTAL</t>
  </si>
  <si>
    <t>Current Rate:</t>
  </si>
  <si>
    <t>Rate:</t>
  </si>
  <si>
    <t>CAF  Period  (1/1/19 - 12/31/20)</t>
  </si>
  <si>
    <t>Current Rate</t>
  </si>
  <si>
    <t>Methadone Individual Counseling</t>
  </si>
  <si>
    <t>Outpatient Counseling (3385)</t>
  </si>
  <si>
    <t>H0004 - TF</t>
  </si>
  <si>
    <t>Yearly Hrs Per Person:</t>
  </si>
  <si>
    <t>Program Manager</t>
  </si>
  <si>
    <t>Clinical</t>
  </si>
  <si>
    <t>Direct Care Masters</t>
  </si>
  <si>
    <t>Curent Rate</t>
  </si>
  <si>
    <t>CAF</t>
  </si>
  <si>
    <t>Proposed Rate (15 mins)</t>
  </si>
  <si>
    <t>Clinical Supervisor (DCM position)</t>
  </si>
  <si>
    <t xml:space="preserve">Group Outpatient Counseling </t>
  </si>
  <si>
    <t>H0005-HQ, H0005, H0005-HD</t>
  </si>
  <si>
    <t>H0005-H9</t>
  </si>
  <si>
    <t>Proposed Rate (45 min)</t>
  </si>
  <si>
    <t>Group Counseling Model</t>
  </si>
  <si>
    <t>Group Counseling and Methadone Group Counseling Model</t>
  </si>
  <si>
    <t>H0005</t>
  </si>
  <si>
    <t>Yearly Hrs Per Person</t>
  </si>
  <si>
    <t>Category</t>
  </si>
  <si>
    <t>MassHealthCode</t>
  </si>
  <si>
    <t>Description</t>
  </si>
  <si>
    <t>Rate</t>
  </si>
  <si>
    <t>Outpatient Hourly Rate (incl CAF)</t>
  </si>
  <si>
    <t>Outpatient Counseling</t>
  </si>
  <si>
    <t>90882-HF</t>
  </si>
  <si>
    <t>Case Consultation (30 minutes)</t>
  </si>
  <si>
    <t>H0001</t>
  </si>
  <si>
    <t>Assessment (15 minutes)</t>
  </si>
  <si>
    <t>Billable 90 min Rate Per Person Assuming Group of 5</t>
  </si>
  <si>
    <t>H0004</t>
  </si>
  <si>
    <t>Individual Counseling (15 mintes)</t>
  </si>
  <si>
    <t>Per person rate per 15 min</t>
  </si>
  <si>
    <t>Group Counseling (45 minutes)</t>
  </si>
  <si>
    <t>45 min rate for reg</t>
  </si>
  <si>
    <t>Driver Ed Alcohol</t>
  </si>
  <si>
    <t>H0001-H9</t>
  </si>
  <si>
    <t>Court Ordered Assessment (15 minutes)</t>
  </si>
  <si>
    <t>H0004-H9</t>
  </si>
  <si>
    <t>Court ordered therapy (15 minutes)</t>
  </si>
  <si>
    <t>Pregnant/Postpartum</t>
  </si>
  <si>
    <t>H0004-HD</t>
  </si>
  <si>
    <t>H1005</t>
  </si>
  <si>
    <t>Day Treatment (1 hour)</t>
  </si>
  <si>
    <t>H0005-HD</t>
  </si>
  <si>
    <t xml:space="preserve"> Outpatient Counseling (3385)</t>
  </si>
  <si>
    <t>Model Developed April 2018</t>
  </si>
  <si>
    <t>Family / Couples Counseling</t>
  </si>
  <si>
    <t>T1006-HR, T1006, T1006-HD</t>
  </si>
  <si>
    <t>Proposed rate (30 min)</t>
  </si>
  <si>
    <t>Psycho-Educational Groups</t>
  </si>
  <si>
    <t>H2027</t>
  </si>
  <si>
    <t>Hourly Group of 5 rate</t>
  </si>
  <si>
    <t>Individual Rate</t>
  </si>
  <si>
    <t>15 minutes  rate</t>
  </si>
  <si>
    <t xml:space="preserve">CAF </t>
  </si>
  <si>
    <t>Day Treatment 3.5 Hours</t>
  </si>
  <si>
    <t>Days Per Year:</t>
  </si>
  <si>
    <t>Days Per Year</t>
  </si>
  <si>
    <t xml:space="preserve">Current Rate </t>
  </si>
  <si>
    <t>Travel (broken out of other prog exp)</t>
  </si>
  <si>
    <t>Day Treatment Prenatal Care Enhancement Service Package</t>
  </si>
  <si>
    <t>Telephone Recovery</t>
  </si>
  <si>
    <t>H2015-HF</t>
  </si>
  <si>
    <t>Proposed Rate (15 min)</t>
  </si>
  <si>
    <t>Rec Coaching</t>
  </si>
  <si>
    <t>H0038-HF</t>
  </si>
  <si>
    <t>Yearly HRs:</t>
  </si>
  <si>
    <t>Other Program Expense</t>
  </si>
  <si>
    <t>Hourly Rate</t>
  </si>
  <si>
    <t xml:space="preserve">Current 15 Minute Rate </t>
  </si>
  <si>
    <t>InHome Therapy</t>
  </si>
  <si>
    <t>H2019-HF</t>
  </si>
  <si>
    <t>Direct Cares Master's</t>
  </si>
  <si>
    <t>Current 15 minute Rate</t>
  </si>
  <si>
    <t>CAF 2018</t>
  </si>
  <si>
    <t>Clinical Case Management - Master's Level</t>
  </si>
  <si>
    <t>Clinical Case Management - Non Master's Level</t>
  </si>
  <si>
    <t>H0006-HO</t>
  </si>
  <si>
    <t>H0006-HN, H0006-HD</t>
  </si>
  <si>
    <t xml:space="preserve"> </t>
  </si>
  <si>
    <t>15 minute rate</t>
  </si>
  <si>
    <t xml:space="preserve"> 1.5 Hour Rate (includes 30 min prep time)</t>
  </si>
  <si>
    <t>% of FTE</t>
  </si>
  <si>
    <t>Court ordered group counseling (15 minutes)</t>
  </si>
  <si>
    <t>H0001, H0001-H9, H0004, H0004-H9, H0004-HD</t>
  </si>
  <si>
    <t>H1005-HQ, H2012-HF</t>
  </si>
  <si>
    <t>H0005-H9, H0005, H0005-HQ, H0005-HD, 90882-HF</t>
  </si>
  <si>
    <t>Massachusetts Economic Indicators</t>
  </si>
  <si>
    <t>IHS Markit Economics Spring 2018 Forecast</t>
  </si>
  <si>
    <t>Prepared by Michael Lynch, 781-301-9129</t>
  </si>
  <si>
    <t>FY16</t>
  </si>
  <si>
    <t>FY17</t>
  </si>
  <si>
    <t>FY18</t>
  </si>
  <si>
    <t>FY19</t>
  </si>
  <si>
    <t>FY20</t>
  </si>
  <si>
    <t>FY21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</si>
  <si>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</si>
  <si>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</si>
  <si>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</si>
  <si>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</si>
  <si>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</si>
  <si>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</si>
  <si>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</si>
  <si>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</si>
  <si>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</si>
  <si>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</si>
  <si>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</si>
  <si>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</si>
  <si>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</si>
  <si>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</si>
  <si>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</si>
  <si>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</si>
  <si>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</si>
  <si>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</si>
  <si>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</si>
  <si>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</si>
  <si>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</si>
  <si>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</si>
  <si>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</si>
  <si>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</si>
  <si>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</si>
  <si>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</si>
  <si>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</si>
  <si>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</si>
  <si>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</si>
  <si>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</si>
  <si>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</si>
  <si>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</si>
  <si>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</si>
  <si>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</si>
  <si>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</si>
  <si>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</si>
  <si>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</si>
  <si>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</si>
  <si>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</si>
  <si>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</si>
  <si>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</si>
  <si>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</si>
  <si>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</si>
  <si>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</si>
  <si>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</si>
  <si>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</si>
  <si>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</si>
  <si>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</si>
  <si>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</si>
  <si>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</si>
  <si>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</si>
  <si>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</si>
  <si>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</si>
  <si>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</si>
  <si>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</si>
  <si>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</si>
  <si>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</si>
  <si>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</si>
  <si>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</si>
  <si>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</si>
  <si>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</si>
  <si>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</si>
  <si>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</si>
  <si>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</si>
  <si>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</si>
  <si>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</si>
  <si>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</si>
  <si>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</si>
  <si>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</si>
  <si>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</si>
  <si>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</si>
  <si>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</si>
  <si>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</si>
  <si>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</si>
  <si>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</si>
  <si>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</si>
  <si>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</si>
  <si>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</si>
  <si>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</si>
  <si>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</si>
  <si>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</si>
  <si>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</si>
  <si>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>Average</t>
  </si>
  <si>
    <t xml:space="preserve">Prospective rate period: </t>
  </si>
  <si>
    <t>CAF:</t>
  </si>
  <si>
    <t>Assumption for Rate Reviews that are to be promulgated January 1, 2019</t>
  </si>
  <si>
    <t>1/1/19 - 12/31/20</t>
  </si>
  <si>
    <t>FY19Q2</t>
  </si>
  <si>
    <t xml:space="preserve">   Base: FY19Q2        Prospective Period: 1/1/19 - 12/31/20</t>
  </si>
  <si>
    <t>Comments</t>
  </si>
  <si>
    <t>Benchmarked to 101 CMR 430:PACT</t>
  </si>
  <si>
    <t>Purchasing Dept Recommendation</t>
  </si>
  <si>
    <t>Methadone Dosing Only (SRAD Rebased with applicable CAF)</t>
  </si>
  <si>
    <r>
      <t>Benchmark Salaries</t>
    </r>
    <r>
      <rPr>
        <b/>
        <sz val="9"/>
        <color indexed="10"/>
        <rFont val="Calibri"/>
        <family val="2"/>
        <scheme val="minor"/>
      </rPr>
      <t xml:space="preserve"> </t>
    </r>
  </si>
  <si>
    <t>Master Look-up Table</t>
  </si>
  <si>
    <t xml:space="preserve">Rate Review </t>
  </si>
  <si>
    <t>CAF rate review FY20</t>
  </si>
  <si>
    <t xml:space="preserve">SRAD rebased with applicable CAF(s) </t>
  </si>
  <si>
    <t>H0005, H0005-H9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</si>
</sst>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_(* #,##0_);_(* \(#,##0\);_(* &quot;-&quot;??_);_(@_)"/>
    <numFmt numFmtId="166" formatCode="0.0"/>
    <numFmt numFmtId="167" formatCode="&quot;$&quot;#,##0.00"/>
    <numFmt numFmtId="168" formatCode="_(&quot;$&quot;* #,##0_);_(&quot;$&quot;* \(#,##0\);_(&quot;$&quot;* &quot;-&quot;??_);_(@_)"/>
    <numFmt numFmtId="169" formatCode="&quot;$&quot;#,##0"/>
    <numFmt numFmtId="170" formatCode="0.0%"/>
    <numFmt numFmtId="171" formatCode="_(&quot;$&quot;* #,##0.00_);_(&quot;$&quot;* \(#,##0.00\);_(&quot;$&quot;* &quot;-&quot;_);_(@_)"/>
    <numFmt numFmtId="172" formatCode="_(&quot;$&quot;* #,##0.0000_);_(&quot;$&quot;* \(#,##0.0000\);_(&quot;$&quot;* &quot;-&quot;??_);_(@_)"/>
    <numFmt numFmtId="173" formatCode="0.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rgb="FF0070C0"/>
      <name val="Arial"/>
      <family val="2"/>
    </font>
    <font>
      <b/>
      <sz val="11"/>
      <name val="Arial"/>
      <family val="2"/>
    </font>
    <font>
      <sz val="10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indexed="30"/>
      <name val="Arial"/>
      <family val="2"/>
    </font>
    <font>
      <sz val="10"/>
      <color indexed="17"/>
      <name val="Arial"/>
      <family val="2"/>
    </font>
    <font>
      <b/>
      <i/>
      <u/>
      <sz val="10"/>
      <color rgb="FF0070C0"/>
      <name val="Arial"/>
      <family val="2"/>
    </font>
    <font>
      <i/>
      <sz val="10"/>
      <color rgb="FF0070C0"/>
      <name val="Arial"/>
      <family val="2"/>
    </font>
    <font>
      <sz val="10"/>
      <color rgb="FF00B050"/>
      <name val="Arial"/>
      <family val="2"/>
    </font>
    <font>
      <i/>
      <sz val="10"/>
      <color theme="1"/>
      <name val="Arial"/>
      <family val="2"/>
    </font>
    <font>
      <b/>
      <sz val="10"/>
      <color rgb="FFC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rgb="FF00B050"/>
      <name val="Arial"/>
      <family val="2"/>
    </font>
    <font>
      <sz val="9"/>
      <color indexed="30"/>
      <name val="Arial"/>
      <family val="2"/>
    </font>
    <font>
      <sz val="9"/>
      <color indexed="17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1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0" fillId="0" borderId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10" fillId="0" borderId="0"/>
    <xf numFmtId="0" fontId="40" fillId="0" borderId="0"/>
  </cellStyleXfs>
  <cellXfs count="513">
    <xf numFmtId="0" fontId="0" fillId="0" borderId="0" xfId="0"/>
    <xf numFmtId="164" fontId="9" fillId="0" borderId="0" xfId="34" applyNumberFormat="1" applyFont="1" applyBorder="1" applyAlignment="1">
      <alignment horizontal="center"/>
    </xf>
    <xf numFmtId="0" fontId="6" fillId="0" borderId="0" xfId="34" applyFont="1" applyFill="1" applyBorder="1" applyAlignment="1">
      <alignment horizontal="center"/>
    </xf>
    <xf numFmtId="170" fontId="6" fillId="0" borderId="0" xfId="35" applyNumberFormat="1" applyFont="1" applyFill="1" applyBorder="1" applyAlignment="1">
      <alignment horizontal="center"/>
    </xf>
    <xf numFmtId="44" fontId="3" fillId="7" borderId="5" xfId="3" applyNumberFormat="1" applyFont="1" applyFill="1" applyBorder="1" applyAlignment="1">
      <alignment wrapText="1"/>
    </xf>
    <xf numFmtId="164" fontId="8" fillId="0" borderId="16" xfId="2" applyNumberFormat="1" applyFont="1" applyBorder="1" applyAlignment="1">
      <alignment horizontal="center" wrapText="1"/>
    </xf>
    <xf numFmtId="0" fontId="3" fillId="5" borderId="2" xfId="2" applyFont="1" applyFill="1" applyBorder="1"/>
    <xf numFmtId="164" fontId="8" fillId="0" borderId="9" xfId="2" applyNumberFormat="1" applyFont="1" applyBorder="1" applyAlignment="1">
      <alignment horizontal="center" vertical="center" wrapText="1"/>
    </xf>
    <xf numFmtId="165" fontId="4" fillId="3" borderId="21" xfId="3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3" fillId="0" borderId="0" xfId="51" applyFont="1" applyFill="1" applyBorder="1" applyAlignment="1">
      <alignment horizontal="center"/>
    </xf>
    <xf numFmtId="3" fontId="13" fillId="0" borderId="0" xfId="51" applyNumberFormat="1" applyFont="1" applyFill="1" applyBorder="1"/>
    <xf numFmtId="0" fontId="7" fillId="0" borderId="0" xfId="51" applyFont="1" applyFill="1" applyBorder="1"/>
    <xf numFmtId="42" fontId="7" fillId="0" borderId="0" xfId="51" applyNumberFormat="1" applyFont="1" applyFill="1" applyBorder="1"/>
    <xf numFmtId="42" fontId="13" fillId="0" borderId="0" xfId="51" applyNumberFormat="1" applyFont="1" applyFill="1" applyBorder="1"/>
    <xf numFmtId="44" fontId="7" fillId="0" borderId="0" xfId="51" applyNumberFormat="1" applyFont="1" applyFill="1" applyBorder="1"/>
    <xf numFmtId="44" fontId="14" fillId="0" borderId="0" xfId="51" applyNumberFormat="1" applyFont="1" applyFill="1" applyBorder="1"/>
    <xf numFmtId="168" fontId="7" fillId="0" borderId="0" xfId="51" applyNumberFormat="1" applyFont="1" applyFill="1" applyBorder="1"/>
    <xf numFmtId="0" fontId="8" fillId="0" borderId="33" xfId="0" applyFont="1" applyBorder="1" applyAlignment="1">
      <alignment horizontal="center"/>
    </xf>
    <xf numFmtId="0" fontId="3" fillId="0" borderId="0" xfId="51" applyFont="1" applyFill="1" applyBorder="1" applyAlignment="1">
      <alignment horizontal="center"/>
    </xf>
    <xf numFmtId="1" fontId="13" fillId="0" borderId="0" xfId="51" applyNumberFormat="1" applyFont="1" applyBorder="1"/>
    <xf numFmtId="0" fontId="13" fillId="0" borderId="0" xfId="51" applyFont="1" applyBorder="1"/>
    <xf numFmtId="3" fontId="13" fillId="0" borderId="25" xfId="51" applyNumberFormat="1" applyFont="1" applyBorder="1"/>
    <xf numFmtId="0" fontId="7" fillId="0" borderId="14" xfId="51" applyFont="1" applyBorder="1"/>
    <xf numFmtId="0" fontId="7" fillId="0" borderId="0" xfId="51" applyFont="1" applyBorder="1"/>
    <xf numFmtId="0" fontId="13" fillId="0" borderId="19" xfId="51" applyFont="1" applyBorder="1"/>
    <xf numFmtId="0" fontId="13" fillId="0" borderId="18" xfId="51" applyFont="1" applyBorder="1"/>
    <xf numFmtId="0" fontId="13" fillId="0" borderId="18" xfId="51" applyFont="1" applyBorder="1" applyAlignment="1">
      <alignment horizontal="center"/>
    </xf>
    <xf numFmtId="0" fontId="13" fillId="0" borderId="17" xfId="51" applyFont="1" applyBorder="1" applyAlignment="1">
      <alignment horizontal="center"/>
    </xf>
    <xf numFmtId="0" fontId="3" fillId="0" borderId="14" xfId="51" applyFont="1" applyBorder="1" applyAlignment="1"/>
    <xf numFmtId="6" fontId="15" fillId="3" borderId="0" xfId="0" applyNumberFormat="1" applyFont="1" applyFill="1" applyBorder="1"/>
    <xf numFmtId="2" fontId="15" fillId="0" borderId="0" xfId="0" applyNumberFormat="1" applyFont="1" applyBorder="1"/>
    <xf numFmtId="168" fontId="7" fillId="0" borderId="25" xfId="13" applyNumberFormat="1" applyFont="1" applyBorder="1" applyAlignment="1">
      <alignment horizontal="right"/>
    </xf>
    <xf numFmtId="6" fontId="4" fillId="3" borderId="0" xfId="0" applyNumberFormat="1" applyFont="1" applyFill="1" applyBorder="1"/>
    <xf numFmtId="2" fontId="4" fillId="3" borderId="0" xfId="0" applyNumberFormat="1" applyFont="1" applyFill="1" applyBorder="1"/>
    <xf numFmtId="2" fontId="15" fillId="0" borderId="18" xfId="0" applyNumberFormat="1" applyFont="1" applyBorder="1"/>
    <xf numFmtId="0" fontId="13" fillId="0" borderId="9" xfId="51" applyFont="1" applyBorder="1"/>
    <xf numFmtId="0" fontId="13" fillId="0" borderId="20" xfId="51" applyFont="1" applyBorder="1"/>
    <xf numFmtId="4" fontId="13" fillId="0" borderId="18" xfId="51" applyNumberFormat="1" applyFont="1" applyBorder="1"/>
    <xf numFmtId="168" fontId="13" fillId="0" borderId="27" xfId="13" applyNumberFormat="1" applyFont="1" applyBorder="1" applyAlignment="1">
      <alignment horizontal="right"/>
    </xf>
    <xf numFmtId="44" fontId="7" fillId="0" borderId="25" xfId="13" applyFont="1" applyBorder="1" applyAlignment="1">
      <alignment horizontal="right"/>
    </xf>
    <xf numFmtId="0" fontId="13" fillId="0" borderId="14" xfId="51" applyFont="1" applyBorder="1"/>
    <xf numFmtId="0" fontId="13" fillId="0" borderId="0" xfId="51" applyFont="1" applyBorder="1" applyAlignment="1">
      <alignment horizontal="right"/>
    </xf>
    <xf numFmtId="10" fontId="4" fillId="0" borderId="0" xfId="51" applyNumberFormat="1" applyFont="1" applyBorder="1"/>
    <xf numFmtId="44" fontId="13" fillId="0" borderId="20" xfId="51" applyNumberFormat="1" applyFont="1" applyBorder="1"/>
    <xf numFmtId="0" fontId="7" fillId="0" borderId="0" xfId="51" applyFont="1" applyBorder="1" applyAlignment="1">
      <alignment horizontal="right"/>
    </xf>
    <xf numFmtId="169" fontId="7" fillId="0" borderId="0" xfId="51" applyNumberFormat="1" applyFont="1" applyBorder="1" applyAlignment="1">
      <alignment horizontal="right"/>
    </xf>
    <xf numFmtId="5" fontId="7" fillId="0" borderId="0" xfId="13" applyNumberFormat="1" applyFont="1" applyBorder="1" applyAlignment="1">
      <alignment horizontal="right"/>
    </xf>
    <xf numFmtId="0" fontId="7" fillId="0" borderId="29" xfId="51" applyFont="1" applyBorder="1"/>
    <xf numFmtId="9" fontId="7" fillId="0" borderId="22" xfId="51" applyNumberFormat="1" applyFont="1" applyFill="1" applyBorder="1"/>
    <xf numFmtId="10" fontId="4" fillId="0" borderId="22" xfId="52" applyNumberFormat="1" applyFont="1" applyFill="1" applyBorder="1"/>
    <xf numFmtId="0" fontId="7" fillId="0" borderId="22" xfId="51" applyFont="1" applyBorder="1"/>
    <xf numFmtId="168" fontId="7" fillId="0" borderId="23" xfId="13" applyNumberFormat="1" applyFont="1" applyBorder="1" applyAlignment="1">
      <alignment horizontal="right"/>
    </xf>
    <xf numFmtId="0" fontId="13" fillId="0" borderId="26" xfId="51" applyFont="1" applyBorder="1"/>
    <xf numFmtId="0" fontId="7" fillId="0" borderId="6" xfId="51" applyFont="1" applyBorder="1"/>
    <xf numFmtId="3" fontId="13" fillId="0" borderId="28" xfId="51" applyNumberFormat="1" applyFont="1" applyBorder="1" applyAlignment="1">
      <alignment horizontal="right"/>
    </xf>
    <xf numFmtId="0" fontId="7" fillId="0" borderId="34" xfId="51" applyFont="1" applyBorder="1"/>
    <xf numFmtId="0" fontId="7" fillId="0" borderId="35" xfId="51" applyFont="1" applyBorder="1"/>
    <xf numFmtId="44" fontId="7" fillId="0" borderId="36" xfId="13" applyFont="1" applyBorder="1" applyAlignment="1">
      <alignment horizontal="right"/>
    </xf>
    <xf numFmtId="0" fontId="7" fillId="0" borderId="37" xfId="51" applyFont="1" applyBorder="1"/>
    <xf numFmtId="0" fontId="7" fillId="0" borderId="30" xfId="51" applyFont="1" applyBorder="1"/>
    <xf numFmtId="10" fontId="7" fillId="0" borderId="30" xfId="50" applyNumberFormat="1" applyFont="1" applyBorder="1"/>
    <xf numFmtId="44" fontId="7" fillId="0" borderId="31" xfId="13" applyNumberFormat="1" applyFont="1" applyBorder="1" applyAlignment="1">
      <alignment horizontal="right"/>
    </xf>
    <xf numFmtId="10" fontId="7" fillId="0" borderId="0" xfId="50" applyNumberFormat="1" applyFont="1" applyBorder="1"/>
    <xf numFmtId="167" fontId="16" fillId="0" borderId="0" xfId="51" applyNumberFormat="1" applyFont="1" applyFill="1" applyBorder="1" applyAlignment="1">
      <alignment horizontal="right"/>
    </xf>
    <xf numFmtId="0" fontId="7" fillId="0" borderId="11" xfId="51" applyFont="1" applyBorder="1"/>
    <xf numFmtId="0" fontId="7" fillId="0" borderId="12" xfId="51" applyFont="1" applyBorder="1"/>
    <xf numFmtId="10" fontId="7" fillId="0" borderId="12" xfId="50" applyNumberFormat="1" applyFont="1" applyBorder="1"/>
    <xf numFmtId="44" fontId="7" fillId="0" borderId="12" xfId="53" applyFont="1" applyBorder="1"/>
    <xf numFmtId="42" fontId="7" fillId="0" borderId="0" xfId="51" applyNumberFormat="1" applyFont="1" applyBorder="1"/>
    <xf numFmtId="0" fontId="3" fillId="0" borderId="10" xfId="51" applyFont="1" applyFill="1" applyBorder="1" applyAlignment="1">
      <alignment horizontal="center"/>
    </xf>
    <xf numFmtId="9" fontId="13" fillId="0" borderId="12" xfId="51" applyNumberFormat="1" applyFont="1" applyFill="1" applyBorder="1"/>
    <xf numFmtId="44" fontId="3" fillId="0" borderId="12" xfId="53" applyFont="1" applyFill="1" applyBorder="1" applyAlignment="1"/>
    <xf numFmtId="44" fontId="7" fillId="0" borderId="11" xfId="51" applyNumberFormat="1" applyFont="1" applyFill="1" applyBorder="1"/>
    <xf numFmtId="44" fontId="7" fillId="0" borderId="12" xfId="51" applyNumberFormat="1" applyFont="1" applyFill="1" applyBorder="1"/>
    <xf numFmtId="3" fontId="13" fillId="0" borderId="0" xfId="51" applyNumberFormat="1" applyFont="1" applyBorder="1"/>
    <xf numFmtId="44" fontId="7" fillId="4" borderId="13" xfId="53" applyFont="1" applyFill="1" applyBorder="1" applyAlignment="1">
      <alignment horizontal="right"/>
    </xf>
    <xf numFmtId="167" fontId="16" fillId="0" borderId="13" xfId="51" applyNumberFormat="1" applyFont="1" applyFill="1" applyBorder="1" applyAlignment="1">
      <alignment horizontal="right"/>
    </xf>
    <xf numFmtId="44" fontId="3" fillId="4" borderId="13" xfId="53" applyFont="1" applyFill="1" applyBorder="1" applyAlignment="1"/>
    <xf numFmtId="44" fontId="13" fillId="0" borderId="13" xfId="53" applyFont="1" applyFill="1" applyBorder="1" applyAlignment="1">
      <alignment horizontal="right"/>
    </xf>
    <xf numFmtId="0" fontId="15" fillId="0" borderId="0" xfId="51" applyFont="1" applyBorder="1"/>
    <xf numFmtId="0" fontId="15" fillId="0" borderId="0" xfId="51" applyFont="1"/>
    <xf numFmtId="0" fontId="15" fillId="0" borderId="0" xfId="0" applyFont="1"/>
    <xf numFmtId="0" fontId="7" fillId="0" borderId="24" xfId="51" applyFont="1" applyBorder="1"/>
    <xf numFmtId="0" fontId="7" fillId="0" borderId="7" xfId="51" applyFont="1" applyBorder="1"/>
    <xf numFmtId="10" fontId="7" fillId="0" borderId="7" xfId="50" applyNumberFormat="1" applyFont="1" applyBorder="1"/>
    <xf numFmtId="0" fontId="13" fillId="0" borderId="11" xfId="51" applyFont="1" applyBorder="1"/>
    <xf numFmtId="0" fontId="13" fillId="0" borderId="12" xfId="51" applyFont="1" applyBorder="1"/>
    <xf numFmtId="44" fontId="13" fillId="4" borderId="13" xfId="13" applyNumberFormat="1" applyFont="1" applyFill="1" applyBorder="1" applyAlignment="1">
      <alignment horizontal="right"/>
    </xf>
    <xf numFmtId="44" fontId="7" fillId="0" borderId="0" xfId="13" applyNumberFormat="1" applyFont="1" applyFill="1" applyBorder="1" applyAlignment="1">
      <alignment horizontal="right"/>
    </xf>
    <xf numFmtId="10" fontId="7" fillId="0" borderId="0" xfId="50" applyNumberFormat="1" applyFont="1" applyFill="1" applyBorder="1"/>
    <xf numFmtId="44" fontId="3" fillId="0" borderId="0" xfId="36" applyFont="1" applyFill="1" applyBorder="1" applyAlignment="1">
      <alignment horizontal="right"/>
    </xf>
    <xf numFmtId="7" fontId="3" fillId="0" borderId="0" xfId="36" applyNumberFormat="1" applyFont="1" applyFill="1" applyBorder="1" applyAlignment="1"/>
    <xf numFmtId="0" fontId="16" fillId="0" borderId="0" xfId="34" applyFont="1" applyBorder="1" applyAlignment="1">
      <alignment horizontal="right"/>
    </xf>
    <xf numFmtId="10" fontId="16" fillId="0" borderId="0" xfId="1" applyNumberFormat="1" applyFont="1" applyBorder="1"/>
    <xf numFmtId="0" fontId="17" fillId="0" borderId="0" xfId="0" applyFont="1" applyBorder="1"/>
    <xf numFmtId="42" fontId="4" fillId="3" borderId="0" xfId="0" applyNumberFormat="1" applyFont="1" applyFill="1" applyBorder="1"/>
    <xf numFmtId="0" fontId="16" fillId="0" borderId="0" xfId="51" applyFont="1" applyFill="1" applyBorder="1"/>
    <xf numFmtId="0" fontId="15" fillId="0" borderId="0" xfId="51" applyFont="1" applyFill="1" applyBorder="1"/>
    <xf numFmtId="10" fontId="4" fillId="0" borderId="0" xfId="51" applyNumberFormat="1" applyFont="1" applyFill="1" applyBorder="1"/>
    <xf numFmtId="0" fontId="14" fillId="0" borderId="33" xfId="0" applyFont="1" applyBorder="1" applyAlignment="1">
      <alignment horizontal="center" vertical="center"/>
    </xf>
    <xf numFmtId="0" fontId="16" fillId="0" borderId="11" xfId="51" applyFont="1" applyBorder="1"/>
    <xf numFmtId="0" fontId="15" fillId="0" borderId="12" xfId="51" applyFont="1" applyBorder="1"/>
    <xf numFmtId="10" fontId="4" fillId="0" borderId="12" xfId="51" applyNumberFormat="1" applyFont="1" applyFill="1" applyBorder="1"/>
    <xf numFmtId="0" fontId="15" fillId="0" borderId="11" xfId="51" applyFont="1" applyBorder="1"/>
    <xf numFmtId="0" fontId="15" fillId="0" borderId="0" xfId="34" applyFont="1" applyBorder="1"/>
    <xf numFmtId="0" fontId="15" fillId="0" borderId="0" xfId="34" applyFont="1"/>
    <xf numFmtId="0" fontId="13" fillId="0" borderId="0" xfId="34" applyFont="1" applyFill="1" applyBorder="1" applyAlignment="1">
      <alignment horizontal="center"/>
    </xf>
    <xf numFmtId="0" fontId="3" fillId="0" borderId="0" xfId="34" applyFont="1" applyFill="1" applyBorder="1" applyAlignment="1">
      <alignment horizontal="center"/>
    </xf>
    <xf numFmtId="0" fontId="13" fillId="0" borderId="0" xfId="34" applyFont="1" applyBorder="1"/>
    <xf numFmtId="3" fontId="13" fillId="0" borderId="25" xfId="34" applyNumberFormat="1" applyFont="1" applyBorder="1"/>
    <xf numFmtId="3" fontId="13" fillId="0" borderId="0" xfId="34" applyNumberFormat="1" applyFont="1" applyFill="1" applyBorder="1"/>
    <xf numFmtId="0" fontId="13" fillId="0" borderId="19" xfId="34" applyFont="1" applyBorder="1"/>
    <xf numFmtId="0" fontId="13" fillId="0" borderId="18" xfId="34" applyFont="1" applyBorder="1"/>
    <xf numFmtId="0" fontId="13" fillId="0" borderId="18" xfId="34" applyFont="1" applyBorder="1" applyAlignment="1">
      <alignment horizontal="center"/>
    </xf>
    <xf numFmtId="0" fontId="13" fillId="0" borderId="17" xfId="34" applyFont="1" applyBorder="1" applyAlignment="1">
      <alignment horizontal="center"/>
    </xf>
    <xf numFmtId="0" fontId="7" fillId="0" borderId="0" xfId="34" applyFont="1" applyFill="1" applyBorder="1"/>
    <xf numFmtId="0" fontId="3" fillId="0" borderId="14" xfId="34" applyFont="1" applyBorder="1" applyAlignment="1"/>
    <xf numFmtId="0" fontId="7" fillId="0" borderId="0" xfId="34" applyFont="1" applyBorder="1"/>
    <xf numFmtId="6" fontId="4" fillId="3" borderId="0" xfId="37" applyNumberFormat="1" applyFont="1" applyFill="1" applyBorder="1" applyAlignment="1">
      <alignment wrapText="1"/>
    </xf>
    <xf numFmtId="2" fontId="18" fillId="0" borderId="0" xfId="34" applyNumberFormat="1" applyFont="1" applyBorder="1"/>
    <xf numFmtId="42" fontId="7" fillId="0" borderId="25" xfId="34" applyNumberFormat="1" applyFont="1" applyBorder="1"/>
    <xf numFmtId="168" fontId="13" fillId="0" borderId="0" xfId="13" applyNumberFormat="1" applyFont="1" applyFill="1" applyBorder="1" applyAlignment="1">
      <alignment horizontal="center"/>
    </xf>
    <xf numFmtId="6" fontId="4" fillId="3" borderId="0" xfId="37" applyNumberFormat="1" applyFont="1" applyFill="1" applyBorder="1" applyAlignment="1">
      <alignment horizontal="right" wrapText="1"/>
    </xf>
    <xf numFmtId="4" fontId="18" fillId="0" borderId="0" xfId="34" applyNumberFormat="1" applyFont="1" applyFill="1" applyBorder="1"/>
    <xf numFmtId="4" fontId="18" fillId="0" borderId="0" xfId="34" applyNumberFormat="1" applyFont="1" applyBorder="1"/>
    <xf numFmtId="166" fontId="3" fillId="0" borderId="14" xfId="34" applyNumberFormat="1" applyFont="1" applyBorder="1" applyAlignment="1"/>
    <xf numFmtId="0" fontId="13" fillId="0" borderId="9" xfId="34" applyFont="1" applyBorder="1"/>
    <xf numFmtId="0" fontId="13" fillId="0" borderId="20" xfId="34" applyFont="1" applyBorder="1"/>
    <xf numFmtId="4" fontId="13" fillId="0" borderId="20" xfId="34" applyNumberFormat="1" applyFont="1" applyBorder="1"/>
    <xf numFmtId="42" fontId="13" fillId="0" borderId="27" xfId="34" applyNumberFormat="1" applyFont="1" applyBorder="1"/>
    <xf numFmtId="0" fontId="7" fillId="0" borderId="14" xfId="34" applyFont="1" applyBorder="1"/>
    <xf numFmtId="0" fontId="7" fillId="0" borderId="25" xfId="34" applyFont="1" applyBorder="1"/>
    <xf numFmtId="0" fontId="13" fillId="0" borderId="14" xfId="34" applyFont="1" applyBorder="1"/>
    <xf numFmtId="10" fontId="19" fillId="0" borderId="0" xfId="34" applyNumberFormat="1" applyFont="1" applyBorder="1"/>
    <xf numFmtId="44" fontId="13" fillId="0" borderId="20" xfId="34" applyNumberFormat="1" applyFont="1" applyBorder="1"/>
    <xf numFmtId="169" fontId="7" fillId="0" borderId="0" xfId="34" applyNumberFormat="1" applyFont="1" applyBorder="1"/>
    <xf numFmtId="167" fontId="7" fillId="0" borderId="0" xfId="34" applyNumberFormat="1" applyFont="1" applyFill="1" applyBorder="1"/>
    <xf numFmtId="5" fontId="7" fillId="0" borderId="25" xfId="34" applyNumberFormat="1" applyFont="1" applyBorder="1"/>
    <xf numFmtId="0" fontId="7" fillId="0" borderId="26" xfId="34" applyFont="1" applyBorder="1"/>
    <xf numFmtId="0" fontId="7" fillId="0" borderId="6" xfId="34" applyFont="1" applyBorder="1"/>
    <xf numFmtId="169" fontId="7" fillId="0" borderId="6" xfId="34" applyNumberFormat="1" applyFont="1" applyBorder="1"/>
    <xf numFmtId="167" fontId="7" fillId="0" borderId="6" xfId="34" applyNumberFormat="1" applyFont="1" applyFill="1" applyBorder="1"/>
    <xf numFmtId="5" fontId="7" fillId="0" borderId="28" xfId="34" applyNumberFormat="1" applyFont="1" applyBorder="1"/>
    <xf numFmtId="42" fontId="13" fillId="0" borderId="17" xfId="34" applyNumberFormat="1" applyFont="1" applyBorder="1"/>
    <xf numFmtId="9" fontId="7" fillId="0" borderId="6" xfId="34" applyNumberFormat="1" applyFont="1" applyFill="1" applyBorder="1"/>
    <xf numFmtId="10" fontId="19" fillId="0" borderId="6" xfId="35" applyNumberFormat="1" applyFont="1" applyFill="1" applyBorder="1"/>
    <xf numFmtId="42" fontId="7" fillId="0" borderId="28" xfId="34" applyNumberFormat="1" applyFont="1" applyBorder="1"/>
    <xf numFmtId="0" fontId="7" fillId="0" borderId="18" xfId="34" applyFont="1" applyBorder="1"/>
    <xf numFmtId="42" fontId="7" fillId="0" borderId="0" xfId="34" applyNumberFormat="1" applyFont="1" applyFill="1" applyBorder="1"/>
    <xf numFmtId="0" fontId="7" fillId="0" borderId="9" xfId="34" applyFont="1" applyBorder="1"/>
    <xf numFmtId="9" fontId="7" fillId="0" borderId="20" xfId="34" applyNumberFormat="1" applyFont="1" applyFill="1" applyBorder="1"/>
    <xf numFmtId="10" fontId="19" fillId="0" borderId="20" xfId="35" applyNumberFormat="1" applyFont="1" applyFill="1" applyBorder="1"/>
    <xf numFmtId="0" fontId="7" fillId="0" borderId="20" xfId="34" applyFont="1" applyBorder="1"/>
    <xf numFmtId="171" fontId="7" fillId="0" borderId="27" xfId="34" applyNumberFormat="1" applyFont="1" applyBorder="1"/>
    <xf numFmtId="171" fontId="13" fillId="0" borderId="0" xfId="34" applyNumberFormat="1" applyFont="1" applyFill="1" applyBorder="1"/>
    <xf numFmtId="0" fontId="15" fillId="0" borderId="19" xfId="34" applyFont="1" applyBorder="1"/>
    <xf numFmtId="0" fontId="15" fillId="0" borderId="18" xfId="34" applyFont="1" applyBorder="1"/>
    <xf numFmtId="44" fontId="15" fillId="0" borderId="17" xfId="13" applyFont="1" applyBorder="1"/>
    <xf numFmtId="0" fontId="7" fillId="0" borderId="24" xfId="34" applyFont="1" applyBorder="1"/>
    <xf numFmtId="0" fontId="7" fillId="0" borderId="7" xfId="34" applyFont="1" applyBorder="1"/>
    <xf numFmtId="44" fontId="7" fillId="0" borderId="7" xfId="36" applyFont="1" applyBorder="1"/>
    <xf numFmtId="44" fontId="7" fillId="4" borderId="8" xfId="36" applyFont="1" applyFill="1" applyBorder="1"/>
    <xf numFmtId="0" fontId="15" fillId="0" borderId="0" xfId="34" applyFont="1" applyFill="1" applyBorder="1"/>
    <xf numFmtId="10" fontId="15" fillId="0" borderId="0" xfId="34" applyNumberFormat="1" applyFont="1" applyFill="1" applyBorder="1"/>
    <xf numFmtId="167" fontId="16" fillId="0" borderId="0" xfId="34" applyNumberFormat="1" applyFont="1" applyFill="1" applyBorder="1"/>
    <xf numFmtId="2" fontId="7" fillId="0" borderId="0" xfId="34" applyNumberFormat="1" applyFont="1" applyFill="1" applyBorder="1"/>
    <xf numFmtId="44" fontId="7" fillId="0" borderId="0" xfId="34" applyNumberFormat="1" applyFont="1" applyFill="1" applyBorder="1"/>
    <xf numFmtId="9" fontId="13" fillId="0" borderId="0" xfId="34" applyNumberFormat="1" applyFont="1" applyFill="1" applyBorder="1"/>
    <xf numFmtId="10" fontId="16" fillId="0" borderId="0" xfId="34" applyNumberFormat="1" applyFont="1" applyBorder="1"/>
    <xf numFmtId="168" fontId="7" fillId="0" borderId="0" xfId="34" applyNumberFormat="1" applyFont="1" applyFill="1" applyBorder="1"/>
    <xf numFmtId="42" fontId="13" fillId="0" borderId="0" xfId="34" applyNumberFormat="1" applyFont="1" applyFill="1" applyBorder="1"/>
    <xf numFmtId="44" fontId="3" fillId="0" borderId="0" xfId="36" applyFont="1" applyFill="1" applyBorder="1" applyAlignment="1"/>
    <xf numFmtId="0" fontId="15" fillId="0" borderId="0" xfId="0" applyFont="1" applyFill="1" applyBorder="1"/>
    <xf numFmtId="8" fontId="16" fillId="0" borderId="0" xfId="0" applyNumberFormat="1" applyFont="1" applyFill="1" applyBorder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6" fillId="0" borderId="0" xfId="34" applyFont="1" applyBorder="1"/>
    <xf numFmtId="0" fontId="16" fillId="0" borderId="0" xfId="34" applyFont="1" applyBorder="1" applyAlignment="1">
      <alignment horizontal="center"/>
    </xf>
    <xf numFmtId="5" fontId="3" fillId="0" borderId="14" xfId="34" applyNumberFormat="1" applyFont="1" applyBorder="1" applyAlignment="1"/>
    <xf numFmtId="168" fontId="7" fillId="0" borderId="25" xfId="13" applyNumberFormat="1" applyFont="1" applyBorder="1"/>
    <xf numFmtId="0" fontId="4" fillId="3" borderId="19" xfId="0" applyFont="1" applyFill="1" applyBorder="1" applyAlignment="1">
      <alignment wrapText="1"/>
    </xf>
    <xf numFmtId="168" fontId="7" fillId="0" borderId="17" xfId="13" applyNumberFormat="1" applyFont="1" applyBorder="1"/>
    <xf numFmtId="0" fontId="7" fillId="0" borderId="19" xfId="34" applyFont="1" applyBorder="1"/>
    <xf numFmtId="5" fontId="7" fillId="0" borderId="17" xfId="34" applyNumberFormat="1" applyFont="1" applyBorder="1"/>
    <xf numFmtId="168" fontId="7" fillId="0" borderId="28" xfId="13" applyNumberFormat="1" applyFont="1" applyBorder="1"/>
    <xf numFmtId="0" fontId="15" fillId="0" borderId="24" xfId="34" applyFont="1" applyBorder="1"/>
    <xf numFmtId="0" fontId="15" fillId="0" borderId="7" xfId="34" applyFont="1" applyBorder="1"/>
    <xf numFmtId="10" fontId="15" fillId="0" borderId="7" xfId="34" applyNumberFormat="1" applyFont="1" applyFill="1" applyBorder="1"/>
    <xf numFmtId="167" fontId="16" fillId="0" borderId="8" xfId="34" applyNumberFormat="1" applyFont="1" applyFill="1" applyBorder="1"/>
    <xf numFmtId="167" fontId="15" fillId="0" borderId="8" xfId="34" applyNumberFormat="1" applyFont="1" applyFill="1" applyBorder="1"/>
    <xf numFmtId="0" fontId="15" fillId="0" borderId="11" xfId="34" applyFont="1" applyBorder="1"/>
    <xf numFmtId="0" fontId="15" fillId="0" borderId="12" xfId="34" applyFont="1" applyBorder="1"/>
    <xf numFmtId="167" fontId="16" fillId="4" borderId="13" xfId="34" applyNumberFormat="1" applyFont="1" applyFill="1" applyBorder="1"/>
    <xf numFmtId="167" fontId="15" fillId="0" borderId="0" xfId="34" applyNumberFormat="1" applyFont="1" applyFill="1" applyBorder="1"/>
    <xf numFmtId="168" fontId="7" fillId="0" borderId="0" xfId="13" applyNumberFormat="1" applyFont="1" applyFill="1" applyBorder="1" applyAlignment="1">
      <alignment horizontal="center"/>
    </xf>
    <xf numFmtId="44" fontId="7" fillId="0" borderId="0" xfId="36" applyFont="1" applyBorder="1"/>
    <xf numFmtId="44" fontId="7" fillId="0" borderId="25" xfId="36" applyFont="1" applyFill="1" applyBorder="1"/>
    <xf numFmtId="0" fontId="15" fillId="0" borderId="11" xfId="34" applyFont="1" applyFill="1" applyBorder="1"/>
    <xf numFmtId="0" fontId="15" fillId="0" borderId="12" xfId="34" applyFont="1" applyFill="1" applyBorder="1"/>
    <xf numFmtId="10" fontId="15" fillId="0" borderId="12" xfId="34" applyNumberFormat="1" applyFont="1" applyFill="1" applyBorder="1"/>
    <xf numFmtId="171" fontId="14" fillId="0" borderId="0" xfId="34" applyNumberFormat="1" applyFont="1" applyFill="1" applyBorder="1"/>
    <xf numFmtId="168" fontId="7" fillId="0" borderId="0" xfId="13" applyNumberFormat="1" applyFont="1" applyFill="1" applyBorder="1"/>
    <xf numFmtId="9" fontId="13" fillId="0" borderId="12" xfId="34" applyNumberFormat="1" applyFont="1" applyFill="1" applyBorder="1"/>
    <xf numFmtId="10" fontId="16" fillId="0" borderId="12" xfId="34" applyNumberFormat="1" applyFont="1" applyBorder="1"/>
    <xf numFmtId="44" fontId="3" fillId="0" borderId="12" xfId="36" applyFont="1" applyFill="1" applyBorder="1" applyAlignment="1"/>
    <xf numFmtId="167" fontId="3" fillId="4" borderId="13" xfId="36" applyNumberFormat="1" applyFont="1" applyFill="1" applyBorder="1" applyAlignment="1"/>
    <xf numFmtId="44" fontId="13" fillId="0" borderId="0" xfId="34" applyNumberFormat="1" applyFont="1" applyFill="1" applyBorder="1"/>
    <xf numFmtId="10" fontId="7" fillId="0" borderId="0" xfId="34" applyNumberFormat="1" applyFont="1" applyFill="1" applyBorder="1"/>
    <xf numFmtId="0" fontId="8" fillId="0" borderId="0" xfId="2" applyFont="1" applyFill="1" applyBorder="1" applyAlignment="1">
      <alignment horizontal="center"/>
    </xf>
    <xf numFmtId="0" fontId="20" fillId="0" borderId="0" xfId="2" applyFont="1" applyFill="1" applyBorder="1"/>
    <xf numFmtId="0" fontId="21" fillId="0" borderId="0" xfId="2" applyFont="1" applyFill="1" applyBorder="1" applyAlignment="1">
      <alignment horizontal="center"/>
    </xf>
    <xf numFmtId="0" fontId="21" fillId="0" borderId="0" xfId="2" applyFont="1" applyFill="1" applyBorder="1"/>
    <xf numFmtId="8" fontId="21" fillId="0" borderId="0" xfId="2" applyNumberFormat="1" applyFont="1" applyFill="1"/>
    <xf numFmtId="44" fontId="21" fillId="0" borderId="0" xfId="2" applyNumberFormat="1" applyFont="1" applyFill="1"/>
    <xf numFmtId="3" fontId="13" fillId="0" borderId="0" xfId="34" applyNumberFormat="1" applyFont="1" applyBorder="1"/>
    <xf numFmtId="0" fontId="13" fillId="0" borderId="0" xfId="34" applyFont="1" applyBorder="1" applyAlignment="1">
      <alignment horizontal="center"/>
    </xf>
    <xf numFmtId="6" fontId="22" fillId="3" borderId="0" xfId="37" applyNumberFormat="1" applyFont="1" applyFill="1" applyBorder="1" applyAlignment="1">
      <alignment wrapText="1"/>
    </xf>
    <xf numFmtId="42" fontId="7" fillId="0" borderId="0" xfId="34" applyNumberFormat="1" applyFont="1" applyBorder="1"/>
    <xf numFmtId="6" fontId="22" fillId="3" borderId="0" xfId="37" applyNumberFormat="1" applyFont="1" applyFill="1" applyBorder="1" applyAlignment="1">
      <alignment horizontal="right" wrapText="1"/>
    </xf>
    <xf numFmtId="42" fontId="13" fillId="0" borderId="0" xfId="34" applyNumberFormat="1" applyFont="1" applyBorder="1"/>
    <xf numFmtId="0" fontId="15" fillId="0" borderId="0" xfId="2" applyFont="1"/>
    <xf numFmtId="5" fontId="7" fillId="0" borderId="0" xfId="34" applyNumberFormat="1" applyFont="1" applyBorder="1"/>
    <xf numFmtId="169" fontId="7" fillId="0" borderId="28" xfId="34" applyNumberFormat="1" applyFont="1" applyBorder="1"/>
    <xf numFmtId="44" fontId="14" fillId="0" borderId="0" xfId="34" applyNumberFormat="1" applyFont="1" applyFill="1" applyBorder="1"/>
    <xf numFmtId="44" fontId="7" fillId="0" borderId="27" xfId="34" applyNumberFormat="1" applyFont="1" applyBorder="1"/>
    <xf numFmtId="44" fontId="7" fillId="0" borderId="0" xfId="34" applyNumberFormat="1" applyFont="1" applyBorder="1"/>
    <xf numFmtId="44" fontId="7" fillId="4" borderId="8" xfId="13" applyFont="1" applyFill="1" applyBorder="1"/>
    <xf numFmtId="42" fontId="14" fillId="0" borderId="0" xfId="34" applyNumberFormat="1" applyFont="1" applyFill="1" applyBorder="1"/>
    <xf numFmtId="44" fontId="14" fillId="0" borderId="0" xfId="36" applyFont="1" applyFill="1" applyBorder="1"/>
    <xf numFmtId="0" fontId="3" fillId="0" borderId="0" xfId="2" applyFont="1"/>
    <xf numFmtId="0" fontId="23" fillId="0" borderId="0" xfId="2" applyFont="1"/>
    <xf numFmtId="0" fontId="15" fillId="5" borderId="3" xfId="2" applyFont="1" applyFill="1" applyBorder="1"/>
    <xf numFmtId="0" fontId="15" fillId="5" borderId="4" xfId="2" applyFont="1" applyFill="1" applyBorder="1"/>
    <xf numFmtId="0" fontId="15" fillId="3" borderId="20" xfId="2" applyFont="1" applyFill="1" applyBorder="1"/>
    <xf numFmtId="0" fontId="15" fillId="0" borderId="19" xfId="2" applyFont="1" applyBorder="1"/>
    <xf numFmtId="0" fontId="15" fillId="0" borderId="18" xfId="2" applyFont="1" applyBorder="1"/>
    <xf numFmtId="8" fontId="15" fillId="0" borderId="17" xfId="2" applyNumberFormat="1" applyFont="1" applyBorder="1"/>
    <xf numFmtId="44" fontId="7" fillId="0" borderId="0" xfId="13" applyFont="1" applyFill="1" applyBorder="1"/>
    <xf numFmtId="0" fontId="15" fillId="0" borderId="29" xfId="2" applyFont="1" applyBorder="1"/>
    <xf numFmtId="0" fontId="15" fillId="0" borderId="22" xfId="2" applyFont="1" applyBorder="1"/>
    <xf numFmtId="8" fontId="15" fillId="0" borderId="23" xfId="2" applyNumberFormat="1" applyFont="1" applyBorder="1"/>
    <xf numFmtId="171" fontId="7" fillId="0" borderId="0" xfId="34" applyNumberFormat="1" applyFont="1" applyFill="1" applyBorder="1"/>
    <xf numFmtId="0" fontId="15" fillId="5" borderId="11" xfId="2" applyFont="1" applyFill="1" applyBorder="1"/>
    <xf numFmtId="0" fontId="15" fillId="5" borderId="12" xfId="2" applyFont="1" applyFill="1" applyBorder="1"/>
    <xf numFmtId="8" fontId="16" fillId="4" borderId="16" xfId="2" applyNumberFormat="1" applyFont="1" applyFill="1" applyBorder="1"/>
    <xf numFmtId="0" fontId="13" fillId="0" borderId="0" xfId="34" applyFont="1" applyFill="1" applyBorder="1"/>
    <xf numFmtId="10" fontId="16" fillId="0" borderId="0" xfId="1" applyNumberFormat="1" applyFont="1" applyAlignment="1">
      <alignment horizontal="left"/>
    </xf>
    <xf numFmtId="0" fontId="15" fillId="5" borderId="24" xfId="2" applyFont="1" applyFill="1" applyBorder="1"/>
    <xf numFmtId="0" fontId="15" fillId="5" borderId="7" xfId="2" applyFont="1" applyFill="1" applyBorder="1"/>
    <xf numFmtId="44" fontId="7" fillId="0" borderId="0" xfId="13" applyNumberFormat="1" applyFont="1" applyFill="1" applyBorder="1"/>
    <xf numFmtId="0" fontId="24" fillId="0" borderId="16" xfId="34" applyFont="1" applyBorder="1" applyAlignment="1">
      <alignment horizontal="center"/>
    </xf>
    <xf numFmtId="2" fontId="13" fillId="0" borderId="0" xfId="34" applyNumberFormat="1" applyFont="1" applyBorder="1"/>
    <xf numFmtId="44" fontId="7" fillId="0" borderId="25" xfId="36" applyFont="1" applyBorder="1"/>
    <xf numFmtId="0" fontId="15" fillId="0" borderId="0" xfId="0" applyFont="1" applyAlignment="1">
      <alignment horizontal="left" wrapText="1"/>
    </xf>
    <xf numFmtId="0" fontId="15" fillId="0" borderId="0" xfId="0" applyFont="1" applyBorder="1"/>
    <xf numFmtId="0" fontId="13" fillId="0" borderId="0" xfId="51" applyFont="1" applyFill="1" applyBorder="1"/>
    <xf numFmtId="0" fontId="4" fillId="0" borderId="0" xfId="51" applyFont="1" applyFill="1" applyBorder="1"/>
    <xf numFmtId="6" fontId="15" fillId="0" borderId="0" xfId="0" applyNumberFormat="1" applyFont="1" applyFill="1" applyBorder="1"/>
    <xf numFmtId="0" fontId="25" fillId="0" borderId="0" xfId="0" applyFont="1"/>
    <xf numFmtId="0" fontId="26" fillId="0" borderId="0" xfId="0" applyFont="1"/>
    <xf numFmtId="0" fontId="0" fillId="0" borderId="0" xfId="0" applyAlignment="1">
      <alignment horizontal="center"/>
    </xf>
    <xf numFmtId="0" fontId="6" fillId="0" borderId="0" xfId="34" applyFont="1" applyFill="1" applyBorder="1" applyAlignment="1">
      <alignment horizontal="right"/>
    </xf>
    <xf numFmtId="0" fontId="0" fillId="0" borderId="0" xfId="0" applyBorder="1"/>
    <xf numFmtId="0" fontId="27" fillId="0" borderId="0" xfId="34" applyFont="1" applyFill="1" applyBorder="1" applyAlignment="1">
      <alignment horizontal="center"/>
    </xf>
    <xf numFmtId="0" fontId="29" fillId="0" borderId="0" xfId="34" applyFont="1" applyFill="1" applyBorder="1" applyAlignment="1">
      <alignment horizontal="center"/>
    </xf>
    <xf numFmtId="2" fontId="27" fillId="0" borderId="0" xfId="34" applyNumberFormat="1" applyFont="1" applyBorder="1"/>
    <xf numFmtId="0" fontId="27" fillId="0" borderId="0" xfId="34" applyFont="1" applyBorder="1"/>
    <xf numFmtId="3" fontId="27" fillId="0" borderId="25" xfId="34" applyNumberFormat="1" applyFont="1" applyBorder="1"/>
    <xf numFmtId="3" fontId="27" fillId="0" borderId="0" xfId="34" applyNumberFormat="1" applyFont="1" applyFill="1" applyBorder="1"/>
    <xf numFmtId="0" fontId="28" fillId="0" borderId="16" xfId="34" applyFont="1" applyBorder="1" applyAlignment="1">
      <alignment horizontal="left"/>
    </xf>
    <xf numFmtId="0" fontId="29" fillId="0" borderId="12" xfId="34" applyFont="1" applyFill="1" applyBorder="1" applyAlignment="1">
      <alignment horizontal="center"/>
    </xf>
    <xf numFmtId="2" fontId="27" fillId="0" borderId="13" xfId="34" applyNumberFormat="1" applyFont="1" applyBorder="1"/>
    <xf numFmtId="0" fontId="27" fillId="0" borderId="13" xfId="34" applyFont="1" applyBorder="1"/>
    <xf numFmtId="0" fontId="27" fillId="0" borderId="14" xfId="34" applyFont="1" applyBorder="1"/>
    <xf numFmtId="0" fontId="30" fillId="0" borderId="0" xfId="34" applyFont="1" applyBorder="1"/>
    <xf numFmtId="0" fontId="31" fillId="0" borderId="0" xfId="34" applyFont="1" applyFill="1" applyBorder="1"/>
    <xf numFmtId="0" fontId="27" fillId="0" borderId="19" xfId="34" applyFont="1" applyBorder="1"/>
    <xf numFmtId="0" fontId="27" fillId="0" borderId="18" xfId="34" applyFont="1" applyBorder="1"/>
    <xf numFmtId="0" fontId="27" fillId="0" borderId="18" xfId="34" applyFont="1" applyBorder="1" applyAlignment="1">
      <alignment horizontal="center"/>
    </xf>
    <xf numFmtId="0" fontId="27" fillId="0" borderId="17" xfId="34" applyFont="1" applyBorder="1" applyAlignment="1">
      <alignment horizontal="center"/>
    </xf>
    <xf numFmtId="0" fontId="29" fillId="0" borderId="14" xfId="34" applyFont="1" applyBorder="1" applyAlignment="1"/>
    <xf numFmtId="0" fontId="31" fillId="0" borderId="0" xfId="34" applyFont="1" applyBorder="1"/>
    <xf numFmtId="6" fontId="32" fillId="0" borderId="0" xfId="37" applyNumberFormat="1" applyFont="1" applyFill="1" applyBorder="1" applyAlignment="1">
      <alignment wrapText="1"/>
    </xf>
    <xf numFmtId="2" fontId="33" fillId="0" borderId="0" xfId="34" applyNumberFormat="1" applyFont="1" applyFill="1" applyBorder="1"/>
    <xf numFmtId="42" fontId="31" fillId="0" borderId="25" xfId="34" applyNumberFormat="1" applyFont="1" applyFill="1" applyBorder="1"/>
    <xf numFmtId="42" fontId="31" fillId="0" borderId="0" xfId="34" applyNumberFormat="1" applyFont="1" applyFill="1" applyBorder="1"/>
    <xf numFmtId="0" fontId="27" fillId="0" borderId="19" xfId="34" applyFont="1" applyFill="1" applyBorder="1"/>
    <xf numFmtId="0" fontId="27" fillId="0" borderId="18" xfId="34" applyFont="1" applyFill="1" applyBorder="1"/>
    <xf numFmtId="0" fontId="27" fillId="0" borderId="18" xfId="34" applyFont="1" applyFill="1" applyBorder="1" applyAlignment="1">
      <alignment horizontal="center"/>
    </xf>
    <xf numFmtId="0" fontId="27" fillId="0" borderId="17" xfId="34" applyFont="1" applyFill="1" applyBorder="1" applyAlignment="1">
      <alignment horizontal="center"/>
    </xf>
    <xf numFmtId="6" fontId="32" fillId="0" borderId="0" xfId="37" applyNumberFormat="1" applyFont="1" applyFill="1" applyBorder="1" applyAlignment="1">
      <alignment horizontal="right" wrapText="1"/>
    </xf>
    <xf numFmtId="4" fontId="33" fillId="0" borderId="0" xfId="34" applyNumberFormat="1" applyFont="1" applyFill="1" applyBorder="1"/>
    <xf numFmtId="5" fontId="29" fillId="0" borderId="14" xfId="34" applyNumberFormat="1" applyFont="1" applyFill="1" applyBorder="1" applyAlignment="1"/>
    <xf numFmtId="166" fontId="29" fillId="0" borderId="14" xfId="34" applyNumberFormat="1" applyFont="1" applyBorder="1" applyAlignment="1"/>
    <xf numFmtId="0" fontId="30" fillId="0" borderId="0" xfId="2" applyFont="1" applyFill="1"/>
    <xf numFmtId="166" fontId="29" fillId="0" borderId="14" xfId="34" applyNumberFormat="1" applyFont="1" applyFill="1" applyBorder="1" applyAlignment="1"/>
    <xf numFmtId="0" fontId="27" fillId="0" borderId="9" xfId="34" applyFont="1" applyBorder="1"/>
    <xf numFmtId="0" fontId="27" fillId="0" borderId="20" xfId="34" applyFont="1" applyBorder="1"/>
    <xf numFmtId="0" fontId="27" fillId="0" borderId="20" xfId="34" applyFont="1" applyFill="1" applyBorder="1"/>
    <xf numFmtId="4" fontId="27" fillId="0" borderId="20" xfId="34" applyNumberFormat="1" applyFont="1" applyFill="1" applyBorder="1"/>
    <xf numFmtId="42" fontId="27" fillId="0" borderId="27" xfId="34" applyNumberFormat="1" applyFont="1" applyFill="1" applyBorder="1"/>
    <xf numFmtId="0" fontId="27" fillId="0" borderId="9" xfId="34" applyFont="1" applyFill="1" applyBorder="1"/>
    <xf numFmtId="0" fontId="31" fillId="0" borderId="14" xfId="34" applyFont="1" applyBorder="1"/>
    <xf numFmtId="0" fontId="31" fillId="0" borderId="25" xfId="34" applyFont="1" applyFill="1" applyBorder="1"/>
    <xf numFmtId="0" fontId="31" fillId="0" borderId="14" xfId="34" applyFont="1" applyFill="1" applyBorder="1"/>
    <xf numFmtId="0" fontId="27" fillId="0" borderId="0" xfId="34" applyFont="1" applyFill="1" applyBorder="1"/>
    <xf numFmtId="0" fontId="27" fillId="0" borderId="14" xfId="34" applyFont="1" applyFill="1" applyBorder="1"/>
    <xf numFmtId="10" fontId="34" fillId="0" borderId="0" xfId="34" applyNumberFormat="1" applyFont="1" applyFill="1" applyBorder="1"/>
    <xf numFmtId="44" fontId="27" fillId="0" borderId="20" xfId="34" applyNumberFormat="1" applyFont="1" applyFill="1" applyBorder="1"/>
    <xf numFmtId="42" fontId="27" fillId="0" borderId="0" xfId="34" applyNumberFormat="1" applyFont="1" applyFill="1" applyBorder="1"/>
    <xf numFmtId="169" fontId="31" fillId="0" borderId="0" xfId="34" applyNumberFormat="1" applyFont="1" applyFill="1" applyBorder="1"/>
    <xf numFmtId="167" fontId="31" fillId="0" borderId="0" xfId="34" applyNumberFormat="1" applyFont="1" applyFill="1" applyBorder="1"/>
    <xf numFmtId="5" fontId="31" fillId="0" borderId="25" xfId="34" applyNumberFormat="1" applyFont="1" applyFill="1" applyBorder="1"/>
    <xf numFmtId="0" fontId="31" fillId="0" borderId="26" xfId="34" applyFont="1" applyBorder="1"/>
    <xf numFmtId="0" fontId="31" fillId="0" borderId="6" xfId="34" applyFont="1" applyBorder="1"/>
    <xf numFmtId="169" fontId="31" fillId="0" borderId="6" xfId="34" applyNumberFormat="1" applyFont="1" applyFill="1" applyBorder="1"/>
    <xf numFmtId="167" fontId="31" fillId="0" borderId="6" xfId="34" applyNumberFormat="1" applyFont="1" applyFill="1" applyBorder="1"/>
    <xf numFmtId="5" fontId="31" fillId="0" borderId="28" xfId="34" applyNumberFormat="1" applyFont="1" applyFill="1" applyBorder="1"/>
    <xf numFmtId="0" fontId="31" fillId="0" borderId="26" xfId="34" applyFont="1" applyFill="1" applyBorder="1"/>
    <xf numFmtId="0" fontId="31" fillId="0" borderId="6" xfId="34" applyFont="1" applyFill="1" applyBorder="1"/>
    <xf numFmtId="42" fontId="27" fillId="0" borderId="17" xfId="34" applyNumberFormat="1" applyFont="1" applyFill="1" applyBorder="1"/>
    <xf numFmtId="9" fontId="31" fillId="0" borderId="6" xfId="34" applyNumberFormat="1" applyFont="1" applyFill="1" applyBorder="1"/>
    <xf numFmtId="10" fontId="34" fillId="0" borderId="6" xfId="35" applyNumberFormat="1" applyFont="1" applyFill="1" applyBorder="1"/>
    <xf numFmtId="42" fontId="31" fillId="0" borderId="28" xfId="34" applyNumberFormat="1" applyFont="1" applyFill="1" applyBorder="1"/>
    <xf numFmtId="0" fontId="31" fillId="0" borderId="18" xfId="34" applyFont="1" applyBorder="1"/>
    <xf numFmtId="42" fontId="27" fillId="0" borderId="17" xfId="34" applyNumberFormat="1" applyFont="1" applyBorder="1"/>
    <xf numFmtId="0" fontId="31" fillId="0" borderId="9" xfId="34" applyFont="1" applyBorder="1"/>
    <xf numFmtId="9" fontId="31" fillId="0" borderId="20" xfId="34" applyNumberFormat="1" applyFont="1" applyFill="1" applyBorder="1"/>
    <xf numFmtId="10" fontId="34" fillId="0" borderId="20" xfId="35" applyNumberFormat="1" applyFont="1" applyFill="1" applyBorder="1"/>
    <xf numFmtId="0" fontId="31" fillId="0" borderId="20" xfId="34" applyFont="1" applyBorder="1"/>
    <xf numFmtId="171" fontId="31" fillId="0" borderId="27" xfId="34" applyNumberFormat="1" applyFont="1" applyFill="1" applyBorder="1"/>
    <xf numFmtId="44" fontId="31" fillId="0" borderId="0" xfId="13" applyFont="1" applyFill="1" applyBorder="1"/>
    <xf numFmtId="44" fontId="31" fillId="0" borderId="27" xfId="34" applyNumberFormat="1" applyFont="1" applyFill="1" applyBorder="1"/>
    <xf numFmtId="44" fontId="31" fillId="0" borderId="0" xfId="34" applyNumberFormat="1" applyFont="1" applyFill="1" applyBorder="1"/>
    <xf numFmtId="0" fontId="31" fillId="0" borderId="22" xfId="34" applyFont="1" applyBorder="1"/>
    <xf numFmtId="44" fontId="31" fillId="0" borderId="23" xfId="34" applyNumberFormat="1" applyFont="1" applyFill="1" applyBorder="1"/>
    <xf numFmtId="0" fontId="30" fillId="0" borderId="24" xfId="34" applyFont="1" applyBorder="1"/>
    <xf numFmtId="0" fontId="30" fillId="0" borderId="7" xfId="34" applyFont="1" applyBorder="1"/>
    <xf numFmtId="10" fontId="30" fillId="0" borderId="7" xfId="50" applyNumberFormat="1" applyFont="1" applyBorder="1"/>
    <xf numFmtId="44" fontId="36" fillId="4" borderId="8" xfId="13" applyFont="1" applyFill="1" applyBorder="1"/>
    <xf numFmtId="44" fontId="37" fillId="0" borderId="0" xfId="34" applyNumberFormat="1" applyFont="1" applyFill="1" applyBorder="1"/>
    <xf numFmtId="0" fontId="31" fillId="0" borderId="30" xfId="34" applyFont="1" applyBorder="1"/>
    <xf numFmtId="10" fontId="31" fillId="0" borderId="30" xfId="50" applyNumberFormat="1" applyFont="1" applyBorder="1"/>
    <xf numFmtId="44" fontId="27" fillId="4" borderId="31" xfId="13" applyFont="1" applyFill="1" applyBorder="1"/>
    <xf numFmtId="0" fontId="30" fillId="0" borderId="0" xfId="0" applyFont="1"/>
    <xf numFmtId="44" fontId="29" fillId="0" borderId="0" xfId="36" applyFont="1" applyFill="1" applyBorder="1" applyAlignment="1">
      <alignment horizontal="right"/>
    </xf>
    <xf numFmtId="7" fontId="29" fillId="0" borderId="0" xfId="36" applyNumberFormat="1" applyFont="1" applyFill="1" applyBorder="1" applyAlignment="1"/>
    <xf numFmtId="0" fontId="36" fillId="0" borderId="0" xfId="34" applyFont="1" applyBorder="1" applyAlignment="1">
      <alignment horizontal="right"/>
    </xf>
    <xf numFmtId="10" fontId="36" fillId="0" borderId="0" xfId="1" applyNumberFormat="1" applyFont="1" applyBorder="1"/>
    <xf numFmtId="1" fontId="15" fillId="0" borderId="0" xfId="0" applyNumberFormat="1" applyFont="1"/>
    <xf numFmtId="43" fontId="0" fillId="0" borderId="0" xfId="55" applyFont="1"/>
    <xf numFmtId="43" fontId="15" fillId="0" borderId="0" xfId="0" applyNumberFormat="1" applyFont="1"/>
    <xf numFmtId="44" fontId="15" fillId="0" borderId="0" xfId="0" applyNumberFormat="1" applyFont="1"/>
    <xf numFmtId="172" fontId="15" fillId="0" borderId="0" xfId="0" applyNumberFormat="1" applyFont="1"/>
    <xf numFmtId="7" fontId="15" fillId="0" borderId="0" xfId="0" applyNumberFormat="1" applyFont="1"/>
    <xf numFmtId="0" fontId="38" fillId="0" borderId="13" xfId="34" applyFont="1" applyFill="1" applyBorder="1" applyAlignment="1">
      <alignment horizontal="left"/>
    </xf>
    <xf numFmtId="0" fontId="38" fillId="0" borderId="11" xfId="34" applyFont="1" applyBorder="1" applyAlignment="1">
      <alignment horizontal="center"/>
    </xf>
    <xf numFmtId="3" fontId="27" fillId="0" borderId="13" xfId="34" applyNumberFormat="1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Border="1"/>
    <xf numFmtId="0" fontId="7" fillId="0" borderId="37" xfId="34" applyFont="1" applyBorder="1"/>
    <xf numFmtId="0" fontId="7" fillId="0" borderId="30" xfId="34" applyFont="1" applyBorder="1"/>
    <xf numFmtId="164" fontId="14" fillId="0" borderId="11" xfId="0" applyNumberFormat="1" applyFont="1" applyBorder="1" applyAlignment="1">
      <alignment horizontal="center" vertical="center" wrapText="1"/>
    </xf>
    <xf numFmtId="164" fontId="14" fillId="0" borderId="32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28" fillId="0" borderId="11" xfId="34" applyFont="1" applyBorder="1" applyAlignment="1">
      <alignment horizontal="left"/>
    </xf>
    <xf numFmtId="2" fontId="27" fillId="0" borderId="12" xfId="34" applyNumberFormat="1" applyFont="1" applyBorder="1"/>
    <xf numFmtId="0" fontId="27" fillId="0" borderId="12" xfId="34" applyFont="1" applyBorder="1"/>
    <xf numFmtId="0" fontId="14" fillId="0" borderId="16" xfId="0" applyFont="1" applyBorder="1" applyAlignment="1">
      <alignment vertical="top"/>
    </xf>
    <xf numFmtId="0" fontId="39" fillId="0" borderId="0" xfId="0" applyFont="1"/>
    <xf numFmtId="0" fontId="40" fillId="0" borderId="0" xfId="60"/>
    <xf numFmtId="0" fontId="3" fillId="0" borderId="0" xfId="60" applyFont="1"/>
    <xf numFmtId="0" fontId="4" fillId="9" borderId="0" xfId="43" applyFont="1" applyFill="1"/>
    <xf numFmtId="0" fontId="43" fillId="9" borderId="0" xfId="43" applyFont="1" applyFill="1"/>
    <xf numFmtId="0" fontId="43" fillId="10" borderId="0" xfId="43" applyFont="1" applyFill="1"/>
    <xf numFmtId="0" fontId="43" fillId="11" borderId="0" xfId="43" applyFont="1" applyFill="1"/>
    <xf numFmtId="0" fontId="43" fillId="12" borderId="0" xfId="43" applyFont="1" applyFill="1"/>
    <xf numFmtId="0" fontId="43" fillId="13" borderId="0" xfId="43" applyFont="1" applyFill="1"/>
    <xf numFmtId="0" fontId="43" fillId="14" borderId="0" xfId="43" applyFont="1" applyFill="1"/>
    <xf numFmtId="14" fontId="3" fillId="0" borderId="0" xfId="60" applyNumberFormat="1" applyFont="1"/>
    <xf numFmtId="173" fontId="40" fillId="0" borderId="0" xfId="60" applyNumberFormat="1"/>
    <xf numFmtId="0" fontId="3" fillId="4" borderId="0" xfId="60" applyFont="1" applyFill="1"/>
    <xf numFmtId="173" fontId="40" fillId="4" borderId="0" xfId="60" applyNumberFormat="1" applyFill="1"/>
    <xf numFmtId="0" fontId="40" fillId="4" borderId="0" xfId="60" applyFill="1"/>
    <xf numFmtId="2" fontId="40" fillId="0" borderId="0" xfId="60" applyNumberFormat="1"/>
    <xf numFmtId="0" fontId="3" fillId="0" borderId="0" xfId="23" applyFont="1"/>
    <xf numFmtId="0" fontId="4" fillId="0" borderId="0" xfId="23"/>
    <xf numFmtId="0" fontId="14" fillId="0" borderId="0" xfId="23" applyFont="1"/>
    <xf numFmtId="0" fontId="44" fillId="0" borderId="0" xfId="23" applyFont="1"/>
    <xf numFmtId="0" fontId="4" fillId="0" borderId="38" xfId="23" applyBorder="1"/>
    <xf numFmtId="0" fontId="4" fillId="0" borderId="22" xfId="23" applyBorder="1"/>
    <xf numFmtId="0" fontId="4" fillId="0" borderId="39" xfId="23" applyBorder="1"/>
    <xf numFmtId="0" fontId="4" fillId="0" borderId="40" xfId="23" applyBorder="1"/>
    <xf numFmtId="0" fontId="4" fillId="0" borderId="0" xfId="23" applyBorder="1" applyAlignment="1">
      <alignment horizontal="right"/>
    </xf>
    <xf numFmtId="0" fontId="4" fillId="0" borderId="0" xfId="23" applyBorder="1"/>
    <xf numFmtId="0" fontId="4" fillId="0" borderId="41" xfId="23" applyBorder="1"/>
    <xf numFmtId="0" fontId="45" fillId="0" borderId="41" xfId="23" applyFont="1" applyBorder="1" applyAlignment="1">
      <alignment horizontal="center"/>
    </xf>
    <xf numFmtId="173" fontId="4" fillId="0" borderId="41" xfId="23" applyNumberFormat="1" applyBorder="1" applyAlignment="1">
      <alignment horizontal="center"/>
    </xf>
    <xf numFmtId="0" fontId="4" fillId="0" borderId="41" xfId="23" applyBorder="1" applyAlignment="1">
      <alignment horizontal="center"/>
    </xf>
    <xf numFmtId="173" fontId="40" fillId="0" borderId="0" xfId="60" applyNumberFormat="1" applyFill="1"/>
    <xf numFmtId="0" fontId="3" fillId="4" borderId="0" xfId="23" applyFont="1" applyFill="1" applyBorder="1" applyAlignment="1">
      <alignment horizontal="right"/>
    </xf>
    <xf numFmtId="10" fontId="3" fillId="4" borderId="41" xfId="5" applyNumberFormat="1" applyFont="1" applyFill="1" applyBorder="1" applyAlignment="1">
      <alignment horizontal="center"/>
    </xf>
    <xf numFmtId="0" fontId="4" fillId="0" borderId="42" xfId="23" applyBorder="1"/>
    <xf numFmtId="0" fontId="4" fillId="0" borderId="18" xfId="23" applyBorder="1"/>
    <xf numFmtId="0" fontId="4" fillId="0" borderId="43" xfId="23" applyBorder="1"/>
    <xf numFmtId="14" fontId="3" fillId="0" borderId="0" xfId="19" applyNumberFormat="1" applyFont="1"/>
    <xf numFmtId="173" fontId="4" fillId="0" borderId="0" xfId="23" applyNumberFormat="1" applyBorder="1"/>
    <xf numFmtId="10" fontId="15" fillId="0" borderId="12" xfId="50" applyNumberFormat="1" applyFont="1" applyFill="1" applyBorder="1"/>
    <xf numFmtId="10" fontId="35" fillId="0" borderId="20" xfId="35" applyNumberFormat="1" applyFont="1" applyFill="1" applyBorder="1"/>
    <xf numFmtId="10" fontId="31" fillId="0" borderId="22" xfId="50" applyNumberFormat="1" applyFont="1" applyFill="1" applyBorder="1"/>
    <xf numFmtId="10" fontId="7" fillId="0" borderId="30" xfId="50" applyNumberFormat="1" applyFont="1" applyFill="1" applyBorder="1"/>
    <xf numFmtId="10" fontId="4" fillId="0" borderId="20" xfId="35" applyNumberFormat="1" applyFont="1" applyFill="1" applyBorder="1"/>
    <xf numFmtId="10" fontId="15" fillId="0" borderId="18" xfId="50" applyNumberFormat="1" applyFont="1" applyFill="1" applyBorder="1"/>
    <xf numFmtId="10" fontId="7" fillId="0" borderId="12" xfId="50" applyNumberFormat="1" applyFont="1" applyFill="1" applyBorder="1"/>
    <xf numFmtId="10" fontId="15" fillId="0" borderId="12" xfId="51" applyNumberFormat="1" applyFont="1" applyFill="1" applyBorder="1"/>
    <xf numFmtId="10" fontId="7" fillId="0" borderId="12" xfId="51" applyNumberFormat="1" applyFont="1" applyFill="1" applyBorder="1"/>
    <xf numFmtId="2" fontId="15" fillId="0" borderId="0" xfId="0" applyNumberFormat="1" applyFont="1" applyFill="1" applyBorder="1"/>
    <xf numFmtId="44" fontId="7" fillId="0" borderId="8" xfId="13" applyNumberFormat="1" applyFont="1" applyFill="1" applyBorder="1" applyAlignment="1">
      <alignment horizontal="right"/>
    </xf>
    <xf numFmtId="2" fontId="18" fillId="0" borderId="0" xfId="34" applyNumberFormat="1" applyFont="1" applyFill="1" applyBorder="1"/>
    <xf numFmtId="4" fontId="13" fillId="0" borderId="20" xfId="34" applyNumberFormat="1" applyFont="1" applyFill="1" applyBorder="1"/>
    <xf numFmtId="0" fontId="29" fillId="0" borderId="14" xfId="34" applyFont="1" applyFill="1" applyBorder="1" applyAlignment="1"/>
    <xf numFmtId="44" fontId="7" fillId="0" borderId="31" xfId="34" applyNumberFormat="1" applyFont="1" applyFill="1" applyBorder="1"/>
    <xf numFmtId="167" fontId="16" fillId="0" borderId="13" xfId="34" applyNumberFormat="1" applyFont="1" applyFill="1" applyBorder="1"/>
    <xf numFmtId="44" fontId="13" fillId="4" borderId="13" xfId="51" applyNumberFormat="1" applyFont="1" applyFill="1" applyBorder="1"/>
    <xf numFmtId="44" fontId="13" fillId="4" borderId="8" xfId="36" applyFont="1" applyFill="1" applyBorder="1"/>
    <xf numFmtId="10" fontId="6" fillId="0" borderId="0" xfId="1" applyNumberFormat="1" applyFont="1" applyFill="1" applyBorder="1" applyAlignment="1">
      <alignment horizontal="right"/>
    </xf>
    <xf numFmtId="0" fontId="47" fillId="0" borderId="14" xfId="34" applyFont="1" applyBorder="1" applyAlignment="1"/>
    <xf numFmtId="0" fontId="51" fillId="0" borderId="14" xfId="34" applyFont="1" applyBorder="1" applyAlignment="1"/>
    <xf numFmtId="0" fontId="51" fillId="0" borderId="0" xfId="34" applyFont="1" applyFill="1" applyBorder="1" applyAlignment="1">
      <alignment horizontal="center"/>
    </xf>
    <xf numFmtId="0" fontId="52" fillId="0" borderId="0" xfId="34" applyFont="1" applyBorder="1" applyAlignment="1">
      <alignment horizontal="center"/>
    </xf>
    <xf numFmtId="0" fontId="52" fillId="0" borderId="0" xfId="34" applyFont="1" applyBorder="1"/>
    <xf numFmtId="0" fontId="47" fillId="0" borderId="14" xfId="34" applyFont="1" applyFill="1" applyBorder="1" applyAlignment="1"/>
    <xf numFmtId="43" fontId="51" fillId="0" borderId="0" xfId="55" applyFont="1" applyBorder="1" applyAlignment="1">
      <alignment horizontal="center"/>
    </xf>
    <xf numFmtId="166" fontId="47" fillId="0" borderId="14" xfId="37" applyNumberFormat="1" applyFont="1" applyFill="1" applyBorder="1" applyAlignment="1">
      <alignment wrapText="1"/>
    </xf>
    <xf numFmtId="0" fontId="52" fillId="0" borderId="0" xfId="34" applyFont="1" applyFill="1" applyBorder="1"/>
    <xf numFmtId="0" fontId="52" fillId="0" borderId="25" xfId="34" applyFont="1" applyFill="1" applyBorder="1"/>
    <xf numFmtId="44" fontId="56" fillId="0" borderId="25" xfId="36" applyNumberFormat="1" applyFont="1" applyFill="1" applyBorder="1"/>
    <xf numFmtId="0" fontId="52" fillId="0" borderId="8" xfId="34" applyFont="1" applyFill="1" applyBorder="1"/>
    <xf numFmtId="0" fontId="50" fillId="0" borderId="0" xfId="0" applyFont="1" applyBorder="1"/>
    <xf numFmtId="164" fontId="29" fillId="0" borderId="0" xfId="34" applyNumberFormat="1" applyFont="1" applyBorder="1" applyAlignment="1">
      <alignment horizontal="center"/>
    </xf>
    <xf numFmtId="0" fontId="48" fillId="0" borderId="0" xfId="34" applyFont="1" applyFill="1" applyBorder="1" applyAlignment="1"/>
    <xf numFmtId="1" fontId="49" fillId="0" borderId="0" xfId="34" applyNumberFormat="1" applyFont="1" applyFill="1" applyBorder="1" applyAlignment="1">
      <alignment horizontal="right"/>
    </xf>
    <xf numFmtId="43" fontId="51" fillId="0" borderId="0" xfId="55" applyFont="1" applyFill="1" applyBorder="1" applyAlignment="1">
      <alignment horizontal="center"/>
    </xf>
    <xf numFmtId="0" fontId="47" fillId="0" borderId="25" xfId="34" applyFont="1" applyBorder="1" applyAlignment="1">
      <alignment horizontal="left"/>
    </xf>
    <xf numFmtId="0" fontId="51" fillId="0" borderId="25" xfId="34" applyFont="1" applyBorder="1" applyAlignment="1">
      <alignment horizontal="left"/>
    </xf>
    <xf numFmtId="0" fontId="51" fillId="0" borderId="25" xfId="34" applyFont="1" applyFill="1" applyBorder="1" applyAlignment="1">
      <alignment horizontal="left"/>
    </xf>
    <xf numFmtId="170" fontId="51" fillId="0" borderId="25" xfId="34" applyNumberFormat="1" applyFont="1" applyFill="1" applyBorder="1" applyAlignment="1">
      <alignment horizontal="left"/>
    </xf>
    <xf numFmtId="0" fontId="47" fillId="0" borderId="12" xfId="34" applyFont="1" applyBorder="1" applyAlignment="1">
      <alignment horizontal="center"/>
    </xf>
    <xf numFmtId="0" fontId="47" fillId="0" borderId="13" xfId="34" applyFont="1" applyBorder="1" applyAlignment="1">
      <alignment horizontal="center"/>
    </xf>
    <xf numFmtId="0" fontId="47" fillId="0" borderId="0" xfId="34" applyFont="1" applyFill="1" applyBorder="1" applyAlignment="1">
      <alignment horizontal="center"/>
    </xf>
    <xf numFmtId="0" fontId="47" fillId="0" borderId="24" xfId="34" applyFont="1" applyFill="1" applyBorder="1"/>
    <xf numFmtId="0" fontId="47" fillId="0" borderId="14" xfId="34" applyFont="1" applyFill="1" applyBorder="1"/>
    <xf numFmtId="0" fontId="0" fillId="0" borderId="13" xfId="0" applyBorder="1" applyAlignment="1">
      <alignment horizontal="center"/>
    </xf>
    <xf numFmtId="0" fontId="58" fillId="0" borderId="11" xfId="0" applyFont="1" applyBorder="1"/>
    <xf numFmtId="10" fontId="58" fillId="0" borderId="16" xfId="0" applyNumberFormat="1" applyFont="1" applyBorder="1" applyAlignment="1">
      <alignment horizontal="center"/>
    </xf>
    <xf numFmtId="9" fontId="59" fillId="0" borderId="8" xfId="34" applyNumberFormat="1" applyFont="1" applyFill="1" applyBorder="1" applyAlignment="1">
      <alignment horizontal="left" wrapText="1"/>
    </xf>
    <xf numFmtId="0" fontId="47" fillId="0" borderId="2" xfId="34" applyFont="1" applyBorder="1" applyAlignment="1">
      <alignment horizontal="left"/>
    </xf>
    <xf numFmtId="166" fontId="47" fillId="3" borderId="24" xfId="37" applyNumberFormat="1" applyFont="1" applyFill="1" applyBorder="1" applyAlignment="1">
      <alignment wrapText="1"/>
    </xf>
    <xf numFmtId="164" fontId="57" fillId="0" borderId="25" xfId="0" applyNumberFormat="1" applyFont="1" applyBorder="1" applyAlignment="1">
      <alignment horizontal="center" vertical="center"/>
    </xf>
    <xf numFmtId="169" fontId="51" fillId="0" borderId="25" xfId="34" applyNumberFormat="1" applyFont="1" applyBorder="1" applyAlignment="1">
      <alignment horizontal="center"/>
    </xf>
    <xf numFmtId="5" fontId="51" fillId="0" borderId="41" xfId="34" applyNumberFormat="1" applyFont="1" applyFill="1" applyBorder="1" applyAlignment="1">
      <alignment horizontal="center"/>
    </xf>
    <xf numFmtId="5" fontId="51" fillId="0" borderId="45" xfId="33" applyNumberFormat="1" applyFont="1" applyFill="1" applyBorder="1" applyAlignment="1">
      <alignment horizontal="center"/>
    </xf>
    <xf numFmtId="169" fontId="51" fillId="0" borderId="41" xfId="34" applyNumberFormat="1" applyFont="1" applyFill="1" applyBorder="1" applyAlignment="1">
      <alignment horizontal="center"/>
    </xf>
    <xf numFmtId="169" fontId="51" fillId="0" borderId="41" xfId="36" applyNumberFormat="1" applyFont="1" applyFill="1" applyBorder="1" applyAlignment="1">
      <alignment horizontal="center"/>
    </xf>
    <xf numFmtId="10" fontId="51" fillId="0" borderId="41" xfId="35" applyNumberFormat="1" applyFont="1" applyFill="1" applyBorder="1" applyAlignment="1">
      <alignment horizontal="center"/>
    </xf>
    <xf numFmtId="10" fontId="51" fillId="0" borderId="45" xfId="1" applyNumberFormat="1" applyFont="1" applyFill="1" applyBorder="1" applyAlignment="1">
      <alignment horizontal="center"/>
    </xf>
    <xf numFmtId="44" fontId="51" fillId="0" borderId="25" xfId="36" applyNumberFormat="1" applyFont="1" applyFill="1" applyBorder="1" applyAlignment="1">
      <alignment horizontal="center"/>
    </xf>
    <xf numFmtId="0" fontId="47" fillId="0" borderId="13" xfId="34" applyFont="1" applyFill="1" applyBorder="1" applyAlignment="1">
      <alignment horizontal="center"/>
    </xf>
    <xf numFmtId="0" fontId="55" fillId="0" borderId="13" xfId="34" applyFont="1" applyBorder="1" applyAlignment="1">
      <alignment horizontal="center"/>
    </xf>
    <xf numFmtId="0" fontId="47" fillId="0" borderId="11" xfId="34" applyFont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5" fontId="51" fillId="0" borderId="44" xfId="34" applyNumberFormat="1" applyFont="1" applyFill="1" applyBorder="1" applyAlignment="1">
      <alignment horizontal="center"/>
    </xf>
    <xf numFmtId="169" fontId="51" fillId="0" borderId="25" xfId="34" applyNumberFormat="1" applyFont="1" applyBorder="1" applyAlignment="1">
      <alignment horizontal="center" wrapText="1"/>
    </xf>
    <xf numFmtId="0" fontId="58" fillId="0" borderId="14" xfId="37" applyFont="1" applyFill="1" applyBorder="1"/>
    <xf numFmtId="0" fontId="48" fillId="0" borderId="0" xfId="34" applyFont="1" applyFill="1" applyBorder="1" applyAlignment="1">
      <alignment horizontal="center"/>
    </xf>
    <xf numFmtId="0" fontId="6" fillId="0" borderId="0" xfId="34" applyFont="1" applyFill="1" applyBorder="1" applyAlignment="1">
      <alignment horizontal="right"/>
    </xf>
    <xf numFmtId="0" fontId="46" fillId="4" borderId="11" xfId="0" applyFont="1" applyFill="1" applyBorder="1" applyAlignment="1">
      <alignment horizontal="center"/>
    </xf>
    <xf numFmtId="0" fontId="46" fillId="4" borderId="12" xfId="0" applyFont="1" applyFill="1" applyBorder="1" applyAlignment="1">
      <alignment horizontal="center"/>
    </xf>
    <xf numFmtId="0" fontId="46" fillId="4" borderId="13" xfId="0" applyFont="1" applyFill="1" applyBorder="1" applyAlignment="1">
      <alignment horizontal="center"/>
    </xf>
    <xf numFmtId="0" fontId="53" fillId="0" borderId="11" xfId="34" applyFont="1" applyBorder="1" applyAlignment="1">
      <alignment horizontal="center"/>
    </xf>
    <xf numFmtId="0" fontId="0" fillId="0" borderId="12" xfId="0" applyBorder="1" applyAlignment="1"/>
    <xf numFmtId="0" fontId="53" fillId="0" borderId="11" xfId="34" applyFont="1" applyFill="1" applyBorder="1" applyAlignment="1">
      <alignment horizontal="center"/>
    </xf>
    <xf numFmtId="0" fontId="13" fillId="6" borderId="11" xfId="34" applyFont="1" applyFill="1" applyBorder="1" applyAlignment="1">
      <alignment horizontal="center"/>
    </xf>
    <xf numFmtId="0" fontId="13" fillId="6" borderId="12" xfId="34" applyFont="1" applyFill="1" applyBorder="1" applyAlignment="1">
      <alignment horizontal="center"/>
    </xf>
    <xf numFmtId="0" fontId="13" fillId="6" borderId="13" xfId="34" applyFont="1" applyFill="1" applyBorder="1" applyAlignment="1">
      <alignment horizontal="center"/>
    </xf>
    <xf numFmtId="0" fontId="27" fillId="6" borderId="2" xfId="34" applyFont="1" applyFill="1" applyBorder="1" applyAlignment="1">
      <alignment horizontal="center"/>
    </xf>
    <xf numFmtId="0" fontId="27" fillId="6" borderId="3" xfId="34" applyFont="1" applyFill="1" applyBorder="1" applyAlignment="1">
      <alignment horizontal="center"/>
    </xf>
    <xf numFmtId="0" fontId="27" fillId="6" borderId="12" xfId="34" applyFont="1" applyFill="1" applyBorder="1" applyAlignment="1">
      <alignment horizontal="center"/>
    </xf>
    <xf numFmtId="0" fontId="27" fillId="6" borderId="13" xfId="34" applyFont="1" applyFill="1" applyBorder="1" applyAlignment="1">
      <alignment horizontal="center"/>
    </xf>
    <xf numFmtId="0" fontId="27" fillId="6" borderId="11" xfId="34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42" fontId="7" fillId="0" borderId="0" xfId="34" applyNumberFormat="1" applyFont="1" applyFill="1" applyBorder="1" applyAlignment="1">
      <alignment horizontal="left" wrapText="1"/>
    </xf>
    <xf numFmtId="0" fontId="13" fillId="6" borderId="2" xfId="34" applyFont="1" applyFill="1" applyBorder="1" applyAlignment="1">
      <alignment horizontal="center"/>
    </xf>
    <xf numFmtId="0" fontId="13" fillId="6" borderId="3" xfId="34" applyFont="1" applyFill="1" applyBorder="1" applyAlignment="1">
      <alignment horizontal="center"/>
    </xf>
    <xf numFmtId="0" fontId="13" fillId="6" borderId="4" xfId="34" applyFont="1" applyFill="1" applyBorder="1" applyAlignment="1">
      <alignment horizontal="center"/>
    </xf>
    <xf numFmtId="164" fontId="4" fillId="3" borderId="15" xfId="2" applyNumberFormat="1" applyFont="1" applyFill="1" applyBorder="1" applyAlignment="1">
      <alignment horizontal="center" wrapText="1"/>
    </xf>
    <xf numFmtId="164" fontId="4" fillId="3" borderId="10" xfId="2" applyNumberFormat="1" applyFont="1" applyFill="1" applyBorder="1" applyAlignment="1">
      <alignment horizontal="center" wrapText="1"/>
    </xf>
    <xf numFmtId="164" fontId="4" fillId="0" borderId="9" xfId="2" applyNumberFormat="1" applyFont="1" applyBorder="1" applyAlignment="1">
      <alignment horizontal="left" wrapText="1"/>
    </xf>
    <xf numFmtId="164" fontId="4" fillId="0" borderId="20" xfId="2" applyNumberFormat="1" applyFont="1" applyBorder="1" applyAlignment="1">
      <alignment horizontal="left" wrapText="1"/>
    </xf>
    <xf numFmtId="0" fontId="13" fillId="6" borderId="11" xfId="51" applyFont="1" applyFill="1" applyBorder="1" applyAlignment="1">
      <alignment horizontal="center"/>
    </xf>
    <xf numFmtId="0" fontId="13" fillId="6" borderId="12" xfId="51" applyFont="1" applyFill="1" applyBorder="1" applyAlignment="1">
      <alignment horizontal="center"/>
    </xf>
    <xf numFmtId="0" fontId="13" fillId="6" borderId="13" xfId="51" applyFont="1" applyFill="1" applyBorder="1" applyAlignment="1">
      <alignment horizontal="center"/>
    </xf>
    <xf numFmtId="0" fontId="13" fillId="6" borderId="2" xfId="51" applyFont="1" applyFill="1" applyBorder="1" applyAlignment="1">
      <alignment horizontal="center"/>
    </xf>
    <xf numFmtId="0" fontId="13" fillId="6" borderId="3" xfId="51" applyFont="1" applyFill="1" applyBorder="1" applyAlignment="1">
      <alignment horizontal="center"/>
    </xf>
    <xf numFmtId="0" fontId="41" fillId="8" borderId="3" xfId="60" applyFont="1" applyFill="1" applyBorder="1" applyAlignment="1">
      <alignment horizontal="left"/>
    </xf>
    <xf numFmtId="0" fontId="41" fillId="8" borderId="4" xfId="60" applyFont="1" applyFill="1" applyBorder="1" applyAlignment="1">
      <alignment horizontal="left"/>
    </xf>
    <xf numFmtId="0" fontId="42" fillId="8" borderId="0" xfId="60" applyFont="1" applyFill="1" applyBorder="1" applyAlignment="1">
      <alignment horizontal="left"/>
    </xf>
    <xf numFmtId="0" fontId="42" fillId="8" borderId="25" xfId="60" applyFont="1" applyFill="1" applyBorder="1" applyAlignment="1">
      <alignment horizontal="left"/>
    </xf>
    <xf numFmtId="0" fontId="9" fillId="8" borderId="7" xfId="60" applyFont="1" applyFill="1" applyBorder="1" applyAlignment="1">
      <alignment horizontal="left"/>
    </xf>
    <xf numFmtId="0" fontId="9" fillId="8" borderId="8" xfId="60" applyFont="1" applyFill="1" applyBorder="1" applyAlignment="1">
      <alignment horizontal="left"/>
    </xf>
  </cellXfs>
  <cellStyles count="61">
    <cellStyle name="Comma" xfId="55" builtinId="3"/>
    <cellStyle name="Comma 2" xfId="3"/>
    <cellStyle name="Comma 3" xfId="6"/>
    <cellStyle name="Comma 3 2" xfId="7"/>
    <cellStyle name="Comma 3 3" xfId="8"/>
    <cellStyle name="Comma 4" xfId="9"/>
    <cellStyle name="Comma 5" xfId="10"/>
    <cellStyle name="Comma 6" xfId="11"/>
    <cellStyle name="Currency 2" xfId="12"/>
    <cellStyle name="Currency 2 2" xfId="13"/>
    <cellStyle name="Currency 3" xfId="14"/>
    <cellStyle name="Currency 3 2" xfId="15"/>
    <cellStyle name="Currency 4" xfId="16"/>
    <cellStyle name="Currency 4 2" xfId="17"/>
    <cellStyle name="Currency 5" xfId="4"/>
    <cellStyle name="Currency 5 2" xfId="18"/>
    <cellStyle name="Currency 5 3" xfId="36"/>
    <cellStyle name="Currency 5 3 2" xfId="53"/>
    <cellStyle name="Currency 6" xfId="38"/>
    <cellStyle name="Currency 7" xfId="39"/>
    <cellStyle name="Currency 8" xfId="33"/>
    <cellStyle name="Normal" xfId="0" builtinId="0"/>
    <cellStyle name="Normal 10" xfId="2"/>
    <cellStyle name="Normal 11" xfId="60"/>
    <cellStyle name="Normal 2" xfId="19"/>
    <cellStyle name="Normal 2 2" xfId="20"/>
    <cellStyle name="Normal 2 2 2" xfId="40"/>
    <cellStyle name="Normal 2 3" xfId="41"/>
    <cellStyle name="Normal 2 4" xfId="59"/>
    <cellStyle name="Normal 3" xfId="21"/>
    <cellStyle name="Normal 3 2" xfId="22"/>
    <cellStyle name="Normal 4" xfId="23"/>
    <cellStyle name="Normal 4 2" xfId="24"/>
    <cellStyle name="Normal 4 2 2" xfId="34"/>
    <cellStyle name="Normal 4 2 2 2" xfId="51"/>
    <cellStyle name="Normal 5" xfId="25"/>
    <cellStyle name="Normal 5 2" xfId="42"/>
    <cellStyle name="Normal 6" xfId="26"/>
    <cellStyle name="Normal 6 2" xfId="43"/>
    <cellStyle name="Normal 6 3" xfId="56"/>
    <cellStyle name="Normal 7" xfId="27"/>
    <cellStyle name="Normal 7 2" xfId="44"/>
    <cellStyle name="Normal 8" xfId="28"/>
    <cellStyle name="Normal 8 2" xfId="45"/>
    <cellStyle name="Normal 8 3" xfId="57"/>
    <cellStyle name="Normal 9" xfId="32"/>
    <cellStyle name="Normal 9 2" xfId="37"/>
    <cellStyle name="Normal 9 2 2" xfId="54"/>
    <cellStyle name="Normal 9 3" xfId="58"/>
    <cellStyle name="Note 2" xfId="46"/>
    <cellStyle name="Percent" xfId="1" builtinId="5"/>
    <cellStyle name="Percent 2" xfId="5"/>
    <cellStyle name="Percent 2 2" xfId="47"/>
    <cellStyle name="Percent 3" xfId="29"/>
    <cellStyle name="Percent 4" xfId="30"/>
    <cellStyle name="Percent 4 2" xfId="48"/>
    <cellStyle name="Percent 5" xfId="31"/>
    <cellStyle name="Percent 5 2" xfId="35"/>
    <cellStyle name="Percent 5 2 2" xfId="52"/>
    <cellStyle name="Percent 6" xfId="49"/>
    <cellStyle name="Percent 7" xfId="50"/>
  </cellStyles>
  <dxfs count="0"/>
  <tableStyles count="0" defaultTableStyle="TableStyleMedium2" defaultPivotStyle="PivotStyleLight16"/>
  <colors>
    <mruColors>
      <color rgb="FF0066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</xdr:row>
      <xdr:rowOff>60960</xdr:rowOff>
    </xdr:from>
    <xdr:ext cx="3636958" cy="781240"/>
    <xdr:sp macro="" textlink="">
      <xdr:nvSpPr>
        <xdr:cNvPr id="2" name="TextBox 1"/>
        <xdr:cNvSpPr txBox="1"/>
      </xdr:nvSpPr>
      <xdr:spPr>
        <a:xfrm>
          <a:off x="624840" y="4130040"/>
          <a:ext cx="3636958" cy="78124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2018 updates: </a:t>
          </a:r>
        </a:p>
        <a:p>
          <a:r>
            <a:rPr lang="en-US" sz="1100"/>
            <a:t>1) Rebase of prior expenses</a:t>
          </a:r>
          <a:r>
            <a:rPr lang="en-US" sz="1100" baseline="0"/>
            <a:t> </a:t>
          </a:r>
          <a:r>
            <a:rPr lang="en-US" sz="1100"/>
            <a:t>with CAF's (2.05% and 2.76%).</a:t>
          </a:r>
        </a:p>
        <a:p>
          <a:r>
            <a:rPr lang="en-US" sz="1100"/>
            <a:t>2)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Benchmarked Direct Care Non-MA Lvl to PACT @ $38,608</a:t>
          </a:r>
          <a:endParaRPr lang="en-US">
            <a:effectLst/>
          </a:endParaRPr>
        </a:p>
        <a:p>
          <a:r>
            <a:rPr lang="en-US" sz="1100"/>
            <a:t>3) Benchmarked Support Staff to $31,200 ($15/hr)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569118</xdr:colOff>
      <xdr:row>28</xdr:row>
      <xdr:rowOff>0</xdr:rowOff>
    </xdr:from>
    <xdr:to>
      <xdr:col>7</xdr:col>
      <xdr:colOff>571500</xdr:colOff>
      <xdr:row>38</xdr:row>
      <xdr:rowOff>9525</xdr:rowOff>
    </xdr:to>
    <xdr:sp macro="" textlink="">
      <xdr:nvSpPr>
        <xdr:cNvPr id="3" name="TextBox 2"/>
        <xdr:cNvSpPr txBox="1"/>
      </xdr:nvSpPr>
      <xdr:spPr>
        <a:xfrm>
          <a:off x="569118" y="4924425"/>
          <a:ext cx="6727032" cy="18288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</a:t>
          </a:r>
          <a:endParaRPr lang="en-US" sz="1400">
            <a:effectLst/>
          </a:endParaRPr>
        </a:p>
        <a:p>
          <a:pPr eaLnBrk="1" fontAlgn="auto" latinLnBrk="0" hangingPunct="1"/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</a:t>
          </a:r>
          <a:r>
            <a:rPr lang="en-US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Tax, Fringe and Admin are standard across all models.</a:t>
          </a:r>
        </a:p>
        <a:p>
          <a:pPr eaLnBrk="1" fontAlgn="auto" latinLnBrk="0" hangingPunct="1"/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</a:t>
          </a:r>
          <a:r>
            <a:rPr lang="en-US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</a:t>
          </a:r>
          <a:r>
            <a:rPr lang="en-US" sz="1000" b="0" i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ravel </a:t>
          </a:r>
          <a:r>
            <a:rPr lang="en-US" sz="10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was </a:t>
          </a:r>
          <a:r>
            <a:rPr lang="en-US" sz="1000" b="0" i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broken out of other program</a:t>
          </a:r>
          <a:r>
            <a:rPr lang="en-US" sz="10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expense and calculated by assuming travel at  5 days for 45 weeks at a rate of  0.45 cents per mile and a total mileage of 50 miles per day. Travel is assumed for the Clinician and Direct Care staff only.  plus applicable cafs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 eaLnBrk="1" fontAlgn="auto" latinLnBrk="0" hangingPunct="1"/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Tax,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fringe</a:t>
          </a:r>
          <a:r>
            <a:rPr lang="en-US" sz="1000" b="1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and Admin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are standard across all 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models. 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 eaLnBrk="1" fontAlgn="auto" latinLnBrk="0" hangingPunct="1"/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roductivity standard  of  1,394 calculated by  taking the standard 2080 and backing out 687 of non -direct service hours made up of:  3 wks vacation, 2 wks sick &amp; personal, 10 days holiday time, 3 days training, 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5 hrs/wk travel, 1 hrs/every other wk supervision 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and  3 hrs/wk administrative paperwork . 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7</xdr:col>
      <xdr:colOff>1325003</xdr:colOff>
      <xdr:row>28</xdr:row>
      <xdr:rowOff>66675</xdr:rowOff>
    </xdr:from>
    <xdr:ext cx="4113769" cy="1543050"/>
    <xdr:sp macro="" textlink="">
      <xdr:nvSpPr>
        <xdr:cNvPr id="2" name="TextBox 1"/>
        <xdr:cNvSpPr txBox="1"/>
      </xdr:nvSpPr>
      <xdr:spPr>
        <a:xfrm rot="10800000" flipV="1">
          <a:off x="8049653" y="4991100"/>
          <a:ext cx="4113769" cy="154305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2018 updates: </a:t>
          </a:r>
        </a:p>
        <a:p>
          <a:r>
            <a:rPr lang="en-US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 Rebase of prior expenses with CAF's (2.05% and 2.76%).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2) Program Manager benchmarked to $65K 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3) Increased MA Level Clinician FTE from .04 to .05 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4) Benchmarked MA Level Clincian to $60K</a:t>
          </a:r>
          <a:r>
            <a:rPr lang="en-US"/>
            <a:t> </a:t>
          </a:r>
        </a:p>
        <a:p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5) Benchmarked Support Staff to $31,200</a:t>
          </a:r>
          <a:r>
            <a:rPr lang="en-US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22514</xdr:colOff>
      <xdr:row>24</xdr:row>
      <xdr:rowOff>145129</xdr:rowOff>
    </xdr:from>
    <xdr:ext cx="4649931" cy="1309600"/>
    <xdr:sp macro="" textlink="">
      <xdr:nvSpPr>
        <xdr:cNvPr id="3" name="TextBox 2"/>
        <xdr:cNvSpPr txBox="1"/>
      </xdr:nvSpPr>
      <xdr:spPr>
        <a:xfrm>
          <a:off x="645969" y="4065965"/>
          <a:ext cx="4649931" cy="1309600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latin typeface="+mn-lt"/>
            </a:rPr>
            <a:t>2018 Updates: </a:t>
          </a:r>
        </a:p>
        <a:p>
          <a:r>
            <a:rPr 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 Rebase of prior expenses with CAF's (2.05% and 2.76%).</a:t>
          </a:r>
          <a:r>
            <a:rPr lang="en-US" sz="1000">
              <a:latin typeface="+mn-lt"/>
            </a:rPr>
            <a:t> </a:t>
          </a:r>
        </a:p>
        <a:p>
          <a:r>
            <a:rPr 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2) Program Manager benchmarked to $65K in all models (purchaser recommendation)</a:t>
          </a:r>
          <a:r>
            <a:rPr lang="en-US" sz="10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except Methadone Dosing.</a:t>
          </a:r>
          <a:r>
            <a:rPr lang="en-US" sz="1000">
              <a:latin typeface="+mn-lt"/>
            </a:rPr>
            <a:t> </a:t>
          </a:r>
        </a:p>
        <a:p>
          <a:r>
            <a:rPr 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3) Changed MA Level Clinician to DIrect Care MA FTE in Methadone model</a:t>
          </a:r>
          <a:endParaRPr lang="en-US" sz="1000">
            <a:latin typeface="+mn-lt"/>
          </a:endParaRPr>
        </a:p>
        <a:p>
          <a:r>
            <a:rPr 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4) Benchmarked LICSW and Clinical Supervisor to $65K</a:t>
          </a:r>
          <a:r>
            <a:rPr lang="en-US" sz="10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(purchaser recommendation)</a:t>
          </a:r>
          <a:endParaRPr lang="en-US" sz="1000">
            <a:latin typeface="+mn-lt"/>
          </a:endParaRPr>
        </a:p>
        <a:p>
          <a:r>
            <a:rPr 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5) Benchmarked Support Staff to $31,200</a:t>
          </a:r>
          <a:r>
            <a:rPr lang="en-US" sz="1000">
              <a:latin typeface="+mn-lt"/>
            </a:rPr>
            <a:t> ($15/hr)</a:t>
          </a:r>
        </a:p>
        <a:p>
          <a:r>
            <a:rPr lang="en-US" sz="1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6) Changed Op Model Clinician MA lvl to </a:t>
          </a:r>
          <a:r>
            <a:rPr lang="en-US" sz="10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LICSW and increased to  .10 FTE in OP model</a:t>
          </a:r>
          <a:endParaRPr lang="en-US" sz="1000" b="1">
            <a:latin typeface="+mn-lt"/>
          </a:endParaRPr>
        </a:p>
        <a:p>
          <a:endParaRPr lang="en-US" sz="1100" b="1"/>
        </a:p>
        <a:p>
          <a:endParaRPr lang="en-US" sz="1100" b="1"/>
        </a:p>
        <a:p>
          <a:endParaRPr lang="en-US" sz="11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480059</xdr:colOff>
      <xdr:row>16</xdr:row>
      <xdr:rowOff>43814</xdr:rowOff>
    </xdr:from>
    <xdr:ext cx="4844415" cy="1104901"/>
    <xdr:sp macro="" textlink="">
      <xdr:nvSpPr>
        <xdr:cNvPr id="2" name="TextBox 1"/>
        <xdr:cNvSpPr txBox="1"/>
      </xdr:nvSpPr>
      <xdr:spPr>
        <a:xfrm>
          <a:off x="7814309" y="2672714"/>
          <a:ext cx="4844415" cy="1104901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2018 updates: </a:t>
          </a:r>
        </a:p>
        <a:p>
          <a:r>
            <a:rPr lang="en-US" sz="1100"/>
            <a:t>1) Rebase of prior expenses</a:t>
          </a:r>
          <a:r>
            <a:rPr lang="en-US" sz="1100" baseline="0"/>
            <a:t> </a:t>
          </a:r>
          <a:r>
            <a:rPr lang="en-US" sz="1100"/>
            <a:t>with CAF's (2.05% and 2.76%).</a:t>
          </a:r>
        </a:p>
        <a:p>
          <a:r>
            <a:rPr lang="en-US" sz="1100"/>
            <a:t>2) Program Manager benchmarked to $65K (purchaser recommendation)</a:t>
          </a:r>
        </a:p>
        <a:p>
          <a:r>
            <a:rPr lang="en-US" sz="1100"/>
            <a:t>3) Benchmarked Support Staff to $31,200 ($15/hr)</a:t>
          </a:r>
        </a:p>
        <a:p>
          <a:r>
            <a:rPr lang="en-US" sz="1100"/>
            <a:t>4) Increased LICSW to .10 FTE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23</xdr:row>
      <xdr:rowOff>19526</xdr:rowOff>
    </xdr:from>
    <xdr:to>
      <xdr:col>5</xdr:col>
      <xdr:colOff>299085</xdr:colOff>
      <xdr:row>34</xdr:row>
      <xdr:rowOff>32385</xdr:rowOff>
    </xdr:to>
    <xdr:sp macro="" textlink="">
      <xdr:nvSpPr>
        <xdr:cNvPr id="2" name="TextBox 1"/>
        <xdr:cNvSpPr txBox="1"/>
      </xdr:nvSpPr>
      <xdr:spPr>
        <a:xfrm>
          <a:off x="619125" y="3898106"/>
          <a:ext cx="5433060" cy="1841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000" b="1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Family Counseling Notes:</a:t>
          </a:r>
        </a:p>
        <a:p>
          <a:pPr>
            <a:lnSpc>
              <a:spcPts val="1200"/>
            </a:lnSpc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Tax,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Fringe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Admin,  are standard across all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models.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</a:t>
          </a:r>
          <a:r>
            <a:rPr lang="en-US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Family counseling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model uses all the same measures as Individual Counseling with the exception of the productivity standard.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 eaLnBrk="1" fontAlgn="auto" latinLnBrk="0" hangingPunct="1"/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</a:t>
          </a:r>
          <a:r>
            <a:rPr lang="en-US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P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roductivity standard 1394 was calculated by taking the standard 2080 and backing out 686 non -direct service hours made up of: vacation, wks sick &amp; personal, holidays, days training, no travel, supervision every other week, and administrative (paperwork) .  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</a:t>
          </a:r>
          <a:r>
            <a:rPr lang="en-US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The administrative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hours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built into the productivity standard are higher than the outpatient  counseling yearly hours </a:t>
          </a:r>
          <a:endParaRPr lang="en-US" sz="1000" b="0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1</xdr:col>
      <xdr:colOff>47626</xdr:colOff>
      <xdr:row>35</xdr:row>
      <xdr:rowOff>38099</xdr:rowOff>
    </xdr:from>
    <xdr:ext cx="4524374" cy="1152525"/>
    <xdr:sp macro="" textlink="">
      <xdr:nvSpPr>
        <xdr:cNvPr id="3" name="TextBox 2"/>
        <xdr:cNvSpPr txBox="1"/>
      </xdr:nvSpPr>
      <xdr:spPr>
        <a:xfrm>
          <a:off x="657226" y="5915024"/>
          <a:ext cx="4524374" cy="115252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2018 Updates: </a:t>
          </a:r>
        </a:p>
        <a:p>
          <a:r>
            <a:rPr lang="en-US" sz="1100"/>
            <a:t>1) Rebase of prior expenses</a:t>
          </a:r>
          <a:r>
            <a:rPr lang="en-US" sz="1100" baseline="0"/>
            <a:t> </a:t>
          </a:r>
          <a:r>
            <a:rPr lang="en-US" sz="1100"/>
            <a:t>with CAF's (2.05% and 2.76%).</a:t>
          </a:r>
        </a:p>
        <a:p>
          <a:r>
            <a:rPr lang="en-US" sz="1100"/>
            <a:t>2) Program Manager benchmarked to $65K (purchaser</a:t>
          </a:r>
          <a:r>
            <a:rPr lang="en-US" sz="1100" baseline="0"/>
            <a:t> recommendation)</a:t>
          </a:r>
          <a:endParaRPr lang="en-US" sz="1100"/>
        </a:p>
        <a:p>
          <a:r>
            <a:rPr lang="en-US" sz="1100"/>
            <a:t>3) Increased MA Level Clinician FTE from .04 to .05 </a:t>
          </a:r>
        </a:p>
        <a:p>
          <a:r>
            <a:rPr lang="en-US" sz="1100"/>
            <a:t>4) Benchmarked MA Level Clincian to $60K (purchaser recommendation)</a:t>
          </a:r>
        </a:p>
        <a:p>
          <a:r>
            <a:rPr lang="en-US" sz="1100"/>
            <a:t>5) Benchmarked Support Staff to $31,200 ($15/hr)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24</xdr:row>
      <xdr:rowOff>133827</xdr:rowOff>
    </xdr:from>
    <xdr:to>
      <xdr:col>7</xdr:col>
      <xdr:colOff>199549</xdr:colOff>
      <xdr:row>32</xdr:row>
      <xdr:rowOff>68580</xdr:rowOff>
    </xdr:to>
    <xdr:sp macro="" textlink="">
      <xdr:nvSpPr>
        <xdr:cNvPr id="3" name="TextBox 2"/>
        <xdr:cNvSpPr txBox="1"/>
      </xdr:nvSpPr>
      <xdr:spPr>
        <a:xfrm>
          <a:off x="626745" y="4324827"/>
          <a:ext cx="7162324" cy="12758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Pyscho-Educational</a:t>
          </a:r>
          <a:r>
            <a:rPr lang="en-US" sz="1000" b="1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Groups Model</a:t>
          </a:r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: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 eaLnBrk="1" fontAlgn="auto" latinLnBrk="0" hangingPunct="1"/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Tax,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Fringe</a:t>
          </a:r>
          <a:r>
            <a:rPr lang="en-US" sz="1000" b="1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and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Admin are standard across all 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models. 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 eaLnBrk="1" fontAlgn="auto" latinLnBrk="0" hangingPunct="1"/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The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CAF was revised to a EHS standard CAF of 2.50%. </a:t>
          </a:r>
        </a:p>
        <a:p>
          <a:pPr eaLnBrk="1" fontAlgn="auto" latinLnBrk="0" hangingPunct="1"/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To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calculate a group rate, the hourly rate was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multiplied by 1.25 to account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for a staff person's preparation time of 15 minutes and the one hour session. 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 eaLnBrk="1" fontAlgn="auto" latinLnBrk="0" hangingPunct="1"/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The individual rate was calculated by assuming a minimum group of 5 clients per group. </a:t>
          </a:r>
          <a:endParaRPr lang="en-US" sz="1000" b="1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1</xdr:col>
      <xdr:colOff>1905</xdr:colOff>
      <xdr:row>34</xdr:row>
      <xdr:rowOff>123824</xdr:rowOff>
    </xdr:from>
    <xdr:ext cx="4684395" cy="1438275"/>
    <xdr:sp macro="" textlink="">
      <xdr:nvSpPr>
        <xdr:cNvPr id="4" name="TextBox 3"/>
        <xdr:cNvSpPr txBox="1"/>
      </xdr:nvSpPr>
      <xdr:spPr>
        <a:xfrm>
          <a:off x="611505" y="6000749"/>
          <a:ext cx="4684395" cy="1438275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2018 updates: </a:t>
          </a:r>
        </a:p>
        <a:p>
          <a:r>
            <a:rPr lang="en-US" sz="1100"/>
            <a:t>1) Rebase of prior expenses</a:t>
          </a:r>
          <a:r>
            <a:rPr lang="en-US" sz="1100" baseline="0"/>
            <a:t> </a:t>
          </a:r>
          <a:r>
            <a:rPr lang="en-US" sz="1100"/>
            <a:t>with CAF's (2.05% and 2.76%).</a:t>
          </a:r>
        </a:p>
        <a:p>
          <a:r>
            <a:rPr lang="en-US" sz="1100"/>
            <a:t>2) Program Manager benchmarked to $65K (purschaser</a:t>
          </a:r>
          <a:r>
            <a:rPr lang="en-US" sz="1100" baseline="0"/>
            <a:t> recommendation)</a:t>
          </a:r>
          <a:endParaRPr lang="en-US" sz="1100"/>
        </a:p>
        <a:p>
          <a:r>
            <a:rPr lang="en-US" sz="1100"/>
            <a:t>3) Increased MA Level Clinician FTE from .04 to .05 </a:t>
          </a:r>
        </a:p>
        <a:p>
          <a:r>
            <a:rPr lang="en-US" sz="1100"/>
            <a:t>4) Benchmarked MA Level Clincian to $60K (purchaser recommendation)</a:t>
          </a:r>
        </a:p>
        <a:p>
          <a:r>
            <a:rPr lang="en-US" sz="1100"/>
            <a:t>5) Benchmarked Support Staff to $31,200 ($15/hr)</a:t>
          </a:r>
        </a:p>
        <a:p>
          <a:r>
            <a:rPr lang="en-US" sz="1100"/>
            <a:t>8)</a:t>
          </a:r>
          <a:r>
            <a:rPr lang="en-US" sz="1100" baseline="0"/>
            <a:t> Benchmarked Direct Care Non-MA Lvl to PACT @ $38,608</a:t>
          </a: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27</xdr:row>
      <xdr:rowOff>0</xdr:rowOff>
    </xdr:from>
    <xdr:ext cx="3708451" cy="1125693"/>
    <xdr:sp macro="" textlink="">
      <xdr:nvSpPr>
        <xdr:cNvPr id="3" name="TextBox 2"/>
        <xdr:cNvSpPr txBox="1"/>
      </xdr:nvSpPr>
      <xdr:spPr>
        <a:xfrm>
          <a:off x="8031480" y="4450080"/>
          <a:ext cx="3708451" cy="1125693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2018 updates: </a:t>
          </a:r>
        </a:p>
        <a:p>
          <a:r>
            <a:rPr lang="en-US" sz="1100"/>
            <a:t>1) Rebase of prior expenses</a:t>
          </a:r>
          <a:r>
            <a:rPr lang="en-US" sz="1100" baseline="0"/>
            <a:t> </a:t>
          </a:r>
          <a:r>
            <a:rPr lang="en-US" sz="1100"/>
            <a:t>with CAF's (2.05% and 2.76%).</a:t>
          </a:r>
        </a:p>
        <a:p>
          <a:r>
            <a:rPr lang="en-US" sz="1100"/>
            <a:t>2) Program Manager benchmarked to $65K </a:t>
          </a:r>
        </a:p>
        <a:p>
          <a:r>
            <a:rPr lang="en-US" sz="1100"/>
            <a:t>3) Benchmarked MA Level Clincian to $60K</a:t>
          </a:r>
        </a:p>
        <a:p>
          <a:r>
            <a:rPr lang="en-US" sz="1100"/>
            <a:t>4) Benchmarked Support Staff to $31,200</a:t>
          </a:r>
        </a:p>
        <a:p>
          <a:r>
            <a:rPr lang="en-US" sz="1100"/>
            <a:t>5)</a:t>
          </a:r>
          <a:r>
            <a:rPr lang="en-US" sz="1100" baseline="0"/>
            <a:t> Benchmarked Direct Care Non-MA Lvl to PACT @ $38,608</a:t>
          </a:r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</xdr:colOff>
      <xdr:row>22</xdr:row>
      <xdr:rowOff>72868</xdr:rowOff>
    </xdr:from>
    <xdr:to>
      <xdr:col>7</xdr:col>
      <xdr:colOff>396240</xdr:colOff>
      <xdr:row>30</xdr:row>
      <xdr:rowOff>1905</xdr:rowOff>
    </xdr:to>
    <xdr:sp macro="" textlink="">
      <xdr:nvSpPr>
        <xdr:cNvPr id="3" name="TextBox 2"/>
        <xdr:cNvSpPr txBox="1"/>
      </xdr:nvSpPr>
      <xdr:spPr>
        <a:xfrm>
          <a:off x="262890" y="3646648"/>
          <a:ext cx="7242810" cy="1247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Telephone</a:t>
          </a:r>
          <a:r>
            <a:rPr lang="en-US" sz="1000" b="1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Recovery</a:t>
          </a:r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Tax,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Fringe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are standard across all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models.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There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is no travel included in this model. 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roductivity standard of 1,566 calculated by  taking the standard 2080 and backing out 514.50 non -direct service hours made up of:  3 wks vacation, 2 wks sick &amp; personal, 10 days holiday time, 4 days training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, 1.5 hrs/wk supervision 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and 3 hrs/wk administrative paperwork . 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 eaLnBrk="1" fontAlgn="auto" latinLnBrk="0" hangingPunct="1"/>
          <a:endParaRPr lang="en-US" sz="1000" b="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1</xdr:col>
      <xdr:colOff>15240</xdr:colOff>
      <xdr:row>29</xdr:row>
      <xdr:rowOff>9525</xdr:rowOff>
    </xdr:from>
    <xdr:ext cx="4286249" cy="1543050"/>
    <xdr:sp macro="" textlink="">
      <xdr:nvSpPr>
        <xdr:cNvPr id="4" name="TextBox 3"/>
        <xdr:cNvSpPr txBox="1"/>
      </xdr:nvSpPr>
      <xdr:spPr>
        <a:xfrm>
          <a:off x="243840" y="4733925"/>
          <a:ext cx="4286249" cy="154305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2018 updates: </a:t>
          </a:r>
        </a:p>
        <a:p>
          <a:r>
            <a:rPr lang="en-US" sz="1100"/>
            <a:t>1) Rebase of prior expenses</a:t>
          </a:r>
          <a:r>
            <a:rPr lang="en-US" sz="1100" baseline="0"/>
            <a:t> </a:t>
          </a:r>
          <a:r>
            <a:rPr lang="en-US" sz="1100"/>
            <a:t>with CAF's (2.05% and 2.76%).</a:t>
          </a:r>
        </a:p>
        <a:p>
          <a:r>
            <a:rPr lang="en-US" sz="1100"/>
            <a:t>2) Program Manager benchmarked to $65K </a:t>
          </a:r>
        </a:p>
        <a:p>
          <a:r>
            <a:rPr lang="en-US" sz="1100"/>
            <a:t>3) Benchmarked MA Level Clincian to $60K</a:t>
          </a:r>
        </a:p>
        <a:p>
          <a:r>
            <a:rPr lang="en-US" sz="1100"/>
            <a:t>4) Benchmarked Support Staff to $31,200</a:t>
          </a:r>
        </a:p>
        <a:p>
          <a:r>
            <a:rPr lang="en-US" sz="1100"/>
            <a:t>7)</a:t>
          </a:r>
          <a:r>
            <a:rPr lang="en-US" sz="1100" baseline="0"/>
            <a:t> Benchmarked Direct Care Non-MA Lvl to PACT @ $38,608</a:t>
          </a:r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59531</xdr:colOff>
      <xdr:row>43</xdr:row>
      <xdr:rowOff>154781</xdr:rowOff>
    </xdr:from>
    <xdr:ext cx="184731" cy="264560"/>
    <xdr:sp macro="" textlink="">
      <xdr:nvSpPr>
        <xdr:cNvPr id="2" name="TextBox 1"/>
        <xdr:cNvSpPr txBox="1"/>
      </xdr:nvSpPr>
      <xdr:spPr>
        <a:xfrm>
          <a:off x="7831931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57149</xdr:colOff>
      <xdr:row>27</xdr:row>
      <xdr:rowOff>0</xdr:rowOff>
    </xdr:from>
    <xdr:to>
      <xdr:col>6</xdr:col>
      <xdr:colOff>57149</xdr:colOff>
      <xdr:row>35</xdr:row>
      <xdr:rowOff>19050</xdr:rowOff>
    </xdr:to>
    <xdr:sp macro="" textlink="">
      <xdr:nvSpPr>
        <xdr:cNvPr id="3" name="TextBox 2"/>
        <xdr:cNvSpPr txBox="1"/>
      </xdr:nvSpPr>
      <xdr:spPr>
        <a:xfrm>
          <a:off x="57149" y="4572000"/>
          <a:ext cx="6886575" cy="13144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900"/>
            </a:lnSpc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Recovery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Coaching Model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>
            <a:lnSpc>
              <a:spcPct val="100000"/>
            </a:lnSpc>
          </a:pPr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Tax,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Fringe</a:t>
          </a:r>
          <a:r>
            <a:rPr lang="en-US" sz="1000" b="1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and</a:t>
          </a:r>
          <a:r>
            <a:rPr lang="en-US" sz="1000" b="1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Admin  are standard across all 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models. 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>
            <a:lnSpc>
              <a:spcPct val="100000"/>
            </a:lnSpc>
          </a:pPr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roductivity standard of 1,281 calculated by taking the standard 2080 and backing out 799 non -direct service hours made up of:  3 wks vacation, 2 wks sick &amp; personal, 10 days holiday time, 3 days training, 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7.5 hrs/wk travel, 1/hr every other wk supervision and 3 hrs/wk administrative paperwork . </a:t>
          </a:r>
          <a:endParaRPr lang="en-US" sz="1000" b="0">
            <a:effectLst/>
            <a:latin typeface="Arial" pitchFamily="34" charset="0"/>
            <a:cs typeface="Arial" pitchFamily="34" charset="0"/>
          </a:endParaRPr>
        </a:p>
        <a:p>
          <a:pPr>
            <a:lnSpc>
              <a:spcPts val="1100"/>
            </a:lnSpc>
          </a:pP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T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ravel 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was </a:t>
          </a:r>
          <a:r>
            <a:rPr lang="en-US" sz="1000" b="0" i="0" u="none" strike="noStrike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broken out by</a:t>
          </a:r>
          <a:r>
            <a:rPr lang="en-US" sz="1000" b="0" i="0" u="none" strike="noStrike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calculating travel at 5 days for 45 weeks at a rate of 0.48 cents per mile and a total mileage of 50 miles per day, plus rebased CAFs</a:t>
          </a:r>
        </a:p>
      </xdr:txBody>
    </xdr:sp>
    <xdr:clientData/>
  </xdr:twoCellAnchor>
  <xdr:oneCellAnchor>
    <xdr:from>
      <xdr:col>0</xdr:col>
      <xdr:colOff>234315</xdr:colOff>
      <xdr:row>33</xdr:row>
      <xdr:rowOff>129540</xdr:rowOff>
    </xdr:from>
    <xdr:ext cx="3695700" cy="1514476"/>
    <xdr:sp macro="" textlink="">
      <xdr:nvSpPr>
        <xdr:cNvPr id="5" name="TextBox 4"/>
        <xdr:cNvSpPr txBox="1"/>
      </xdr:nvSpPr>
      <xdr:spPr>
        <a:xfrm>
          <a:off x="234315" y="5669280"/>
          <a:ext cx="3695700" cy="1514476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2018 Updates: </a:t>
          </a:r>
        </a:p>
        <a:p>
          <a:r>
            <a:rPr lang="en-US" sz="1100"/>
            <a:t>1) Rebase of prior expenses</a:t>
          </a:r>
          <a:r>
            <a:rPr lang="en-US" sz="1100" baseline="0"/>
            <a:t> </a:t>
          </a:r>
          <a:r>
            <a:rPr lang="en-US" sz="1100"/>
            <a:t>with CAF's (2.05% and 2.76%).</a:t>
          </a:r>
        </a:p>
        <a:p>
          <a:r>
            <a:rPr lang="en-US" sz="1100"/>
            <a:t>2) Program Manager benchmarked to $65K </a:t>
          </a:r>
        </a:p>
        <a:p>
          <a:r>
            <a:rPr lang="en-US" sz="1100"/>
            <a:t>3) Increased MA Level Clinician FTE from .04 to .05 </a:t>
          </a:r>
        </a:p>
        <a:p>
          <a:r>
            <a:rPr lang="en-US" sz="1100"/>
            <a:t>4) Benchmarked MA Level Clincian to $60K</a:t>
          </a:r>
        </a:p>
        <a:p>
          <a:r>
            <a:rPr lang="en-US" sz="1100"/>
            <a:t>5) Benchmarked Support Staff to $31,200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10954</xdr:colOff>
      <xdr:row>23</xdr:row>
      <xdr:rowOff>80012</xdr:rowOff>
    </xdr:from>
    <xdr:to>
      <xdr:col>4</xdr:col>
      <xdr:colOff>1114426</xdr:colOff>
      <xdr:row>34</xdr:row>
      <xdr:rowOff>64770</xdr:rowOff>
    </xdr:to>
    <xdr:sp macro="" textlink="">
      <xdr:nvSpPr>
        <xdr:cNvPr id="3" name="TextBox 2"/>
        <xdr:cNvSpPr txBox="1"/>
      </xdr:nvSpPr>
      <xdr:spPr>
        <a:xfrm>
          <a:off x="635794" y="3806192"/>
          <a:ext cx="5553552" cy="1805938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Notes: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 eaLnBrk="1" fontAlgn="auto" latinLnBrk="0" hangingPunct="1"/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</a:t>
          </a:r>
          <a:r>
            <a:rPr lang="en-US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Tax,  fringe and admin are standard across all models.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roductivity standard  of  1,259 calculated by  taking the standard 2080 and backing out 821.5 of non -direct service hours made up of:  3 wks vacation, 2 wks sick &amp; personal, 10 days holiday time, 3 days training, 7.</a:t>
          </a:r>
          <a:r>
            <a:rPr lang="en-US" sz="1000" b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5 hrs/wk travel, 1 hrs/every other wk supervision </a:t>
          </a:r>
          <a:r>
            <a:rPr lang="en-US" sz="100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and 3 hrs/wk administrative paperwork. 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>
          <a:pPr eaLnBrk="1" fontAlgn="auto" latinLnBrk="0" hangingPunct="1"/>
          <a:r>
            <a:rPr lang="en-US" sz="10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●</a:t>
          </a:r>
          <a:r>
            <a:rPr lang="en-US" sz="10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</a:t>
          </a:r>
          <a:r>
            <a:rPr lang="en-US" sz="1000" b="0" i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ravel </a:t>
          </a:r>
          <a:r>
            <a:rPr lang="en-US" sz="10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was </a:t>
          </a:r>
          <a:r>
            <a:rPr lang="en-US" sz="1000" b="0" i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broken out by </a:t>
          </a:r>
          <a:r>
            <a:rPr lang="en-US" sz="10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calculated by assuming travel at 5 days for 45 weeks at a rate of  0.48 cents per mile plus cafs and a total mileage of 50 miles per day. Travel is assumed for the Direct Care staff only. </a:t>
          </a:r>
        </a:p>
        <a:p>
          <a:pPr eaLnBrk="1" fontAlgn="auto" latinLnBrk="0" hangingPunct="1"/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000">
            <a:effectLst/>
          </a:endParaRPr>
        </a:p>
      </xdr:txBody>
    </xdr:sp>
    <xdr:clientData/>
  </xdr:twoCellAnchor>
  <xdr:oneCellAnchor>
    <xdr:from>
      <xdr:col>5</xdr:col>
      <xdr:colOff>30481</xdr:colOff>
      <xdr:row>23</xdr:row>
      <xdr:rowOff>93345</xdr:rowOff>
    </xdr:from>
    <xdr:ext cx="3371850" cy="1628776"/>
    <xdr:sp macro="" textlink="">
      <xdr:nvSpPr>
        <xdr:cNvPr id="4" name="TextBox 3"/>
        <xdr:cNvSpPr txBox="1"/>
      </xdr:nvSpPr>
      <xdr:spPr>
        <a:xfrm>
          <a:off x="6301741" y="3819525"/>
          <a:ext cx="3371850" cy="1628776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/>
            <a:t>2018 updates: </a:t>
          </a:r>
        </a:p>
        <a:p>
          <a:r>
            <a:rPr lang="en-US" sz="1100"/>
            <a:t>1) Rebase of prior expenses</a:t>
          </a:r>
          <a:r>
            <a:rPr lang="en-US" sz="1100" baseline="0"/>
            <a:t> </a:t>
          </a:r>
          <a:r>
            <a:rPr lang="en-US" sz="1100"/>
            <a:t>with CAF's (2.05% and 2.76%).</a:t>
          </a:r>
        </a:p>
        <a:p>
          <a:r>
            <a:rPr lang="en-US" sz="1100"/>
            <a:t>2) Program Manager benchmarked to $65K </a:t>
          </a:r>
        </a:p>
        <a:p>
          <a:r>
            <a:rPr lang="en-US" sz="1100"/>
            <a:t>3) Increased MA Level Clinician FTE from .04 to .05 </a:t>
          </a:r>
        </a:p>
        <a:p>
          <a:r>
            <a:rPr lang="en-US" sz="1100"/>
            <a:t>4) Benchmarked MA Level Clincian to $60K</a:t>
          </a:r>
        </a:p>
        <a:p>
          <a:r>
            <a:rPr lang="en-US" sz="1100"/>
            <a:t>5) Benchmarked Support Staff to $31,200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/X/Data%20&amp;%20Reporting%20Tools/STARR%20Utilization/STARR%20Utilization%20Tool%20FY10%20Ju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3"/>
  <sheetViews>
    <sheetView topLeftCell="A10" workbookViewId="0">
      <selection activeCell="F18" sqref="F18"/>
    </sheetView>
  </sheetViews>
  <sheetFormatPr defaultRowHeight="14.4" x14ac:dyDescent="0.3"/>
  <cols>
    <col min="2" max="2" width="22.6640625" bestFit="1" customWidth="1"/>
    <col min="3" max="3" width="18.5546875" style="261" customWidth="1"/>
    <col min="4" max="4" width="39.88671875" style="261" customWidth="1"/>
    <col min="5" max="5" width="5.88671875" customWidth="1"/>
    <col min="6" max="6" width="22.6640625" bestFit="1" customWidth="1"/>
    <col min="7" max="7" width="17.44140625" customWidth="1"/>
    <col min="10" max="11" width="11.5546875" bestFit="1" customWidth="1"/>
    <col min="12" max="12" width="12" bestFit="1" customWidth="1"/>
  </cols>
  <sheetData>
    <row r="2" spans="2:14" ht="15.75" thickBot="1" x14ac:dyDescent="0.3">
      <c r="B2" s="441"/>
      <c r="C2" s="441" t="s">
        <v>239</v>
      </c>
      <c r="D2" s="441"/>
      <c r="E2" s="441"/>
      <c r="F2" s="441"/>
      <c r="G2" s="441"/>
    </row>
    <row r="3" spans="2:14" ht="15.75" thickBot="1" x14ac:dyDescent="0.3">
      <c r="B3" s="471" t="s">
        <v>0</v>
      </c>
      <c r="C3" s="449"/>
      <c r="D3" s="450"/>
      <c r="E3" s="477"/>
      <c r="F3" s="477"/>
      <c r="G3" s="442"/>
    </row>
    <row r="4" spans="2:14" ht="15" x14ac:dyDescent="0.25">
      <c r="B4" s="428"/>
      <c r="C4" s="451" t="s">
        <v>1</v>
      </c>
      <c r="D4" s="445" t="s">
        <v>2</v>
      </c>
      <c r="E4" s="440"/>
      <c r="F4" s="440"/>
      <c r="G4" s="443"/>
    </row>
    <row r="5" spans="2:14" ht="15" x14ac:dyDescent="0.25">
      <c r="B5" s="428" t="s">
        <v>3</v>
      </c>
      <c r="C5" s="430">
        <v>15</v>
      </c>
      <c r="D5" s="446">
        <f>C5*8</f>
        <v>120</v>
      </c>
      <c r="E5" s="440"/>
      <c r="F5" s="440"/>
      <c r="G5" s="443"/>
    </row>
    <row r="6" spans="2:14" ht="15" x14ac:dyDescent="0.25">
      <c r="B6" s="428" t="s">
        <v>4</v>
      </c>
      <c r="C6" s="430">
        <v>10</v>
      </c>
      <c r="D6" s="446">
        <f>C6*8</f>
        <v>80</v>
      </c>
      <c r="E6" s="440"/>
      <c r="F6" s="440"/>
      <c r="G6" s="443"/>
    </row>
    <row r="7" spans="2:14" ht="15" x14ac:dyDescent="0.25">
      <c r="B7" s="428" t="s">
        <v>5</v>
      </c>
      <c r="C7" s="430">
        <v>10</v>
      </c>
      <c r="D7" s="446">
        <f>C7*8</f>
        <v>80</v>
      </c>
      <c r="E7" s="440"/>
      <c r="F7" s="440"/>
      <c r="G7" s="443"/>
    </row>
    <row r="8" spans="2:14" ht="15" x14ac:dyDescent="0.25">
      <c r="B8" s="428" t="s">
        <v>6</v>
      </c>
      <c r="C8" s="430">
        <v>5</v>
      </c>
      <c r="D8" s="446">
        <f>C8*8</f>
        <v>40</v>
      </c>
      <c r="E8" s="440"/>
      <c r="F8" s="440"/>
      <c r="G8" s="443"/>
      <c r="J8" s="263"/>
      <c r="K8" s="478"/>
      <c r="L8" s="478"/>
      <c r="M8" s="478"/>
      <c r="N8" s="478"/>
    </row>
    <row r="9" spans="2:14" ht="15" x14ac:dyDescent="0.25">
      <c r="B9" s="429"/>
      <c r="C9" s="440" t="s">
        <v>7</v>
      </c>
      <c r="D9" s="447">
        <f>SUM(D5:D8)</f>
        <v>320</v>
      </c>
      <c r="E9" s="440"/>
      <c r="F9" s="440"/>
      <c r="G9" s="443"/>
      <c r="K9" s="262"/>
      <c r="L9" s="262"/>
      <c r="M9" s="262"/>
      <c r="N9" s="262"/>
    </row>
    <row r="10" spans="2:14" ht="15.75" thickBot="1" x14ac:dyDescent="0.3">
      <c r="B10" s="429"/>
      <c r="C10" s="440" t="s">
        <v>131</v>
      </c>
      <c r="D10" s="448">
        <f>D9/(52*40)</f>
        <v>0.15384615384615385</v>
      </c>
      <c r="E10" s="440"/>
      <c r="F10" s="440"/>
      <c r="G10" s="443"/>
      <c r="K10" s="427"/>
      <c r="L10" s="427"/>
      <c r="M10" s="427"/>
      <c r="N10" s="262"/>
    </row>
    <row r="11" spans="2:14" ht="15.75" thickBot="1" x14ac:dyDescent="0.3">
      <c r="B11" s="482" t="s">
        <v>238</v>
      </c>
      <c r="C11" s="483"/>
      <c r="D11" s="470" t="s">
        <v>234</v>
      </c>
      <c r="E11" s="432"/>
      <c r="F11" s="432"/>
      <c r="G11" s="432"/>
    </row>
    <row r="12" spans="2:14" ht="24.6" x14ac:dyDescent="0.3">
      <c r="B12" s="458" t="s">
        <v>8</v>
      </c>
      <c r="C12" s="474">
        <v>75528.600000000006</v>
      </c>
      <c r="D12" s="475" t="s">
        <v>237</v>
      </c>
      <c r="E12" s="431"/>
      <c r="J12" s="351"/>
      <c r="K12" s="351"/>
      <c r="L12" s="351"/>
    </row>
    <row r="13" spans="2:14" ht="15" x14ac:dyDescent="0.25">
      <c r="B13" s="433" t="s">
        <v>8</v>
      </c>
      <c r="C13" s="462">
        <v>65000</v>
      </c>
      <c r="D13" s="461" t="s">
        <v>236</v>
      </c>
      <c r="E13" s="432"/>
    </row>
    <row r="14" spans="2:14" ht="15" x14ac:dyDescent="0.25">
      <c r="B14" s="433" t="s">
        <v>9</v>
      </c>
      <c r="C14" s="462">
        <v>164929.80000000002</v>
      </c>
      <c r="D14" s="460" t="s">
        <v>242</v>
      </c>
      <c r="E14" s="444"/>
      <c r="K14" s="351"/>
    </row>
    <row r="15" spans="2:14" ht="15" x14ac:dyDescent="0.25">
      <c r="B15" s="433" t="s">
        <v>10</v>
      </c>
      <c r="C15" s="462">
        <v>81450.658800000005</v>
      </c>
      <c r="D15" s="460" t="s">
        <v>242</v>
      </c>
      <c r="E15" s="444"/>
    </row>
    <row r="16" spans="2:14" ht="15" x14ac:dyDescent="0.25">
      <c r="B16" s="476" t="s">
        <v>11</v>
      </c>
      <c r="C16" s="462">
        <v>67246.144</v>
      </c>
      <c r="D16" s="460" t="s">
        <v>242</v>
      </c>
      <c r="E16" s="444"/>
    </row>
    <row r="17" spans="2:11" x14ac:dyDescent="0.3">
      <c r="B17" s="435" t="s">
        <v>17</v>
      </c>
      <c r="C17" s="462">
        <v>65000</v>
      </c>
      <c r="D17" s="461" t="s">
        <v>236</v>
      </c>
      <c r="E17" s="444"/>
    </row>
    <row r="18" spans="2:11" x14ac:dyDescent="0.3">
      <c r="B18" s="435" t="s">
        <v>18</v>
      </c>
      <c r="C18" s="462">
        <v>60000</v>
      </c>
      <c r="D18" s="461" t="s">
        <v>236</v>
      </c>
      <c r="E18" s="444"/>
      <c r="K18" s="1"/>
    </row>
    <row r="19" spans="2:11" ht="15" x14ac:dyDescent="0.25">
      <c r="B19" s="435" t="s">
        <v>21</v>
      </c>
      <c r="C19" s="462">
        <v>33801</v>
      </c>
      <c r="D19" s="460" t="s">
        <v>242</v>
      </c>
      <c r="E19" s="444"/>
      <c r="K19" s="2"/>
    </row>
    <row r="20" spans="2:11" ht="15" x14ac:dyDescent="0.25">
      <c r="B20" s="435" t="s">
        <v>19</v>
      </c>
      <c r="C20" s="462">
        <f>50000*(2.05%+1)*(2.76%+1)</f>
        <v>52433.29</v>
      </c>
      <c r="D20" s="460" t="s">
        <v>242</v>
      </c>
      <c r="E20" s="444"/>
      <c r="K20" s="2"/>
    </row>
    <row r="21" spans="2:11" ht="15" x14ac:dyDescent="0.25">
      <c r="B21" s="435" t="s">
        <v>20</v>
      </c>
      <c r="C21" s="462">
        <v>38608</v>
      </c>
      <c r="D21" s="461" t="s">
        <v>235</v>
      </c>
      <c r="E21" s="434"/>
      <c r="K21" s="2"/>
    </row>
    <row r="22" spans="2:11" ht="15.75" thickBot="1" x14ac:dyDescent="0.3">
      <c r="B22" s="459" t="s">
        <v>12</v>
      </c>
      <c r="C22" s="463">
        <v>31200</v>
      </c>
      <c r="D22" s="461" t="s">
        <v>236</v>
      </c>
      <c r="E22" s="434"/>
      <c r="K22" s="2"/>
    </row>
    <row r="23" spans="2:11" ht="15.75" thickBot="1" x14ac:dyDescent="0.3">
      <c r="B23" s="484" t="s">
        <v>13</v>
      </c>
      <c r="C23" s="483"/>
      <c r="D23" s="469" t="s">
        <v>234</v>
      </c>
      <c r="E23" s="434"/>
      <c r="K23" s="2"/>
    </row>
    <row r="24" spans="2:11" ht="15" x14ac:dyDescent="0.25">
      <c r="B24" s="453" t="s">
        <v>26</v>
      </c>
      <c r="C24" s="464">
        <v>3393</v>
      </c>
      <c r="D24" s="438"/>
      <c r="E24" s="436"/>
      <c r="K24" s="3"/>
    </row>
    <row r="25" spans="2:11" ht="15" x14ac:dyDescent="0.25">
      <c r="B25" s="453" t="s">
        <v>15</v>
      </c>
      <c r="C25" s="464">
        <v>6809</v>
      </c>
      <c r="D25" s="468" t="s">
        <v>27</v>
      </c>
      <c r="E25" s="436"/>
    </row>
    <row r="26" spans="2:11" ht="15" x14ac:dyDescent="0.25">
      <c r="B26" s="453" t="s">
        <v>16</v>
      </c>
      <c r="C26" s="464">
        <v>1219</v>
      </c>
      <c r="D26" s="468"/>
      <c r="E26" s="436"/>
    </row>
    <row r="27" spans="2:11" ht="15" x14ac:dyDescent="0.25">
      <c r="B27" s="453" t="s">
        <v>25</v>
      </c>
      <c r="C27" s="465">
        <v>18852</v>
      </c>
      <c r="D27" s="461" t="s">
        <v>24</v>
      </c>
      <c r="E27" s="436"/>
    </row>
    <row r="28" spans="2:11" ht="15" x14ac:dyDescent="0.25">
      <c r="B28" s="453" t="s">
        <v>23</v>
      </c>
      <c r="C28" s="465">
        <v>5403</v>
      </c>
      <c r="D28" s="468" t="s">
        <v>28</v>
      </c>
      <c r="E28" s="436"/>
    </row>
    <row r="29" spans="2:11" ht="15" x14ac:dyDescent="0.25">
      <c r="B29" s="453" t="s">
        <v>14</v>
      </c>
      <c r="C29" s="466">
        <v>0.20200000000000001</v>
      </c>
      <c r="D29" s="437"/>
      <c r="E29" s="436"/>
    </row>
    <row r="30" spans="2:11" ht="15" thickBot="1" x14ac:dyDescent="0.35">
      <c r="B30" s="452" t="s">
        <v>22</v>
      </c>
      <c r="C30" s="467">
        <v>0.1258</v>
      </c>
      <c r="D30" s="439"/>
      <c r="E30" s="436"/>
    </row>
    <row r="31" spans="2:11" ht="15" thickBot="1" x14ac:dyDescent="0.35">
      <c r="B31" s="479" t="s">
        <v>240</v>
      </c>
      <c r="C31" s="480"/>
      <c r="D31" s="481"/>
      <c r="E31" s="436"/>
    </row>
    <row r="32" spans="2:11" ht="15" thickBot="1" x14ac:dyDescent="0.35">
      <c r="B32" s="472"/>
      <c r="C32" s="473"/>
      <c r="D32" s="454"/>
      <c r="E32" s="436"/>
    </row>
    <row r="33" spans="2:7" ht="15" thickBot="1" x14ac:dyDescent="0.35">
      <c r="B33" s="455" t="s">
        <v>241</v>
      </c>
      <c r="C33" s="456">
        <v>2.5600000000000001E-2</v>
      </c>
      <c r="D33" s="457" t="s">
        <v>233</v>
      </c>
      <c r="G33" s="436"/>
    </row>
  </sheetData>
  <mergeCells count="5">
    <mergeCell ref="E3:F3"/>
    <mergeCell ref="K8:N8"/>
    <mergeCell ref="B31:D31"/>
    <mergeCell ref="B11:C11"/>
    <mergeCell ref="B23:C23"/>
  </mergeCells>
  <pageMargins left="0.2" right="0.2" top="0.25" bottom="0.2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M21" sqref="M21"/>
    </sheetView>
  </sheetViews>
  <sheetFormatPr defaultColWidth="9.109375" defaultRowHeight="13.2" x14ac:dyDescent="0.25"/>
  <cols>
    <col min="1" max="1" width="9.109375" style="82"/>
    <col min="2" max="2" width="40.109375" style="82" customWidth="1"/>
    <col min="3" max="3" width="7.33203125" style="82" customWidth="1"/>
    <col min="4" max="6" width="17.44140625" style="82" customWidth="1"/>
    <col min="7" max="8" width="9.109375" style="82"/>
    <col min="9" max="9" width="5.33203125" style="82" customWidth="1"/>
    <col min="10" max="10" width="4" style="82" customWidth="1"/>
    <col min="11" max="16384" width="9.109375" style="82"/>
  </cols>
  <sheetData>
    <row r="1" spans="1:7" ht="13.5" thickBot="1" x14ac:dyDescent="0.25">
      <c r="A1" s="80"/>
      <c r="B1" s="81"/>
      <c r="C1" s="81"/>
      <c r="D1" s="81"/>
      <c r="E1" s="81"/>
      <c r="F1" s="81"/>
      <c r="G1" s="81"/>
    </row>
    <row r="2" spans="1:7" ht="13.5" thickBot="1" x14ac:dyDescent="0.25">
      <c r="A2" s="80"/>
      <c r="B2" s="502" t="s">
        <v>119</v>
      </c>
      <c r="C2" s="503"/>
      <c r="D2" s="503"/>
      <c r="E2" s="503"/>
      <c r="F2" s="504"/>
      <c r="G2" s="10"/>
    </row>
    <row r="3" spans="1:7" ht="12.75" x14ac:dyDescent="0.2">
      <c r="A3" s="80"/>
      <c r="B3" s="18" t="s">
        <v>120</v>
      </c>
      <c r="C3" s="19"/>
      <c r="D3" s="20"/>
      <c r="E3" s="21" t="s">
        <v>115</v>
      </c>
      <c r="F3" s="22">
        <v>1259</v>
      </c>
      <c r="G3" s="11"/>
    </row>
    <row r="4" spans="1:7" ht="12.75" x14ac:dyDescent="0.2">
      <c r="A4" s="80"/>
      <c r="B4" s="25"/>
      <c r="C4" s="26"/>
      <c r="D4" s="27" t="s">
        <v>33</v>
      </c>
      <c r="E4" s="27" t="s">
        <v>34</v>
      </c>
      <c r="F4" s="28" t="s">
        <v>35</v>
      </c>
      <c r="G4" s="12"/>
    </row>
    <row r="5" spans="1:7" ht="12.75" x14ac:dyDescent="0.2">
      <c r="A5" s="80"/>
      <c r="B5" s="29" t="str">
        <f>'Master Lookup'!B13</f>
        <v>Program Management</v>
      </c>
      <c r="C5" s="24"/>
      <c r="D5" s="30">
        <f>'Master Lookup'!C13</f>
        <v>65000</v>
      </c>
      <c r="E5" s="31">
        <v>0.05</v>
      </c>
      <c r="F5" s="32">
        <f>D5*E5</f>
        <v>3250</v>
      </c>
      <c r="G5" s="10"/>
    </row>
    <row r="6" spans="1:7" ht="12.75" x14ac:dyDescent="0.2">
      <c r="A6" s="80"/>
      <c r="B6" s="29" t="str">
        <f>'Master Lookup'!B18</f>
        <v>Clinician (MA Level)</v>
      </c>
      <c r="C6" s="24"/>
      <c r="D6" s="30">
        <f>'Master Lookup'!C18</f>
        <v>60000</v>
      </c>
      <c r="E6" s="418">
        <v>0.05</v>
      </c>
      <c r="F6" s="32">
        <f t="shared" ref="F6:F8" si="0">D6*E6</f>
        <v>3000</v>
      </c>
      <c r="G6" s="13"/>
    </row>
    <row r="7" spans="1:7" ht="12.75" x14ac:dyDescent="0.2">
      <c r="A7" s="80"/>
      <c r="B7" s="29" t="s">
        <v>121</v>
      </c>
      <c r="C7" s="24"/>
      <c r="D7" s="33">
        <f>'Master Lookup'!C20</f>
        <v>52433.29</v>
      </c>
      <c r="E7" s="34">
        <v>1</v>
      </c>
      <c r="F7" s="32">
        <f t="shared" si="0"/>
        <v>52433.29</v>
      </c>
      <c r="G7" s="13"/>
    </row>
    <row r="8" spans="1:7" ht="12.75" x14ac:dyDescent="0.2">
      <c r="A8" s="80"/>
      <c r="B8" s="29" t="s">
        <v>12</v>
      </c>
      <c r="C8" s="24"/>
      <c r="D8" s="30">
        <f>'Master Lookup'!C22</f>
        <v>31200</v>
      </c>
      <c r="E8" s="35">
        <v>0.15</v>
      </c>
      <c r="F8" s="32">
        <f t="shared" si="0"/>
        <v>4680</v>
      </c>
      <c r="G8" s="13"/>
    </row>
    <row r="9" spans="1:7" ht="12.75" x14ac:dyDescent="0.2">
      <c r="A9" s="80"/>
      <c r="B9" s="36" t="s">
        <v>36</v>
      </c>
      <c r="C9" s="37"/>
      <c r="D9" s="37"/>
      <c r="E9" s="38">
        <f>SUM(E5:E8)</f>
        <v>1.25</v>
      </c>
      <c r="F9" s="39">
        <f>SUM(F5:F8)</f>
        <v>63363.29</v>
      </c>
      <c r="G9" s="13"/>
    </row>
    <row r="10" spans="1:7" ht="12.75" x14ac:dyDescent="0.2">
      <c r="A10" s="80"/>
      <c r="B10" s="23"/>
      <c r="C10" s="24"/>
      <c r="D10" s="24"/>
      <c r="E10" s="24"/>
      <c r="F10" s="40"/>
      <c r="G10" s="81"/>
    </row>
    <row r="11" spans="1:7" ht="12.75" x14ac:dyDescent="0.2">
      <c r="A11" s="80"/>
      <c r="B11" s="41" t="s">
        <v>37</v>
      </c>
      <c r="C11" s="24"/>
      <c r="D11" s="24"/>
      <c r="E11" s="42" t="s">
        <v>38</v>
      </c>
      <c r="F11" s="40"/>
      <c r="G11" s="81"/>
    </row>
    <row r="12" spans="1:7" ht="12.75" x14ac:dyDescent="0.2">
      <c r="A12" s="80"/>
      <c r="B12" s="23" t="s">
        <v>14</v>
      </c>
      <c r="C12" s="24"/>
      <c r="D12" s="43">
        <f>'Master Lookup'!C29</f>
        <v>0.20200000000000001</v>
      </c>
      <c r="E12" s="24"/>
      <c r="F12" s="32">
        <f>F9*D12</f>
        <v>12799.384580000002</v>
      </c>
      <c r="G12" s="13"/>
    </row>
    <row r="13" spans="1:7" ht="12.75" x14ac:dyDescent="0.2">
      <c r="A13" s="80"/>
      <c r="B13" s="36" t="s">
        <v>39</v>
      </c>
      <c r="C13" s="37"/>
      <c r="D13" s="37"/>
      <c r="E13" s="44">
        <f>F13/F3</f>
        <v>60.494578697378877</v>
      </c>
      <c r="F13" s="39">
        <f>F12+F9</f>
        <v>76162.674580000006</v>
      </c>
      <c r="G13" s="13"/>
    </row>
    <row r="14" spans="1:7" ht="12.75" x14ac:dyDescent="0.2">
      <c r="A14" s="80"/>
      <c r="B14" s="23"/>
      <c r="C14" s="24"/>
      <c r="D14" s="80"/>
      <c r="E14" s="45" t="s">
        <v>40</v>
      </c>
      <c r="F14" s="32"/>
      <c r="G14" s="13"/>
    </row>
    <row r="15" spans="1:7" ht="12.75" x14ac:dyDescent="0.2">
      <c r="A15" s="80"/>
      <c r="B15" s="23" t="s">
        <v>23</v>
      </c>
      <c r="C15" s="24"/>
      <c r="D15" s="80"/>
      <c r="E15" s="46">
        <f>'Master Lookup'!C28</f>
        <v>5403</v>
      </c>
      <c r="F15" s="32">
        <f>E15</f>
        <v>5403</v>
      </c>
      <c r="G15" s="13"/>
    </row>
    <row r="16" spans="1:7" ht="12.75" x14ac:dyDescent="0.2">
      <c r="A16" s="80"/>
      <c r="B16" s="23" t="s">
        <v>15</v>
      </c>
      <c r="C16" s="24"/>
      <c r="D16" s="80"/>
      <c r="E16" s="46">
        <f>'Master Lookup'!C25</f>
        <v>6809</v>
      </c>
      <c r="F16" s="32">
        <f>E16*E9</f>
        <v>8511.25</v>
      </c>
      <c r="G16" s="96"/>
    </row>
    <row r="17" spans="1:11" ht="12.75" x14ac:dyDescent="0.2">
      <c r="A17" s="80"/>
      <c r="B17" s="23" t="s">
        <v>116</v>
      </c>
      <c r="C17" s="24"/>
      <c r="D17" s="80"/>
      <c r="E17" s="47">
        <f>'Master Lookup'!C26</f>
        <v>1219</v>
      </c>
      <c r="F17" s="32">
        <f>E17*E9</f>
        <v>1523.75</v>
      </c>
      <c r="G17" s="96"/>
    </row>
    <row r="18" spans="1:11" ht="12.75" x14ac:dyDescent="0.2">
      <c r="A18" s="80"/>
      <c r="B18" s="36" t="s">
        <v>41</v>
      </c>
      <c r="C18" s="37"/>
      <c r="D18" s="37"/>
      <c r="E18" s="37"/>
      <c r="F18" s="39">
        <f>F13+F15+F16+F17</f>
        <v>91600.674580000006</v>
      </c>
      <c r="G18" s="96"/>
    </row>
    <row r="19" spans="1:11" ht="12.75" x14ac:dyDescent="0.2">
      <c r="A19" s="80"/>
      <c r="B19" s="48" t="s">
        <v>42</v>
      </c>
      <c r="C19" s="49"/>
      <c r="D19" s="50">
        <f>'Master Lookup'!C30</f>
        <v>0.1258</v>
      </c>
      <c r="E19" s="51"/>
      <c r="F19" s="52">
        <f>F18*D19</f>
        <v>11523.364862164</v>
      </c>
      <c r="G19" s="13"/>
    </row>
    <row r="20" spans="1:11" ht="13.5" thickBot="1" x14ac:dyDescent="0.25">
      <c r="A20" s="80"/>
      <c r="B20" s="53" t="s">
        <v>43</v>
      </c>
      <c r="C20" s="54"/>
      <c r="D20" s="54"/>
      <c r="E20" s="54"/>
      <c r="F20" s="55">
        <f>F18+F19</f>
        <v>103124.03944216401</v>
      </c>
      <c r="G20" s="14"/>
    </row>
    <row r="21" spans="1:11" ht="13.5" thickTop="1" x14ac:dyDescent="0.2">
      <c r="A21" s="80"/>
      <c r="B21" s="56" t="s">
        <v>117</v>
      </c>
      <c r="C21" s="57"/>
      <c r="D21" s="57"/>
      <c r="E21" s="57"/>
      <c r="F21" s="58">
        <f>F20/F3</f>
        <v>81.909483274157267</v>
      </c>
      <c r="G21" s="12"/>
    </row>
    <row r="22" spans="1:11" ht="13.5" thickBot="1" x14ac:dyDescent="0.25">
      <c r="A22" s="80"/>
      <c r="B22" s="59" t="s">
        <v>122</v>
      </c>
      <c r="C22" s="60"/>
      <c r="D22" s="61"/>
      <c r="E22" s="60"/>
      <c r="F22" s="62">
        <f>F21*0.25</f>
        <v>20.477370818539317</v>
      </c>
      <c r="G22" s="15"/>
    </row>
    <row r="23" spans="1:11" ht="13.5" thickBot="1" x14ac:dyDescent="0.25">
      <c r="A23" s="80"/>
      <c r="B23" s="65" t="s">
        <v>56</v>
      </c>
      <c r="C23" s="66"/>
      <c r="D23" s="415">
        <f>'Master Lookup'!C33</f>
        <v>2.5600000000000001E-2</v>
      </c>
      <c r="E23" s="68"/>
      <c r="F23" s="76">
        <f>F22*(D23+1)</f>
        <v>21.001591511493924</v>
      </c>
      <c r="G23" s="16"/>
    </row>
    <row r="24" spans="1:11" ht="12.75" x14ac:dyDescent="0.2">
      <c r="A24" s="80"/>
      <c r="B24" s="97"/>
      <c r="C24" s="98"/>
      <c r="D24" s="99"/>
      <c r="E24" s="98"/>
      <c r="F24" s="64"/>
      <c r="G24" s="15"/>
    </row>
    <row r="25" spans="1:11" ht="12.75" x14ac:dyDescent="0.2">
      <c r="A25" s="80"/>
      <c r="E25" s="91"/>
      <c r="F25" s="92"/>
      <c r="G25" s="15"/>
    </row>
    <row r="26" spans="1:11" ht="12.75" x14ac:dyDescent="0.2">
      <c r="E26" s="93"/>
      <c r="F26" s="94"/>
    </row>
    <row r="27" spans="1:11" x14ac:dyDescent="0.25">
      <c r="A27" s="80"/>
      <c r="B27" s="81"/>
      <c r="C27" s="81"/>
      <c r="D27" s="81"/>
      <c r="E27" s="81"/>
      <c r="F27" s="81"/>
      <c r="G27" s="15"/>
      <c r="H27" s="80"/>
      <c r="I27" s="12"/>
    </row>
    <row r="28" spans="1:11" x14ac:dyDescent="0.25">
      <c r="A28" s="80"/>
      <c r="B28" s="81"/>
      <c r="C28" s="81"/>
      <c r="D28" s="81"/>
      <c r="E28" s="81"/>
      <c r="F28" s="81"/>
      <c r="G28" s="15"/>
      <c r="H28" s="81"/>
      <c r="I28" s="12"/>
      <c r="J28" s="255"/>
      <c r="K28" s="255"/>
    </row>
    <row r="29" spans="1:11" x14ac:dyDescent="0.25">
      <c r="A29" s="80"/>
      <c r="B29" s="81"/>
      <c r="C29" s="81"/>
      <c r="D29" s="81"/>
      <c r="E29" s="81"/>
      <c r="F29" s="81"/>
      <c r="G29" s="15"/>
      <c r="H29" s="81"/>
      <c r="I29" s="12"/>
      <c r="J29" s="255"/>
      <c r="K29" s="255"/>
    </row>
    <row r="30" spans="1:11" x14ac:dyDescent="0.25">
      <c r="A30" s="80"/>
      <c r="B30" s="80"/>
      <c r="C30" s="80"/>
      <c r="D30" s="80"/>
      <c r="E30" s="80"/>
      <c r="F30" s="80"/>
      <c r="G30" s="17"/>
      <c r="H30" s="81"/>
      <c r="I30" s="12"/>
      <c r="J30" s="255"/>
      <c r="K30" s="255"/>
    </row>
    <row r="31" spans="1:11" x14ac:dyDescent="0.25">
      <c r="A31" s="80"/>
      <c r="B31" s="80"/>
      <c r="C31" s="80"/>
      <c r="D31" s="80"/>
      <c r="E31" s="80"/>
      <c r="F31" s="80"/>
      <c r="G31" s="12"/>
      <c r="H31" s="81"/>
      <c r="I31" s="12"/>
      <c r="J31" s="255"/>
      <c r="K31" s="255"/>
    </row>
    <row r="32" spans="1:11" x14ac:dyDescent="0.25">
      <c r="A32" s="80"/>
      <c r="B32" s="80"/>
      <c r="C32" s="80"/>
      <c r="D32" s="80"/>
      <c r="E32" s="80"/>
      <c r="F32" s="80"/>
      <c r="G32" s="14"/>
      <c r="H32" s="81"/>
      <c r="I32" s="256"/>
      <c r="J32" s="255"/>
      <c r="K32" s="255"/>
    </row>
    <row r="33" spans="1:11" x14ac:dyDescent="0.25">
      <c r="A33" s="80"/>
      <c r="B33" s="80"/>
      <c r="C33" s="80"/>
      <c r="D33" s="80"/>
      <c r="E33" s="80"/>
      <c r="F33" s="80"/>
      <c r="G33" s="12"/>
      <c r="H33" s="81"/>
      <c r="I33" s="12"/>
      <c r="J33" s="255"/>
      <c r="K33" s="255"/>
    </row>
    <row r="34" spans="1:11" x14ac:dyDescent="0.25">
      <c r="A34" s="95"/>
      <c r="B34" s="80"/>
      <c r="C34" s="80"/>
      <c r="D34" s="80"/>
      <c r="E34" s="80"/>
      <c r="F34" s="80"/>
      <c r="G34" s="13"/>
      <c r="H34" s="81"/>
      <c r="I34" s="12"/>
      <c r="J34" s="255"/>
      <c r="K34" s="255"/>
    </row>
    <row r="35" spans="1:11" ht="12.75" x14ac:dyDescent="0.2">
      <c r="A35" s="95"/>
      <c r="B35" s="80"/>
      <c r="C35" s="80"/>
      <c r="D35" s="80"/>
      <c r="E35" s="80"/>
      <c r="F35" s="80"/>
      <c r="G35" s="13"/>
      <c r="H35" s="81"/>
      <c r="I35" s="257"/>
      <c r="J35" s="255"/>
      <c r="K35" s="255"/>
    </row>
    <row r="36" spans="1:11" ht="12.75" x14ac:dyDescent="0.2">
      <c r="A36" s="95"/>
      <c r="B36" s="80"/>
      <c r="C36" s="80"/>
      <c r="D36" s="80"/>
      <c r="E36" s="80"/>
      <c r="F36" s="80"/>
      <c r="G36" s="12"/>
      <c r="H36" s="81"/>
      <c r="I36" s="69"/>
    </row>
    <row r="37" spans="1:11" ht="12.75" x14ac:dyDescent="0.2">
      <c r="A37" s="95"/>
      <c r="B37" s="80"/>
      <c r="C37" s="80"/>
      <c r="D37" s="80"/>
      <c r="E37" s="80"/>
      <c r="F37" s="80"/>
      <c r="G37" s="14"/>
      <c r="H37" s="81"/>
      <c r="I37" s="80"/>
    </row>
    <row r="38" spans="1:11" ht="12.75" x14ac:dyDescent="0.2">
      <c r="A38" s="95"/>
      <c r="B38" s="80"/>
      <c r="C38" s="80"/>
      <c r="D38" s="80"/>
      <c r="E38" s="80"/>
      <c r="F38" s="80"/>
      <c r="G38" s="12"/>
      <c r="H38" s="81"/>
      <c r="I38" s="80"/>
    </row>
    <row r="39" spans="1:11" ht="12.75" x14ac:dyDescent="0.2">
      <c r="A39" s="95"/>
      <c r="B39" s="80"/>
      <c r="C39" s="80"/>
      <c r="D39" s="80"/>
      <c r="E39" s="80"/>
      <c r="F39" s="80"/>
      <c r="G39" s="80"/>
      <c r="H39" s="80"/>
      <c r="I39" s="80"/>
    </row>
    <row r="40" spans="1:11" ht="12.75" x14ac:dyDescent="0.2">
      <c r="A40" s="80"/>
      <c r="B40" s="80"/>
      <c r="C40" s="80"/>
      <c r="D40" s="80"/>
      <c r="E40" s="80"/>
      <c r="F40" s="80"/>
      <c r="G40" s="80"/>
      <c r="H40" s="80"/>
      <c r="I40" s="80"/>
    </row>
    <row r="41" spans="1:11" ht="12.75" x14ac:dyDescent="0.2">
      <c r="A41" s="80"/>
      <c r="B41" s="80"/>
      <c r="C41" s="80"/>
      <c r="D41" s="80"/>
      <c r="E41" s="80"/>
      <c r="F41" s="80"/>
      <c r="G41" s="80"/>
      <c r="H41" s="80"/>
      <c r="I41" s="80"/>
    </row>
    <row r="42" spans="1:11" ht="12.75" x14ac:dyDescent="0.2">
      <c r="A42" s="80"/>
      <c r="B42" s="80"/>
      <c r="C42" s="80"/>
      <c r="D42" s="80"/>
      <c r="E42" s="80"/>
      <c r="F42" s="80"/>
      <c r="G42" s="80"/>
      <c r="H42" s="80"/>
      <c r="I42" s="80"/>
    </row>
    <row r="43" spans="1:11" x14ac:dyDescent="0.25">
      <c r="A43" s="80"/>
      <c r="G43" s="80"/>
      <c r="H43" s="80"/>
      <c r="I43" s="80"/>
    </row>
  </sheetData>
  <mergeCells count="1">
    <mergeCell ref="B2:F2"/>
  </mergeCells>
  <pageMargins left="0.7" right="0.7" top="0.75" bottom="0.75" header="0.3" footer="0.3"/>
  <pageSetup scale="89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selection activeCell="J24" sqref="J24"/>
    </sheetView>
  </sheetViews>
  <sheetFormatPr defaultColWidth="9.109375" defaultRowHeight="13.2" x14ac:dyDescent="0.25"/>
  <cols>
    <col min="1" max="1" width="9.109375" style="82"/>
    <col min="2" max="2" width="32.88671875" style="82" customWidth="1"/>
    <col min="3" max="3" width="6" style="82" customWidth="1"/>
    <col min="4" max="6" width="14.5546875" style="82" customWidth="1"/>
    <col min="7" max="7" width="9.109375" style="82"/>
    <col min="8" max="8" width="32.44140625" style="82" customWidth="1"/>
    <col min="9" max="9" width="0.88671875" style="82" customWidth="1"/>
    <col min="10" max="10" width="10.5546875" style="82" customWidth="1"/>
    <col min="11" max="12" width="18.88671875" style="82" customWidth="1"/>
    <col min="13" max="16384" width="9.109375" style="82"/>
  </cols>
  <sheetData>
    <row r="1" spans="1:13" ht="13.5" thickBot="1" x14ac:dyDescent="0.25">
      <c r="A1" s="8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3.5" thickBot="1" x14ac:dyDescent="0.25">
      <c r="A2" s="80"/>
      <c r="B2" s="502" t="s">
        <v>124</v>
      </c>
      <c r="C2" s="503"/>
      <c r="D2" s="503"/>
      <c r="E2" s="503"/>
      <c r="F2" s="504"/>
      <c r="G2" s="10"/>
      <c r="H2" s="505" t="s">
        <v>125</v>
      </c>
      <c r="I2" s="506"/>
      <c r="J2" s="503"/>
      <c r="K2" s="503"/>
      <c r="L2" s="504"/>
      <c r="M2" s="10"/>
    </row>
    <row r="3" spans="1:13" ht="13.5" thickBot="1" x14ac:dyDescent="0.25">
      <c r="A3" s="80"/>
      <c r="B3" s="100" t="s">
        <v>126</v>
      </c>
      <c r="C3" s="19"/>
      <c r="D3" s="20"/>
      <c r="E3" s="21" t="s">
        <v>115</v>
      </c>
      <c r="F3" s="22">
        <v>1322</v>
      </c>
      <c r="G3" s="11"/>
      <c r="H3" s="370" t="s">
        <v>127</v>
      </c>
      <c r="I3" s="70"/>
      <c r="J3" s="20"/>
      <c r="K3" s="21" t="s">
        <v>115</v>
      </c>
      <c r="L3" s="22">
        <v>1394</v>
      </c>
      <c r="M3" s="11"/>
    </row>
    <row r="4" spans="1:13" ht="12.75" x14ac:dyDescent="0.2">
      <c r="A4" s="80"/>
      <c r="B4" s="25"/>
      <c r="C4" s="26"/>
      <c r="D4" s="27" t="s">
        <v>33</v>
      </c>
      <c r="E4" s="27" t="s">
        <v>34</v>
      </c>
      <c r="F4" s="28" t="s">
        <v>35</v>
      </c>
      <c r="G4" s="12"/>
      <c r="H4" s="25"/>
      <c r="I4" s="26"/>
      <c r="J4" s="27" t="s">
        <v>33</v>
      </c>
      <c r="K4" s="27" t="s">
        <v>34</v>
      </c>
      <c r="L4" s="28" t="s">
        <v>35</v>
      </c>
      <c r="M4" s="12"/>
    </row>
    <row r="5" spans="1:13" ht="12.75" x14ac:dyDescent="0.2">
      <c r="A5" s="80"/>
      <c r="B5" s="29" t="str">
        <f>'Master Lookup'!B13</f>
        <v>Program Management</v>
      </c>
      <c r="C5" s="24"/>
      <c r="D5" s="258">
        <f>'Master Lookup'!C13</f>
        <v>65000</v>
      </c>
      <c r="E5" s="31">
        <v>0.05</v>
      </c>
      <c r="F5" s="32">
        <f>D5*E5</f>
        <v>3250</v>
      </c>
      <c r="G5" s="10"/>
      <c r="H5" s="29" t="str">
        <f>B5</f>
        <v>Program Management</v>
      </c>
      <c r="I5" s="24"/>
      <c r="J5" s="30">
        <f>'Master Lookup'!C13</f>
        <v>65000</v>
      </c>
      <c r="K5" s="31">
        <v>0.05</v>
      </c>
      <c r="L5" s="32">
        <f>J5*K5</f>
        <v>3250</v>
      </c>
      <c r="M5" s="10"/>
    </row>
    <row r="6" spans="1:13" ht="12.75" x14ac:dyDescent="0.2">
      <c r="A6" s="80"/>
      <c r="B6" s="29" t="str">
        <f>'Master Lookup'!B18</f>
        <v>Clinician (MA Level)</v>
      </c>
      <c r="C6" s="24"/>
      <c r="D6" s="30">
        <f>'Master Lookup'!C18</f>
        <v>60000</v>
      </c>
      <c r="E6" s="418">
        <v>0.15</v>
      </c>
      <c r="F6" s="32">
        <f t="shared" ref="F6:F8" si="0">D6*E6</f>
        <v>9000</v>
      </c>
      <c r="G6" s="13"/>
      <c r="H6" s="29" t="str">
        <f>B6</f>
        <v>Clinician (MA Level)</v>
      </c>
      <c r="I6" s="24"/>
      <c r="J6" s="30">
        <f>'Master Lookup'!C18</f>
        <v>60000</v>
      </c>
      <c r="K6" s="418">
        <v>0.05</v>
      </c>
      <c r="L6" s="32">
        <f t="shared" ref="L6:L8" si="1">J6*K6</f>
        <v>3000</v>
      </c>
      <c r="M6" s="13"/>
    </row>
    <row r="7" spans="1:13" ht="12.75" x14ac:dyDescent="0.2">
      <c r="A7" s="80"/>
      <c r="B7" s="29" t="str">
        <f>'Master Lookup'!B20</f>
        <v>Direct Care (MA Level)</v>
      </c>
      <c r="C7" s="24"/>
      <c r="D7" s="33">
        <f>'Master Lookup'!C20</f>
        <v>52433.29</v>
      </c>
      <c r="E7" s="34">
        <v>1</v>
      </c>
      <c r="F7" s="32">
        <f t="shared" si="0"/>
        <v>52433.29</v>
      </c>
      <c r="G7" s="13"/>
      <c r="H7" s="29" t="str">
        <f>'Master Lookup'!B21</f>
        <v>Direct Care (Non Masters)</v>
      </c>
      <c r="I7" s="24"/>
      <c r="J7" s="33">
        <f>'Master Lookup'!C21</f>
        <v>38608</v>
      </c>
      <c r="K7" s="34">
        <v>1</v>
      </c>
      <c r="L7" s="32">
        <f t="shared" si="1"/>
        <v>38608</v>
      </c>
      <c r="M7" s="13"/>
    </row>
    <row r="8" spans="1:13" ht="12.75" x14ac:dyDescent="0.2">
      <c r="A8" s="80"/>
      <c r="B8" s="29" t="str">
        <f>'Master Lookup'!B22</f>
        <v>Support Staffing</v>
      </c>
      <c r="C8" s="24"/>
      <c r="D8" s="30">
        <f>'Master Lookup'!C22</f>
        <v>31200</v>
      </c>
      <c r="E8" s="35">
        <v>0.05</v>
      </c>
      <c r="F8" s="32">
        <f t="shared" si="0"/>
        <v>1560</v>
      </c>
      <c r="G8" s="13"/>
      <c r="H8" s="29" t="str">
        <f>B8</f>
        <v>Support Staffing</v>
      </c>
      <c r="I8" s="24"/>
      <c r="J8" s="30">
        <f>'Master Lookup'!C22</f>
        <v>31200</v>
      </c>
      <c r="K8" s="35">
        <v>0.05</v>
      </c>
      <c r="L8" s="32">
        <f t="shared" si="1"/>
        <v>1560</v>
      </c>
      <c r="M8" s="13"/>
    </row>
    <row r="9" spans="1:13" ht="12.75" x14ac:dyDescent="0.2">
      <c r="A9" s="80"/>
      <c r="B9" s="36" t="s">
        <v>36</v>
      </c>
      <c r="C9" s="37"/>
      <c r="D9" s="37"/>
      <c r="E9" s="38">
        <f>SUM(E5:E8)</f>
        <v>1.25</v>
      </c>
      <c r="F9" s="39">
        <f>SUM(F5:F8)</f>
        <v>66243.290000000008</v>
      </c>
      <c r="G9" s="13"/>
      <c r="H9" s="36" t="s">
        <v>36</v>
      </c>
      <c r="I9" s="37"/>
      <c r="J9" s="37"/>
      <c r="K9" s="38">
        <f>SUM(K5:K8)</f>
        <v>1.1500000000000001</v>
      </c>
      <c r="L9" s="39">
        <f>SUM(L5:L8)</f>
        <v>46418</v>
      </c>
      <c r="M9" s="13"/>
    </row>
    <row r="10" spans="1:13" ht="12.75" x14ac:dyDescent="0.2">
      <c r="A10" s="80"/>
      <c r="B10" s="23"/>
      <c r="C10" s="24"/>
      <c r="D10" s="24"/>
      <c r="E10" s="24"/>
      <c r="F10" s="40"/>
      <c r="G10" s="81"/>
      <c r="H10" s="23"/>
      <c r="I10" s="24"/>
      <c r="J10" s="24"/>
      <c r="K10" s="24"/>
      <c r="L10" s="40"/>
      <c r="M10" s="81"/>
    </row>
    <row r="11" spans="1:13" ht="12.75" x14ac:dyDescent="0.2">
      <c r="A11" s="80"/>
      <c r="B11" s="41" t="s">
        <v>37</v>
      </c>
      <c r="C11" s="24"/>
      <c r="D11" s="24"/>
      <c r="E11" s="42" t="s">
        <v>38</v>
      </c>
      <c r="F11" s="40"/>
      <c r="G11" s="81"/>
      <c r="H11" s="41" t="s">
        <v>37</v>
      </c>
      <c r="I11" s="24"/>
      <c r="J11" s="24"/>
      <c r="K11" s="42" t="s">
        <v>38</v>
      </c>
      <c r="L11" s="40"/>
      <c r="M11" s="81"/>
    </row>
    <row r="12" spans="1:13" ht="12.75" x14ac:dyDescent="0.2">
      <c r="A12" s="80"/>
      <c r="B12" s="23" t="s">
        <v>14</v>
      </c>
      <c r="C12" s="24"/>
      <c r="D12" s="43">
        <f>'Master Lookup'!C29</f>
        <v>0.20200000000000001</v>
      </c>
      <c r="E12" s="24"/>
      <c r="F12" s="32">
        <f>F9*D12</f>
        <v>13381.144580000002</v>
      </c>
      <c r="G12" s="13"/>
      <c r="H12" s="23" t="s">
        <v>14</v>
      </c>
      <c r="I12" s="24"/>
      <c r="J12" s="43">
        <f>D12</f>
        <v>0.20200000000000001</v>
      </c>
      <c r="K12" s="24"/>
      <c r="L12" s="32">
        <f>L9*J12</f>
        <v>9376.4359999999997</v>
      </c>
      <c r="M12" s="13"/>
    </row>
    <row r="13" spans="1:13" ht="12.75" x14ac:dyDescent="0.2">
      <c r="A13" s="80"/>
      <c r="B13" s="36" t="s">
        <v>39</v>
      </c>
      <c r="C13" s="37"/>
      <c r="D13" s="37"/>
      <c r="E13" s="44">
        <f>F13/F3</f>
        <v>60.230283343419075</v>
      </c>
      <c r="F13" s="39">
        <f>F12+F9</f>
        <v>79624.434580000016</v>
      </c>
      <c r="G13" s="13"/>
      <c r="H13" s="36" t="s">
        <v>39</v>
      </c>
      <c r="I13" s="37"/>
      <c r="J13" s="37"/>
      <c r="K13" s="44">
        <f>L13/L3</f>
        <v>40.024703012912482</v>
      </c>
      <c r="L13" s="39">
        <f>L12+L9</f>
        <v>55794.436000000002</v>
      </c>
      <c r="M13" s="13"/>
    </row>
    <row r="14" spans="1:13" ht="12.75" x14ac:dyDescent="0.2">
      <c r="A14" s="80"/>
      <c r="B14" s="23"/>
      <c r="C14" s="24"/>
      <c r="D14" s="80"/>
      <c r="E14" s="45" t="s">
        <v>40</v>
      </c>
      <c r="F14" s="32"/>
      <c r="G14" s="13"/>
      <c r="H14" s="23"/>
      <c r="I14" s="24"/>
      <c r="J14" s="80"/>
      <c r="K14" s="45" t="s">
        <v>40</v>
      </c>
      <c r="L14" s="32"/>
      <c r="M14" s="13"/>
    </row>
    <row r="15" spans="1:13" ht="12.75" x14ac:dyDescent="0.2">
      <c r="A15" s="80"/>
      <c r="B15" s="23" t="s">
        <v>23</v>
      </c>
      <c r="C15" s="24"/>
      <c r="D15" s="80"/>
      <c r="E15" s="46">
        <f>'Master Lookup'!C28</f>
        <v>5403</v>
      </c>
      <c r="F15" s="32">
        <f>E15*(E6+E7)</f>
        <v>6213.45</v>
      </c>
      <c r="G15" s="13"/>
      <c r="H15" s="23" t="s">
        <v>23</v>
      </c>
      <c r="I15" s="24"/>
      <c r="J15" s="80"/>
      <c r="K15" s="46">
        <f>'Master Lookup'!C28</f>
        <v>5403</v>
      </c>
      <c r="L15" s="32">
        <f>K15</f>
        <v>5403</v>
      </c>
      <c r="M15" s="13"/>
    </row>
    <row r="16" spans="1:13" ht="12.75" x14ac:dyDescent="0.2">
      <c r="A16" s="80"/>
      <c r="B16" s="23" t="s">
        <v>15</v>
      </c>
      <c r="C16" s="24"/>
      <c r="D16" s="80"/>
      <c r="E16" s="46">
        <f>'Master Lookup'!C25</f>
        <v>6809</v>
      </c>
      <c r="F16" s="32">
        <f>E16*E9</f>
        <v>8511.25</v>
      </c>
      <c r="G16" s="96"/>
      <c r="H16" s="23" t="s">
        <v>15</v>
      </c>
      <c r="I16" s="24"/>
      <c r="J16" s="80"/>
      <c r="K16" s="46">
        <f>'Master Lookup'!C25</f>
        <v>6809</v>
      </c>
      <c r="L16" s="32">
        <f>K16*K9</f>
        <v>7830.3500000000013</v>
      </c>
      <c r="M16" s="96"/>
    </row>
    <row r="17" spans="1:13" ht="12.75" x14ac:dyDescent="0.2">
      <c r="A17" s="80"/>
      <c r="B17" s="23" t="s">
        <v>116</v>
      </c>
      <c r="C17" s="24"/>
      <c r="D17" s="80"/>
      <c r="E17" s="47">
        <f>'Master Lookup'!C26</f>
        <v>1219</v>
      </c>
      <c r="F17" s="32">
        <f>E17*E9</f>
        <v>1523.75</v>
      </c>
      <c r="G17" s="96"/>
      <c r="H17" s="23" t="s">
        <v>116</v>
      </c>
      <c r="I17" s="24"/>
      <c r="J17" s="80"/>
      <c r="K17" s="47">
        <f>'Master Lookup'!C26</f>
        <v>1219</v>
      </c>
      <c r="L17" s="32">
        <f>K17*K9</f>
        <v>1401.8500000000001</v>
      </c>
      <c r="M17" s="96"/>
    </row>
    <row r="18" spans="1:13" ht="12.75" x14ac:dyDescent="0.2">
      <c r="A18" s="80"/>
      <c r="B18" s="36" t="s">
        <v>41</v>
      </c>
      <c r="C18" s="37"/>
      <c r="D18" s="37"/>
      <c r="E18" s="37"/>
      <c r="F18" s="39">
        <f>F13+F15+F16+F17</f>
        <v>95872.884580000013</v>
      </c>
      <c r="G18" s="96"/>
      <c r="H18" s="36" t="s">
        <v>41</v>
      </c>
      <c r="I18" s="37"/>
      <c r="J18" s="37"/>
      <c r="K18" s="37"/>
      <c r="L18" s="39">
        <f>L13+L15+L16+L17</f>
        <v>70429.636000000013</v>
      </c>
      <c r="M18" s="96"/>
    </row>
    <row r="19" spans="1:13" ht="12.75" x14ac:dyDescent="0.2">
      <c r="A19" s="80"/>
      <c r="B19" s="48" t="s">
        <v>42</v>
      </c>
      <c r="C19" s="49"/>
      <c r="D19" s="50">
        <f>'Master Lookup'!C30</f>
        <v>0.1258</v>
      </c>
      <c r="E19" s="51"/>
      <c r="F19" s="52">
        <f>F18*D19</f>
        <v>12060.808880164001</v>
      </c>
      <c r="G19" s="13"/>
      <c r="H19" s="48" t="s">
        <v>42</v>
      </c>
      <c r="I19" s="49"/>
      <c r="J19" s="50">
        <f>'Master Lookup'!C30</f>
        <v>0.1258</v>
      </c>
      <c r="K19" s="51"/>
      <c r="L19" s="52">
        <f>L18*J19</f>
        <v>8860.0482088000008</v>
      </c>
      <c r="M19" s="13"/>
    </row>
    <row r="20" spans="1:13" ht="13.5" thickBot="1" x14ac:dyDescent="0.25">
      <c r="A20" s="80"/>
      <c r="B20" s="53" t="s">
        <v>43</v>
      </c>
      <c r="C20" s="54"/>
      <c r="D20" s="54"/>
      <c r="E20" s="54"/>
      <c r="F20" s="55">
        <f>F18+F19</f>
        <v>107933.69346016401</v>
      </c>
      <c r="G20" s="14"/>
      <c r="H20" s="53" t="s">
        <v>43</v>
      </c>
      <c r="I20" s="54"/>
      <c r="J20" s="54"/>
      <c r="K20" s="54"/>
      <c r="L20" s="55">
        <f>L18+L19</f>
        <v>79289.684208800012</v>
      </c>
      <c r="M20" s="14"/>
    </row>
    <row r="21" spans="1:13" ht="14.25" thickTop="1" thickBot="1" x14ac:dyDescent="0.25">
      <c r="A21" s="80"/>
      <c r="B21" s="23" t="s">
        <v>117</v>
      </c>
      <c r="C21" s="24"/>
      <c r="D21" s="24"/>
      <c r="E21" s="24"/>
      <c r="F21" s="40">
        <f>F20/F3</f>
        <v>81.644246187718622</v>
      </c>
      <c r="G21" s="12" t="s">
        <v>128</v>
      </c>
      <c r="H21" s="23" t="s">
        <v>117</v>
      </c>
      <c r="I21" s="24"/>
      <c r="J21" s="24"/>
      <c r="K21" s="24"/>
      <c r="L21" s="40">
        <f>L20/L3+0.01</f>
        <v>56.889256964705886</v>
      </c>
      <c r="M21" s="12"/>
    </row>
    <row r="22" spans="1:13" ht="13.5" thickBot="1" x14ac:dyDescent="0.25">
      <c r="A22" s="80"/>
      <c r="B22" s="101" t="s">
        <v>122</v>
      </c>
      <c r="C22" s="102"/>
      <c r="D22" s="103"/>
      <c r="E22" s="102"/>
      <c r="F22" s="77">
        <f>F21*0.25</f>
        <v>20.411061546929655</v>
      </c>
      <c r="G22" s="15"/>
      <c r="H22" s="65" t="s">
        <v>129</v>
      </c>
      <c r="I22" s="66"/>
      <c r="J22" s="67"/>
      <c r="K22" s="68"/>
      <c r="L22" s="79">
        <f>L21*0.25+0.11</f>
        <v>14.332314241176471</v>
      </c>
      <c r="M22" s="15"/>
    </row>
    <row r="23" spans="1:13" ht="13.95" thickBot="1" x14ac:dyDescent="0.3">
      <c r="A23" s="80"/>
      <c r="B23" s="104" t="s">
        <v>123</v>
      </c>
      <c r="C23" s="71"/>
      <c r="D23" s="416">
        <f>'Master Lookup'!C33</f>
        <v>2.5600000000000001E-2</v>
      </c>
      <c r="E23" s="72"/>
      <c r="F23" s="78">
        <f>F22*(1+D23)</f>
        <v>20.933584722531055</v>
      </c>
      <c r="G23" s="15"/>
      <c r="H23" s="73" t="s">
        <v>123</v>
      </c>
      <c r="I23" s="74"/>
      <c r="J23" s="417">
        <f>D23</f>
        <v>2.5600000000000001E-2</v>
      </c>
      <c r="K23" s="74"/>
      <c r="L23" s="425">
        <f>L22*(1+J23)</f>
        <v>14.69922148575059</v>
      </c>
      <c r="M23" s="15"/>
    </row>
    <row r="24" spans="1:13" ht="12.75" x14ac:dyDescent="0.2">
      <c r="A24" s="80"/>
      <c r="B24" s="81"/>
      <c r="C24" s="81"/>
      <c r="D24" s="81"/>
      <c r="E24" s="81"/>
      <c r="F24" s="81"/>
      <c r="G24" s="15"/>
      <c r="M24" s="15"/>
    </row>
    <row r="25" spans="1:13" ht="12.75" x14ac:dyDescent="0.2">
      <c r="A25" s="80"/>
      <c r="E25" s="91"/>
      <c r="F25" s="92"/>
      <c r="G25" s="15"/>
      <c r="K25" s="91"/>
      <c r="L25" s="92"/>
      <c r="M25" s="15"/>
    </row>
    <row r="26" spans="1:13" ht="12.75" x14ac:dyDescent="0.2">
      <c r="E26" s="93"/>
      <c r="F26" s="94"/>
      <c r="K26" s="93"/>
      <c r="L26" s="94"/>
    </row>
    <row r="28" spans="1:13" x14ac:dyDescent="0.25">
      <c r="A28" s="80"/>
      <c r="B28" s="80"/>
      <c r="C28" s="80"/>
      <c r="D28" s="80"/>
      <c r="E28" s="80"/>
      <c r="F28" s="80"/>
      <c r="G28" s="15"/>
      <c r="H28" s="17"/>
      <c r="I28" s="17"/>
      <c r="J28" s="17"/>
      <c r="K28" s="17"/>
      <c r="L28" s="17"/>
      <c r="M28" s="15"/>
    </row>
    <row r="29" spans="1:13" x14ac:dyDescent="0.25">
      <c r="A29" s="80"/>
      <c r="B29" s="80"/>
      <c r="C29" s="80"/>
      <c r="D29" s="80"/>
      <c r="E29" s="80"/>
      <c r="F29" s="80"/>
      <c r="G29" s="15"/>
      <c r="H29" s="12"/>
      <c r="I29" s="12"/>
      <c r="J29" s="12"/>
      <c r="K29" s="12"/>
      <c r="L29" s="12"/>
      <c r="M29" s="15"/>
    </row>
    <row r="30" spans="1:13" ht="14.4" x14ac:dyDescent="0.3">
      <c r="A30" s="80"/>
      <c r="B30" s="80"/>
      <c r="C30" s="80"/>
      <c r="D30" s="80"/>
      <c r="E30" s="80"/>
      <c r="F30" s="80"/>
      <c r="G30" s="15"/>
      <c r="H30" s="14"/>
      <c r="I30" s="14"/>
      <c r="J30" s="260"/>
      <c r="K30" s="14"/>
      <c r="L30" s="14"/>
      <c r="M30" s="15"/>
    </row>
    <row r="31" spans="1:13" ht="14.4" x14ac:dyDescent="0.3">
      <c r="A31" s="80"/>
      <c r="B31" s="80"/>
      <c r="C31" s="80"/>
      <c r="D31" s="80"/>
      <c r="E31" s="80"/>
      <c r="F31" s="80"/>
      <c r="G31" s="17"/>
      <c r="H31" s="12"/>
      <c r="I31" s="12"/>
      <c r="J31" s="259"/>
      <c r="K31" s="12"/>
      <c r="L31" s="12"/>
      <c r="M31" s="17"/>
    </row>
    <row r="32" spans="1:13" ht="14.4" x14ac:dyDescent="0.3">
      <c r="A32" s="80"/>
      <c r="B32" s="80"/>
      <c r="C32" s="80"/>
      <c r="D32" s="80"/>
      <c r="E32" s="80"/>
      <c r="F32" s="80"/>
      <c r="G32" s="12"/>
      <c r="H32" s="13"/>
      <c r="I32" s="13"/>
      <c r="J32" s="259"/>
      <c r="K32" s="13"/>
      <c r="L32" s="13"/>
      <c r="M32" s="12"/>
    </row>
    <row r="33" spans="1:13" ht="14.4" x14ac:dyDescent="0.3">
      <c r="A33" s="80"/>
      <c r="B33" s="80"/>
      <c r="C33" s="80"/>
      <c r="D33" s="80"/>
      <c r="E33" s="80"/>
      <c r="F33" s="80"/>
      <c r="G33" s="14"/>
      <c r="H33" s="13"/>
      <c r="I33" s="13"/>
      <c r="J33" s="259"/>
      <c r="K33" s="13"/>
      <c r="L33" s="13"/>
      <c r="M33" s="14"/>
    </row>
    <row r="34" spans="1:13" ht="13.2" customHeight="1" x14ac:dyDescent="0.3">
      <c r="A34" s="80"/>
      <c r="B34" s="80"/>
      <c r="C34" s="80"/>
      <c r="D34" s="80"/>
      <c r="E34" s="80"/>
      <c r="F34" s="80"/>
      <c r="G34" s="12"/>
      <c r="H34" s="12"/>
      <c r="I34" s="12"/>
      <c r="J34" s="259"/>
      <c r="K34" s="12"/>
      <c r="L34" s="12"/>
      <c r="M34" s="12"/>
    </row>
    <row r="35" spans="1:13" ht="15" x14ac:dyDescent="0.25">
      <c r="A35" s="95"/>
      <c r="B35" s="80"/>
      <c r="C35" s="80"/>
      <c r="D35" s="80"/>
      <c r="E35" s="80"/>
      <c r="F35" s="80"/>
      <c r="G35" s="13"/>
      <c r="H35" s="14"/>
      <c r="I35" s="14"/>
      <c r="J35" s="259"/>
      <c r="K35" s="14"/>
      <c r="L35" s="14"/>
      <c r="M35" s="13"/>
    </row>
    <row r="36" spans="1:13" ht="15" x14ac:dyDescent="0.25">
      <c r="A36" s="95"/>
      <c r="B36" s="80"/>
      <c r="C36" s="80"/>
      <c r="D36" s="80"/>
      <c r="E36" s="80"/>
      <c r="F36" s="80"/>
      <c r="G36" s="13"/>
      <c r="H36" s="12"/>
      <c r="I36" s="12"/>
      <c r="J36" s="259"/>
      <c r="K36" s="12"/>
      <c r="L36" s="12"/>
      <c r="M36" s="13"/>
    </row>
    <row r="37" spans="1:13" ht="15" x14ac:dyDescent="0.25">
      <c r="A37" s="95"/>
      <c r="B37" s="80"/>
      <c r="C37" s="80"/>
      <c r="D37" s="80"/>
      <c r="E37" s="80"/>
      <c r="F37" s="80"/>
      <c r="G37" s="12"/>
      <c r="H37" s="80"/>
      <c r="I37" s="80"/>
      <c r="J37" s="259"/>
      <c r="K37" s="80"/>
      <c r="L37" s="80"/>
      <c r="M37" s="12"/>
    </row>
    <row r="38" spans="1:13" ht="12.75" x14ac:dyDescent="0.2">
      <c r="A38" s="95"/>
      <c r="B38" s="80"/>
      <c r="C38" s="80"/>
      <c r="D38" s="80"/>
      <c r="E38" s="80"/>
      <c r="F38" s="80"/>
      <c r="G38" s="14"/>
      <c r="H38" s="80"/>
      <c r="I38" s="80"/>
      <c r="J38" s="80"/>
      <c r="K38" s="80"/>
      <c r="L38" s="80"/>
      <c r="M38" s="14"/>
    </row>
    <row r="39" spans="1:13" ht="12.75" x14ac:dyDescent="0.2">
      <c r="A39" s="95"/>
      <c r="B39" s="80"/>
      <c r="C39" s="80"/>
      <c r="D39" s="80"/>
      <c r="E39" s="80"/>
      <c r="F39" s="80"/>
      <c r="G39" s="12"/>
      <c r="H39" s="80"/>
      <c r="I39" s="80"/>
      <c r="J39" s="80"/>
      <c r="K39" s="80"/>
      <c r="L39" s="80"/>
      <c r="M39" s="12"/>
    </row>
    <row r="40" spans="1:13" ht="12.75" x14ac:dyDescent="0.2">
      <c r="A40" s="95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</row>
    <row r="41" spans="1:13" ht="12.75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</row>
    <row r="42" spans="1:13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</row>
    <row r="43" spans="1:13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</row>
    <row r="44" spans="1:13" x14ac:dyDescent="0.2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</row>
    <row r="45" spans="1:13" x14ac:dyDescent="0.2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6" spans="1:13" x14ac:dyDescent="0.25">
      <c r="A46" s="80"/>
      <c r="B46" s="81"/>
      <c r="C46" s="81"/>
      <c r="D46" s="81"/>
      <c r="E46" s="81"/>
      <c r="F46" s="81"/>
      <c r="G46" s="80"/>
      <c r="H46" s="80"/>
      <c r="I46" s="80"/>
      <c r="J46" s="80"/>
      <c r="K46" s="80"/>
      <c r="L46" s="80"/>
      <c r="M46" s="80"/>
    </row>
    <row r="47" spans="1:13" x14ac:dyDescent="0.25">
      <c r="A47" s="80"/>
      <c r="B47" s="81"/>
      <c r="C47" s="81"/>
      <c r="D47" s="81"/>
      <c r="E47" s="81"/>
      <c r="F47" s="81"/>
      <c r="G47" s="80"/>
      <c r="H47" s="75"/>
      <c r="I47" s="75"/>
      <c r="J47" s="75"/>
      <c r="K47" s="75"/>
      <c r="L47" s="75"/>
      <c r="M47" s="80"/>
    </row>
    <row r="48" spans="1:13" x14ac:dyDescent="0.25">
      <c r="A48" s="80"/>
      <c r="G48" s="80"/>
      <c r="M48" s="80"/>
    </row>
    <row r="49" spans="1:13" x14ac:dyDescent="0.25">
      <c r="A49" s="80"/>
      <c r="G49" s="80"/>
      <c r="M49" s="80"/>
    </row>
  </sheetData>
  <mergeCells count="2">
    <mergeCell ref="B2:F2"/>
    <mergeCell ref="H2:L2"/>
  </mergeCells>
  <pageMargins left="0.7" right="0.7" top="0.75" bottom="0.75" header="0.3" footer="0.3"/>
  <pageSetup scale="7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7"/>
  <sheetViews>
    <sheetView topLeftCell="BA4" workbookViewId="0">
      <selection activeCell="BF16" sqref="BF16:BQ27"/>
    </sheetView>
  </sheetViews>
  <sheetFormatPr defaultRowHeight="13.2" x14ac:dyDescent="0.25"/>
  <cols>
    <col min="1" max="1" width="38.44140625" style="372" customWidth="1"/>
    <col min="2" max="2" width="12.88671875" style="373" customWidth="1"/>
    <col min="3" max="74" width="10.33203125" style="372" customWidth="1"/>
    <col min="75" max="256" width="9.109375" style="372"/>
    <col min="257" max="257" width="38.44140625" style="372" customWidth="1"/>
    <col min="258" max="258" width="12.88671875" style="372" customWidth="1"/>
    <col min="259" max="330" width="10.33203125" style="372" customWidth="1"/>
    <col min="331" max="512" width="9.109375" style="372"/>
    <col min="513" max="513" width="38.44140625" style="372" customWidth="1"/>
    <col min="514" max="514" width="12.88671875" style="372" customWidth="1"/>
    <col min="515" max="586" width="10.33203125" style="372" customWidth="1"/>
    <col min="587" max="768" width="9.109375" style="372"/>
    <col min="769" max="769" width="38.44140625" style="372" customWidth="1"/>
    <col min="770" max="770" width="12.88671875" style="372" customWidth="1"/>
    <col min="771" max="842" width="10.33203125" style="372" customWidth="1"/>
    <col min="843" max="1024" width="9.109375" style="372"/>
    <col min="1025" max="1025" width="38.44140625" style="372" customWidth="1"/>
    <col min="1026" max="1026" width="12.88671875" style="372" customWidth="1"/>
    <col min="1027" max="1098" width="10.33203125" style="372" customWidth="1"/>
    <col min="1099" max="1280" width="9.109375" style="372"/>
    <col min="1281" max="1281" width="38.44140625" style="372" customWidth="1"/>
    <col min="1282" max="1282" width="12.88671875" style="372" customWidth="1"/>
    <col min="1283" max="1354" width="10.33203125" style="372" customWidth="1"/>
    <col min="1355" max="1536" width="9.109375" style="372"/>
    <col min="1537" max="1537" width="38.44140625" style="372" customWidth="1"/>
    <col min="1538" max="1538" width="12.88671875" style="372" customWidth="1"/>
    <col min="1539" max="1610" width="10.33203125" style="372" customWidth="1"/>
    <col min="1611" max="1792" width="9.109375" style="372"/>
    <col min="1793" max="1793" width="38.44140625" style="372" customWidth="1"/>
    <col min="1794" max="1794" width="12.88671875" style="372" customWidth="1"/>
    <col min="1795" max="1866" width="10.33203125" style="372" customWidth="1"/>
    <col min="1867" max="2048" width="9.109375" style="372"/>
    <col min="2049" max="2049" width="38.44140625" style="372" customWidth="1"/>
    <col min="2050" max="2050" width="12.88671875" style="372" customWidth="1"/>
    <col min="2051" max="2122" width="10.33203125" style="372" customWidth="1"/>
    <col min="2123" max="2304" width="9.109375" style="372"/>
    <col min="2305" max="2305" width="38.44140625" style="372" customWidth="1"/>
    <col min="2306" max="2306" width="12.88671875" style="372" customWidth="1"/>
    <col min="2307" max="2378" width="10.33203125" style="372" customWidth="1"/>
    <col min="2379" max="2560" width="9.109375" style="372"/>
    <col min="2561" max="2561" width="38.44140625" style="372" customWidth="1"/>
    <col min="2562" max="2562" width="12.88671875" style="372" customWidth="1"/>
    <col min="2563" max="2634" width="10.33203125" style="372" customWidth="1"/>
    <col min="2635" max="2816" width="9.109375" style="372"/>
    <col min="2817" max="2817" width="38.44140625" style="372" customWidth="1"/>
    <col min="2818" max="2818" width="12.88671875" style="372" customWidth="1"/>
    <col min="2819" max="2890" width="10.33203125" style="372" customWidth="1"/>
    <col min="2891" max="3072" width="9.109375" style="372"/>
    <col min="3073" max="3073" width="38.44140625" style="372" customWidth="1"/>
    <col min="3074" max="3074" width="12.88671875" style="372" customWidth="1"/>
    <col min="3075" max="3146" width="10.33203125" style="372" customWidth="1"/>
    <col min="3147" max="3328" width="9.109375" style="372"/>
    <col min="3329" max="3329" width="38.44140625" style="372" customWidth="1"/>
    <col min="3330" max="3330" width="12.88671875" style="372" customWidth="1"/>
    <col min="3331" max="3402" width="10.33203125" style="372" customWidth="1"/>
    <col min="3403" max="3584" width="9.109375" style="372"/>
    <col min="3585" max="3585" width="38.44140625" style="372" customWidth="1"/>
    <col min="3586" max="3586" width="12.88671875" style="372" customWidth="1"/>
    <col min="3587" max="3658" width="10.33203125" style="372" customWidth="1"/>
    <col min="3659" max="3840" width="9.109375" style="372"/>
    <col min="3841" max="3841" width="38.44140625" style="372" customWidth="1"/>
    <col min="3842" max="3842" width="12.88671875" style="372" customWidth="1"/>
    <col min="3843" max="3914" width="10.33203125" style="372" customWidth="1"/>
    <col min="3915" max="4096" width="9.109375" style="372"/>
    <col min="4097" max="4097" width="38.44140625" style="372" customWidth="1"/>
    <col min="4098" max="4098" width="12.88671875" style="372" customWidth="1"/>
    <col min="4099" max="4170" width="10.33203125" style="372" customWidth="1"/>
    <col min="4171" max="4352" width="9.109375" style="372"/>
    <col min="4353" max="4353" width="38.44140625" style="372" customWidth="1"/>
    <col min="4354" max="4354" width="12.88671875" style="372" customWidth="1"/>
    <col min="4355" max="4426" width="10.33203125" style="372" customWidth="1"/>
    <col min="4427" max="4608" width="9.109375" style="372"/>
    <col min="4609" max="4609" width="38.44140625" style="372" customWidth="1"/>
    <col min="4610" max="4610" width="12.88671875" style="372" customWidth="1"/>
    <col min="4611" max="4682" width="10.33203125" style="372" customWidth="1"/>
    <col min="4683" max="4864" width="9.109375" style="372"/>
    <col min="4865" max="4865" width="38.44140625" style="372" customWidth="1"/>
    <col min="4866" max="4866" width="12.88671875" style="372" customWidth="1"/>
    <col min="4867" max="4938" width="10.33203125" style="372" customWidth="1"/>
    <col min="4939" max="5120" width="9.109375" style="372"/>
    <col min="5121" max="5121" width="38.44140625" style="372" customWidth="1"/>
    <col min="5122" max="5122" width="12.88671875" style="372" customWidth="1"/>
    <col min="5123" max="5194" width="10.33203125" style="372" customWidth="1"/>
    <col min="5195" max="5376" width="9.109375" style="372"/>
    <col min="5377" max="5377" width="38.44140625" style="372" customWidth="1"/>
    <col min="5378" max="5378" width="12.88671875" style="372" customWidth="1"/>
    <col min="5379" max="5450" width="10.33203125" style="372" customWidth="1"/>
    <col min="5451" max="5632" width="9.109375" style="372"/>
    <col min="5633" max="5633" width="38.44140625" style="372" customWidth="1"/>
    <col min="5634" max="5634" width="12.88671875" style="372" customWidth="1"/>
    <col min="5635" max="5706" width="10.33203125" style="372" customWidth="1"/>
    <col min="5707" max="5888" width="9.109375" style="372"/>
    <col min="5889" max="5889" width="38.44140625" style="372" customWidth="1"/>
    <col min="5890" max="5890" width="12.88671875" style="372" customWidth="1"/>
    <col min="5891" max="5962" width="10.33203125" style="372" customWidth="1"/>
    <col min="5963" max="6144" width="9.109375" style="372"/>
    <col min="6145" max="6145" width="38.44140625" style="372" customWidth="1"/>
    <col min="6146" max="6146" width="12.88671875" style="372" customWidth="1"/>
    <col min="6147" max="6218" width="10.33203125" style="372" customWidth="1"/>
    <col min="6219" max="6400" width="9.109375" style="372"/>
    <col min="6401" max="6401" width="38.44140625" style="372" customWidth="1"/>
    <col min="6402" max="6402" width="12.88671875" style="372" customWidth="1"/>
    <col min="6403" max="6474" width="10.33203125" style="372" customWidth="1"/>
    <col min="6475" max="6656" width="9.109375" style="372"/>
    <col min="6657" max="6657" width="38.44140625" style="372" customWidth="1"/>
    <col min="6658" max="6658" width="12.88671875" style="372" customWidth="1"/>
    <col min="6659" max="6730" width="10.33203125" style="372" customWidth="1"/>
    <col min="6731" max="6912" width="9.109375" style="372"/>
    <col min="6913" max="6913" width="38.44140625" style="372" customWidth="1"/>
    <col min="6914" max="6914" width="12.88671875" style="372" customWidth="1"/>
    <col min="6915" max="6986" width="10.33203125" style="372" customWidth="1"/>
    <col min="6987" max="7168" width="9.109375" style="372"/>
    <col min="7169" max="7169" width="38.44140625" style="372" customWidth="1"/>
    <col min="7170" max="7170" width="12.88671875" style="372" customWidth="1"/>
    <col min="7171" max="7242" width="10.33203125" style="372" customWidth="1"/>
    <col min="7243" max="7424" width="9.109375" style="372"/>
    <col min="7425" max="7425" width="38.44140625" style="372" customWidth="1"/>
    <col min="7426" max="7426" width="12.88671875" style="372" customWidth="1"/>
    <col min="7427" max="7498" width="10.33203125" style="372" customWidth="1"/>
    <col min="7499" max="7680" width="9.109375" style="372"/>
    <col min="7681" max="7681" width="38.44140625" style="372" customWidth="1"/>
    <col min="7682" max="7682" width="12.88671875" style="372" customWidth="1"/>
    <col min="7683" max="7754" width="10.33203125" style="372" customWidth="1"/>
    <col min="7755" max="7936" width="9.109375" style="372"/>
    <col min="7937" max="7937" width="38.44140625" style="372" customWidth="1"/>
    <col min="7938" max="7938" width="12.88671875" style="372" customWidth="1"/>
    <col min="7939" max="8010" width="10.33203125" style="372" customWidth="1"/>
    <col min="8011" max="8192" width="9.109375" style="372"/>
    <col min="8193" max="8193" width="38.44140625" style="372" customWidth="1"/>
    <col min="8194" max="8194" width="12.88671875" style="372" customWidth="1"/>
    <col min="8195" max="8266" width="10.33203125" style="372" customWidth="1"/>
    <col min="8267" max="8448" width="9.109375" style="372"/>
    <col min="8449" max="8449" width="38.44140625" style="372" customWidth="1"/>
    <col min="8450" max="8450" width="12.88671875" style="372" customWidth="1"/>
    <col min="8451" max="8522" width="10.33203125" style="372" customWidth="1"/>
    <col min="8523" max="8704" width="9.109375" style="372"/>
    <col min="8705" max="8705" width="38.44140625" style="372" customWidth="1"/>
    <col min="8706" max="8706" width="12.88671875" style="372" customWidth="1"/>
    <col min="8707" max="8778" width="10.33203125" style="372" customWidth="1"/>
    <col min="8779" max="8960" width="9.109375" style="372"/>
    <col min="8961" max="8961" width="38.44140625" style="372" customWidth="1"/>
    <col min="8962" max="8962" width="12.88671875" style="372" customWidth="1"/>
    <col min="8963" max="9034" width="10.33203125" style="372" customWidth="1"/>
    <col min="9035" max="9216" width="9.109375" style="372"/>
    <col min="9217" max="9217" width="38.44140625" style="372" customWidth="1"/>
    <col min="9218" max="9218" width="12.88671875" style="372" customWidth="1"/>
    <col min="9219" max="9290" width="10.33203125" style="372" customWidth="1"/>
    <col min="9291" max="9472" width="9.109375" style="372"/>
    <col min="9473" max="9473" width="38.44140625" style="372" customWidth="1"/>
    <col min="9474" max="9474" width="12.88671875" style="372" customWidth="1"/>
    <col min="9475" max="9546" width="10.33203125" style="372" customWidth="1"/>
    <col min="9547" max="9728" width="9.109375" style="372"/>
    <col min="9729" max="9729" width="38.44140625" style="372" customWidth="1"/>
    <col min="9730" max="9730" width="12.88671875" style="372" customWidth="1"/>
    <col min="9731" max="9802" width="10.33203125" style="372" customWidth="1"/>
    <col min="9803" max="9984" width="9.109375" style="372"/>
    <col min="9985" max="9985" width="38.44140625" style="372" customWidth="1"/>
    <col min="9986" max="9986" width="12.88671875" style="372" customWidth="1"/>
    <col min="9987" max="10058" width="10.33203125" style="372" customWidth="1"/>
    <col min="10059" max="10240" width="9.109375" style="372"/>
    <col min="10241" max="10241" width="38.44140625" style="372" customWidth="1"/>
    <col min="10242" max="10242" width="12.88671875" style="372" customWidth="1"/>
    <col min="10243" max="10314" width="10.33203125" style="372" customWidth="1"/>
    <col min="10315" max="10496" width="9.109375" style="372"/>
    <col min="10497" max="10497" width="38.44140625" style="372" customWidth="1"/>
    <col min="10498" max="10498" width="12.88671875" style="372" customWidth="1"/>
    <col min="10499" max="10570" width="10.33203125" style="372" customWidth="1"/>
    <col min="10571" max="10752" width="9.109375" style="372"/>
    <col min="10753" max="10753" width="38.44140625" style="372" customWidth="1"/>
    <col min="10754" max="10754" width="12.88671875" style="372" customWidth="1"/>
    <col min="10755" max="10826" width="10.33203125" style="372" customWidth="1"/>
    <col min="10827" max="11008" width="9.109375" style="372"/>
    <col min="11009" max="11009" width="38.44140625" style="372" customWidth="1"/>
    <col min="11010" max="11010" width="12.88671875" style="372" customWidth="1"/>
    <col min="11011" max="11082" width="10.33203125" style="372" customWidth="1"/>
    <col min="11083" max="11264" width="9.109375" style="372"/>
    <col min="11265" max="11265" width="38.44140625" style="372" customWidth="1"/>
    <col min="11266" max="11266" width="12.88671875" style="372" customWidth="1"/>
    <col min="11267" max="11338" width="10.33203125" style="372" customWidth="1"/>
    <col min="11339" max="11520" width="9.109375" style="372"/>
    <col min="11521" max="11521" width="38.44140625" style="372" customWidth="1"/>
    <col min="11522" max="11522" width="12.88671875" style="372" customWidth="1"/>
    <col min="11523" max="11594" width="10.33203125" style="372" customWidth="1"/>
    <col min="11595" max="11776" width="9.109375" style="372"/>
    <col min="11777" max="11777" width="38.44140625" style="372" customWidth="1"/>
    <col min="11778" max="11778" width="12.88671875" style="372" customWidth="1"/>
    <col min="11779" max="11850" width="10.33203125" style="372" customWidth="1"/>
    <col min="11851" max="12032" width="9.109375" style="372"/>
    <col min="12033" max="12033" width="38.44140625" style="372" customWidth="1"/>
    <col min="12034" max="12034" width="12.88671875" style="372" customWidth="1"/>
    <col min="12035" max="12106" width="10.33203125" style="372" customWidth="1"/>
    <col min="12107" max="12288" width="9.109375" style="372"/>
    <col min="12289" max="12289" width="38.44140625" style="372" customWidth="1"/>
    <col min="12290" max="12290" width="12.88671875" style="372" customWidth="1"/>
    <col min="12291" max="12362" width="10.33203125" style="372" customWidth="1"/>
    <col min="12363" max="12544" width="9.109375" style="372"/>
    <col min="12545" max="12545" width="38.44140625" style="372" customWidth="1"/>
    <col min="12546" max="12546" width="12.88671875" style="372" customWidth="1"/>
    <col min="12547" max="12618" width="10.33203125" style="372" customWidth="1"/>
    <col min="12619" max="12800" width="9.109375" style="372"/>
    <col min="12801" max="12801" width="38.44140625" style="372" customWidth="1"/>
    <col min="12802" max="12802" width="12.88671875" style="372" customWidth="1"/>
    <col min="12803" max="12874" width="10.33203125" style="372" customWidth="1"/>
    <col min="12875" max="13056" width="9.109375" style="372"/>
    <col min="13057" max="13057" width="38.44140625" style="372" customWidth="1"/>
    <col min="13058" max="13058" width="12.88671875" style="372" customWidth="1"/>
    <col min="13059" max="13130" width="10.33203125" style="372" customWidth="1"/>
    <col min="13131" max="13312" width="9.109375" style="372"/>
    <col min="13313" max="13313" width="38.44140625" style="372" customWidth="1"/>
    <col min="13314" max="13314" width="12.88671875" style="372" customWidth="1"/>
    <col min="13315" max="13386" width="10.33203125" style="372" customWidth="1"/>
    <col min="13387" max="13568" width="9.109375" style="372"/>
    <col min="13569" max="13569" width="38.44140625" style="372" customWidth="1"/>
    <col min="13570" max="13570" width="12.88671875" style="372" customWidth="1"/>
    <col min="13571" max="13642" width="10.33203125" style="372" customWidth="1"/>
    <col min="13643" max="13824" width="9.109375" style="372"/>
    <col min="13825" max="13825" width="38.44140625" style="372" customWidth="1"/>
    <col min="13826" max="13826" width="12.88671875" style="372" customWidth="1"/>
    <col min="13827" max="13898" width="10.33203125" style="372" customWidth="1"/>
    <col min="13899" max="14080" width="9.109375" style="372"/>
    <col min="14081" max="14081" width="38.44140625" style="372" customWidth="1"/>
    <col min="14082" max="14082" width="12.88671875" style="372" customWidth="1"/>
    <col min="14083" max="14154" width="10.33203125" style="372" customWidth="1"/>
    <col min="14155" max="14336" width="9.109375" style="372"/>
    <col min="14337" max="14337" width="38.44140625" style="372" customWidth="1"/>
    <col min="14338" max="14338" width="12.88671875" style="372" customWidth="1"/>
    <col min="14339" max="14410" width="10.33203125" style="372" customWidth="1"/>
    <col min="14411" max="14592" width="9.109375" style="372"/>
    <col min="14593" max="14593" width="38.44140625" style="372" customWidth="1"/>
    <col min="14594" max="14594" width="12.88671875" style="372" customWidth="1"/>
    <col min="14595" max="14666" width="10.33203125" style="372" customWidth="1"/>
    <col min="14667" max="14848" width="9.109375" style="372"/>
    <col min="14849" max="14849" width="38.44140625" style="372" customWidth="1"/>
    <col min="14850" max="14850" width="12.88671875" style="372" customWidth="1"/>
    <col min="14851" max="14922" width="10.33203125" style="372" customWidth="1"/>
    <col min="14923" max="15104" width="9.109375" style="372"/>
    <col min="15105" max="15105" width="38.44140625" style="372" customWidth="1"/>
    <col min="15106" max="15106" width="12.88671875" style="372" customWidth="1"/>
    <col min="15107" max="15178" width="10.33203125" style="372" customWidth="1"/>
    <col min="15179" max="15360" width="9.109375" style="372"/>
    <col min="15361" max="15361" width="38.44140625" style="372" customWidth="1"/>
    <col min="15362" max="15362" width="12.88671875" style="372" customWidth="1"/>
    <col min="15363" max="15434" width="10.33203125" style="372" customWidth="1"/>
    <col min="15435" max="15616" width="9.109375" style="372"/>
    <col min="15617" max="15617" width="38.44140625" style="372" customWidth="1"/>
    <col min="15618" max="15618" width="12.88671875" style="372" customWidth="1"/>
    <col min="15619" max="15690" width="10.33203125" style="372" customWidth="1"/>
    <col min="15691" max="15872" width="9.109375" style="372"/>
    <col min="15873" max="15873" width="38.44140625" style="372" customWidth="1"/>
    <col min="15874" max="15874" width="12.88671875" style="372" customWidth="1"/>
    <col min="15875" max="15946" width="10.33203125" style="372" customWidth="1"/>
    <col min="15947" max="16128" width="9.109375" style="372"/>
    <col min="16129" max="16129" width="38.44140625" style="372" customWidth="1"/>
    <col min="16130" max="16130" width="12.88671875" style="372" customWidth="1"/>
    <col min="16131" max="16202" width="10.33203125" style="372" customWidth="1"/>
    <col min="16203" max="16384" width="9.109375" style="372"/>
  </cols>
  <sheetData>
    <row r="1" spans="1:75" ht="18" x14ac:dyDescent="0.25">
      <c r="A1" s="507" t="s">
        <v>136</v>
      </c>
      <c r="B1" s="508"/>
    </row>
    <row r="2" spans="1:75" ht="15.75" x14ac:dyDescent="0.25">
      <c r="A2" s="509" t="s">
        <v>137</v>
      </c>
      <c r="B2" s="510"/>
    </row>
    <row r="3" spans="1:75" ht="15.75" thickBot="1" x14ac:dyDescent="0.3">
      <c r="A3" s="511" t="s">
        <v>138</v>
      </c>
      <c r="B3" s="512"/>
    </row>
    <row r="6" spans="1:75" ht="12.75" x14ac:dyDescent="0.2">
      <c r="AW6" s="374" t="s">
        <v>139</v>
      </c>
      <c r="AX6" s="375" t="s">
        <v>139</v>
      </c>
      <c r="AY6" s="375" t="s">
        <v>139</v>
      </c>
      <c r="AZ6" s="375" t="s">
        <v>139</v>
      </c>
      <c r="BA6" s="376" t="s">
        <v>140</v>
      </c>
      <c r="BB6" s="376" t="s">
        <v>140</v>
      </c>
      <c r="BC6" s="376" t="s">
        <v>140</v>
      </c>
      <c r="BD6" s="376" t="s">
        <v>140</v>
      </c>
      <c r="BE6" s="377" t="s">
        <v>141</v>
      </c>
      <c r="BF6" s="377" t="s">
        <v>141</v>
      </c>
      <c r="BG6" s="377" t="s">
        <v>141</v>
      </c>
      <c r="BH6" s="377" t="s">
        <v>141</v>
      </c>
      <c r="BI6" s="378" t="s">
        <v>142</v>
      </c>
      <c r="BJ6" s="378" t="s">
        <v>142</v>
      </c>
      <c r="BK6" s="378" t="s">
        <v>142</v>
      </c>
      <c r="BL6" s="378" t="s">
        <v>142</v>
      </c>
      <c r="BM6" s="379" t="s">
        <v>143</v>
      </c>
      <c r="BN6" s="379" t="s">
        <v>143</v>
      </c>
      <c r="BO6" s="379" t="s">
        <v>143</v>
      </c>
      <c r="BP6" s="379" t="s">
        <v>143</v>
      </c>
      <c r="BQ6" s="380" t="s">
        <v>144</v>
      </c>
      <c r="BR6" s="380" t="s">
        <v>144</v>
      </c>
      <c r="BS6" s="380" t="s">
        <v>144</v>
      </c>
      <c r="BT6" s="380" t="s">
        <v>144</v>
      </c>
    </row>
    <row r="7" spans="1:75" s="373" customFormat="1" ht="12.75" x14ac:dyDescent="0.2">
      <c r="B7" s="373" t="s">
        <v>145</v>
      </c>
      <c r="C7" s="381" t="s">
        <v>146</v>
      </c>
      <c r="D7" s="381" t="s">
        <v>147</v>
      </c>
      <c r="E7" s="381" t="s">
        <v>148</v>
      </c>
      <c r="F7" s="381" t="s">
        <v>149</v>
      </c>
      <c r="G7" s="381" t="s">
        <v>150</v>
      </c>
      <c r="H7" s="381" t="s">
        <v>151</v>
      </c>
      <c r="I7" s="381" t="s">
        <v>152</v>
      </c>
      <c r="J7" s="381" t="s">
        <v>153</v>
      </c>
      <c r="K7" s="381" t="s">
        <v>154</v>
      </c>
      <c r="L7" s="381" t="s">
        <v>155</v>
      </c>
      <c r="M7" s="381" t="s">
        <v>156</v>
      </c>
      <c r="N7" s="381" t="s">
        <v>157</v>
      </c>
      <c r="O7" s="381" t="s">
        <v>158</v>
      </c>
      <c r="P7" s="381" t="s">
        <v>159</v>
      </c>
      <c r="Q7" s="381" t="s">
        <v>160</v>
      </c>
      <c r="R7" s="381" t="s">
        <v>161</v>
      </c>
      <c r="S7" s="381" t="s">
        <v>162</v>
      </c>
      <c r="T7" s="381" t="s">
        <v>163</v>
      </c>
      <c r="U7" s="381" t="s">
        <v>164</v>
      </c>
      <c r="V7" s="381" t="s">
        <v>165</v>
      </c>
      <c r="W7" s="381" t="s">
        <v>166</v>
      </c>
      <c r="X7" s="381" t="s">
        <v>167</v>
      </c>
      <c r="Y7" s="381" t="s">
        <v>168</v>
      </c>
      <c r="Z7" s="381" t="s">
        <v>169</v>
      </c>
      <c r="AA7" s="381" t="s">
        <v>170</v>
      </c>
      <c r="AB7" s="381" t="s">
        <v>171</v>
      </c>
      <c r="AC7" s="381" t="s">
        <v>172</v>
      </c>
      <c r="AD7" s="381" t="s">
        <v>173</v>
      </c>
      <c r="AE7" s="381" t="s">
        <v>174</v>
      </c>
      <c r="AF7" s="381" t="s">
        <v>175</v>
      </c>
      <c r="AG7" s="381" t="s">
        <v>176</v>
      </c>
      <c r="AH7" s="381" t="s">
        <v>177</v>
      </c>
      <c r="AI7" s="381" t="s">
        <v>178</v>
      </c>
      <c r="AJ7" s="381" t="s">
        <v>179</v>
      </c>
      <c r="AK7" s="381" t="s">
        <v>180</v>
      </c>
      <c r="AL7" s="381" t="s">
        <v>181</v>
      </c>
      <c r="AM7" s="381" t="s">
        <v>182</v>
      </c>
      <c r="AN7" s="381" t="s">
        <v>183</v>
      </c>
      <c r="AO7" s="381" t="s">
        <v>184</v>
      </c>
      <c r="AP7" s="381" t="s">
        <v>185</v>
      </c>
      <c r="AQ7" s="381" t="s">
        <v>186</v>
      </c>
      <c r="AR7" s="381" t="s">
        <v>187</v>
      </c>
      <c r="AS7" s="381" t="s">
        <v>188</v>
      </c>
      <c r="AT7" s="381" t="s">
        <v>189</v>
      </c>
      <c r="AU7" s="373" t="s">
        <v>190</v>
      </c>
      <c r="AV7" s="373" t="s">
        <v>191</v>
      </c>
      <c r="AW7" s="373" t="s">
        <v>192</v>
      </c>
      <c r="AX7" s="373" t="s">
        <v>193</v>
      </c>
      <c r="AY7" s="373" t="s">
        <v>194</v>
      </c>
      <c r="AZ7" s="373" t="s">
        <v>195</v>
      </c>
      <c r="BA7" s="373" t="s">
        <v>196</v>
      </c>
      <c r="BB7" s="373" t="s">
        <v>197</v>
      </c>
      <c r="BC7" s="373" t="s">
        <v>198</v>
      </c>
      <c r="BD7" s="373" t="s">
        <v>199</v>
      </c>
      <c r="BE7" s="373" t="s">
        <v>200</v>
      </c>
      <c r="BF7" s="373" t="s">
        <v>201</v>
      </c>
      <c r="BG7" s="373" t="s">
        <v>202</v>
      </c>
      <c r="BH7" s="373" t="s">
        <v>203</v>
      </c>
      <c r="BI7" s="373" t="s">
        <v>204</v>
      </c>
      <c r="BJ7" s="373" t="s">
        <v>205</v>
      </c>
      <c r="BK7" s="373" t="s">
        <v>206</v>
      </c>
      <c r="BL7" s="373" t="s">
        <v>207</v>
      </c>
      <c r="BM7" s="373" t="s">
        <v>208</v>
      </c>
      <c r="BN7" s="373" t="s">
        <v>209</v>
      </c>
      <c r="BO7" s="373" t="s">
        <v>210</v>
      </c>
      <c r="BP7" s="373" t="s">
        <v>211</v>
      </c>
      <c r="BQ7" s="373" t="s">
        <v>212</v>
      </c>
      <c r="BR7" s="373" t="s">
        <v>213</v>
      </c>
      <c r="BS7" s="373" t="s">
        <v>214</v>
      </c>
      <c r="BT7" s="373" t="s">
        <v>215</v>
      </c>
      <c r="BU7" s="373" t="s">
        <v>216</v>
      </c>
      <c r="BV7" s="373" t="s">
        <v>217</v>
      </c>
      <c r="BW7" s="373" t="s">
        <v>218</v>
      </c>
    </row>
    <row r="8" spans="1:75" ht="12.75" x14ac:dyDescent="0.2">
      <c r="A8" s="373" t="s">
        <v>219</v>
      </c>
      <c r="B8" s="373" t="s">
        <v>220</v>
      </c>
      <c r="C8" s="382">
        <v>2.0350000000000001</v>
      </c>
      <c r="D8" s="382">
        <v>2.06</v>
      </c>
      <c r="E8" s="382">
        <v>2.0640000000000001</v>
      </c>
      <c r="F8" s="382">
        <v>2.0870000000000002</v>
      </c>
      <c r="G8" s="382">
        <v>2.1040000000000001</v>
      </c>
      <c r="H8" s="382">
        <v>2.1150000000000002</v>
      </c>
      <c r="I8" s="382">
        <v>2.1480000000000001</v>
      </c>
      <c r="J8" s="382">
        <v>2.169</v>
      </c>
      <c r="K8" s="382">
        <v>2.1869999999999998</v>
      </c>
      <c r="L8" s="382">
        <v>2.214</v>
      </c>
      <c r="M8" s="382">
        <v>2.2330000000000001</v>
      </c>
      <c r="N8" s="382">
        <v>2.2210000000000001</v>
      </c>
      <c r="O8" s="382">
        <v>2.234</v>
      </c>
      <c r="P8" s="382">
        <v>2.2599999999999998</v>
      </c>
      <c r="Q8" s="382">
        <v>2.274</v>
      </c>
      <c r="R8" s="382">
        <v>2.3010000000000002</v>
      </c>
      <c r="S8" s="382">
        <v>2.3210000000000002</v>
      </c>
      <c r="T8" s="382">
        <v>2.3620000000000001</v>
      </c>
      <c r="U8" s="382">
        <v>2.4020000000000001</v>
      </c>
      <c r="V8" s="382">
        <v>2.351</v>
      </c>
      <c r="W8" s="382">
        <v>2.3439999999999999</v>
      </c>
      <c r="X8" s="382">
        <v>2.3479999999999999</v>
      </c>
      <c r="Y8" s="382">
        <v>2.3690000000000002</v>
      </c>
      <c r="Z8" s="382">
        <v>2.383</v>
      </c>
      <c r="AA8" s="382">
        <v>2.383</v>
      </c>
      <c r="AB8" s="382">
        <v>2.3839999999999999</v>
      </c>
      <c r="AC8" s="382">
        <v>2.399</v>
      </c>
      <c r="AD8" s="382">
        <v>2.4220000000000002</v>
      </c>
      <c r="AE8" s="382">
        <v>2.4350000000000001</v>
      </c>
      <c r="AF8" s="382">
        <v>2.4780000000000002</v>
      </c>
      <c r="AG8" s="382">
        <v>2.4889999999999999</v>
      </c>
      <c r="AH8" s="382">
        <v>2.4969999999999999</v>
      </c>
      <c r="AI8" s="382">
        <v>2.5169999999999999</v>
      </c>
      <c r="AJ8" s="382">
        <v>2.52</v>
      </c>
      <c r="AK8" s="382">
        <v>2.5299999999999998</v>
      </c>
      <c r="AL8" s="382">
        <v>2.5489999999999999</v>
      </c>
      <c r="AM8" s="382">
        <v>2.5579999999999998</v>
      </c>
      <c r="AN8" s="382">
        <v>2.5539999999999998</v>
      </c>
      <c r="AO8" s="382">
        <v>2.5739999999999998</v>
      </c>
      <c r="AP8" s="382">
        <v>2.589</v>
      </c>
      <c r="AQ8" s="382">
        <v>2.601</v>
      </c>
      <c r="AR8" s="382">
        <v>2.6070000000000002</v>
      </c>
      <c r="AS8" s="382">
        <v>2.6139999999999999</v>
      </c>
      <c r="AT8" s="382">
        <v>2.617</v>
      </c>
      <c r="AU8" s="382">
        <v>2.6190000000000002</v>
      </c>
      <c r="AV8" s="382">
        <v>2.6230000000000002</v>
      </c>
      <c r="AW8" s="382">
        <v>2.621</v>
      </c>
      <c r="AX8" s="382">
        <v>2.629</v>
      </c>
      <c r="AY8" s="382">
        <v>2.6320000000000001</v>
      </c>
      <c r="AZ8" s="382">
        <v>2.6459999999999999</v>
      </c>
      <c r="BA8" s="382">
        <v>2.6659999999999999</v>
      </c>
      <c r="BB8" s="382">
        <v>2.6779999999999999</v>
      </c>
      <c r="BC8" s="382">
        <v>2.6960000000000002</v>
      </c>
      <c r="BD8" s="382">
        <v>2.694</v>
      </c>
      <c r="BE8" s="382">
        <v>2.7090000000000001</v>
      </c>
      <c r="BF8" s="382">
        <v>2.7240000000000002</v>
      </c>
      <c r="BG8" s="382">
        <v>2.7349999999999999</v>
      </c>
      <c r="BH8" s="382">
        <v>2.7440000000000002</v>
      </c>
      <c r="BI8" s="382">
        <v>2.76</v>
      </c>
      <c r="BJ8" s="382">
        <v>2.7759999999999998</v>
      </c>
      <c r="BK8" s="382">
        <v>2.7909999999999999</v>
      </c>
      <c r="BL8" s="382">
        <v>2.8090000000000002</v>
      </c>
      <c r="BM8" s="382">
        <v>2.8239999999999998</v>
      </c>
      <c r="BN8" s="382">
        <v>2.8460000000000001</v>
      </c>
      <c r="BO8" s="382">
        <v>2.8660000000000001</v>
      </c>
      <c r="BP8" s="382">
        <v>2.8849999999999998</v>
      </c>
      <c r="BQ8" s="382">
        <v>2.9049999999999998</v>
      </c>
      <c r="BR8" s="382">
        <v>2.9239999999999999</v>
      </c>
      <c r="BS8" s="382">
        <v>2.9420000000000002</v>
      </c>
      <c r="BT8" s="382">
        <v>2.96</v>
      </c>
      <c r="BU8" s="382">
        <v>2.9790000000000001</v>
      </c>
      <c r="BV8" s="382">
        <v>2.9980000000000002</v>
      </c>
    </row>
    <row r="9" spans="1:75" s="385" customFormat="1" ht="12.75" x14ac:dyDescent="0.2">
      <c r="A9" s="383" t="s">
        <v>221</v>
      </c>
      <c r="B9" s="383" t="s">
        <v>222</v>
      </c>
      <c r="C9" s="384">
        <v>2.0350000000000001</v>
      </c>
      <c r="D9" s="384">
        <v>2.06</v>
      </c>
      <c r="E9" s="384">
        <v>2.0640000000000001</v>
      </c>
      <c r="F9" s="384">
        <v>2.0870000000000002</v>
      </c>
      <c r="G9" s="384">
        <v>2.1040000000000001</v>
      </c>
      <c r="H9" s="384">
        <v>2.1150000000000002</v>
      </c>
      <c r="I9" s="384">
        <v>2.1480000000000001</v>
      </c>
      <c r="J9" s="384">
        <v>2.169</v>
      </c>
      <c r="K9" s="384">
        <v>2.1869999999999998</v>
      </c>
      <c r="L9" s="384">
        <v>2.214</v>
      </c>
      <c r="M9" s="384">
        <v>2.2330000000000001</v>
      </c>
      <c r="N9" s="384">
        <v>2.2210000000000001</v>
      </c>
      <c r="O9" s="384">
        <v>2.234</v>
      </c>
      <c r="P9" s="384">
        <v>2.2599999999999998</v>
      </c>
      <c r="Q9" s="384">
        <v>2.274</v>
      </c>
      <c r="R9" s="384">
        <v>2.3010000000000002</v>
      </c>
      <c r="S9" s="384">
        <v>2.3210000000000002</v>
      </c>
      <c r="T9" s="384">
        <v>2.3620000000000001</v>
      </c>
      <c r="U9" s="384">
        <v>2.4020000000000001</v>
      </c>
      <c r="V9" s="384">
        <v>2.351</v>
      </c>
      <c r="W9" s="384">
        <v>2.3439999999999999</v>
      </c>
      <c r="X9" s="384">
        <v>2.3479999999999999</v>
      </c>
      <c r="Y9" s="384">
        <v>2.3690000000000002</v>
      </c>
      <c r="Z9" s="384">
        <v>2.383</v>
      </c>
      <c r="AA9" s="384">
        <v>2.383</v>
      </c>
      <c r="AB9" s="384">
        <v>2.3839999999999999</v>
      </c>
      <c r="AC9" s="384">
        <v>2.399</v>
      </c>
      <c r="AD9" s="384">
        <v>2.4220000000000002</v>
      </c>
      <c r="AE9" s="384">
        <v>2.4350000000000001</v>
      </c>
      <c r="AF9" s="384">
        <v>2.4780000000000002</v>
      </c>
      <c r="AG9" s="384">
        <v>2.4889999999999999</v>
      </c>
      <c r="AH9" s="384">
        <v>2.4969999999999999</v>
      </c>
      <c r="AI9" s="384">
        <v>2.5169999999999999</v>
      </c>
      <c r="AJ9" s="384">
        <v>2.52</v>
      </c>
      <c r="AK9" s="384">
        <v>2.5299999999999998</v>
      </c>
      <c r="AL9" s="384">
        <v>2.5489999999999999</v>
      </c>
      <c r="AM9" s="384">
        <v>2.5579999999999998</v>
      </c>
      <c r="AN9" s="384">
        <v>2.5539999999999998</v>
      </c>
      <c r="AO9" s="384">
        <v>2.5739999999999998</v>
      </c>
      <c r="AP9" s="384">
        <v>2.589</v>
      </c>
      <c r="AQ9" s="384">
        <v>2.601</v>
      </c>
      <c r="AR9" s="384">
        <v>2.6070000000000002</v>
      </c>
      <c r="AS9" s="384">
        <v>2.6139999999999999</v>
      </c>
      <c r="AT9" s="384">
        <v>2.617</v>
      </c>
      <c r="AU9" s="384">
        <v>2.6190000000000002</v>
      </c>
      <c r="AV9" s="384">
        <v>2.6230000000000002</v>
      </c>
      <c r="AW9" s="384">
        <v>2.621</v>
      </c>
      <c r="AX9" s="384">
        <v>2.629</v>
      </c>
      <c r="AY9" s="384">
        <v>2.6320000000000001</v>
      </c>
      <c r="AZ9" s="384">
        <v>2.6459999999999999</v>
      </c>
      <c r="BA9" s="384">
        <v>2.6659999999999999</v>
      </c>
      <c r="BB9" s="384">
        <v>2.6779999999999999</v>
      </c>
      <c r="BC9" s="384">
        <v>2.6960000000000002</v>
      </c>
      <c r="BD9" s="384">
        <v>2.694</v>
      </c>
      <c r="BE9" s="384">
        <v>2.7090000000000001</v>
      </c>
      <c r="BF9" s="384">
        <v>2.7240000000000002</v>
      </c>
      <c r="BG9" s="384">
        <v>2.7349999999999999</v>
      </c>
      <c r="BH9" s="384">
        <v>2.742</v>
      </c>
      <c r="BI9" s="384">
        <v>2.7549999999999999</v>
      </c>
      <c r="BJ9" s="384">
        <v>2.7690000000000001</v>
      </c>
      <c r="BK9" s="384">
        <v>2.782</v>
      </c>
      <c r="BL9" s="384">
        <v>2.798</v>
      </c>
      <c r="BM9" s="384">
        <v>2.81</v>
      </c>
      <c r="BN9" s="384">
        <v>2.831</v>
      </c>
      <c r="BO9" s="384">
        <v>2.8490000000000002</v>
      </c>
      <c r="BP9" s="384">
        <v>2.8660000000000001</v>
      </c>
      <c r="BQ9" s="384">
        <v>2.883</v>
      </c>
      <c r="BR9" s="384">
        <v>2.899</v>
      </c>
      <c r="BS9" s="384">
        <v>2.915</v>
      </c>
      <c r="BT9" s="384">
        <v>2.931</v>
      </c>
      <c r="BU9" s="384">
        <v>2.9470000000000001</v>
      </c>
      <c r="BV9" s="384">
        <v>2.9620000000000002</v>
      </c>
    </row>
    <row r="10" spans="1:75" ht="12.75" x14ac:dyDescent="0.2">
      <c r="A10" s="373" t="s">
        <v>223</v>
      </c>
      <c r="B10" s="373" t="s">
        <v>224</v>
      </c>
      <c r="C10" s="382">
        <v>2.0350000000000001</v>
      </c>
      <c r="D10" s="382">
        <v>2.06</v>
      </c>
      <c r="E10" s="382">
        <v>2.0640000000000001</v>
      </c>
      <c r="F10" s="382">
        <v>2.0870000000000002</v>
      </c>
      <c r="G10" s="382">
        <v>2.1040000000000001</v>
      </c>
      <c r="H10" s="382">
        <v>2.1150000000000002</v>
      </c>
      <c r="I10" s="382">
        <v>2.1480000000000001</v>
      </c>
      <c r="J10" s="382">
        <v>2.169</v>
      </c>
      <c r="K10" s="382">
        <v>2.1869999999999998</v>
      </c>
      <c r="L10" s="382">
        <v>2.214</v>
      </c>
      <c r="M10" s="382">
        <v>2.2330000000000001</v>
      </c>
      <c r="N10" s="382">
        <v>2.2210000000000001</v>
      </c>
      <c r="O10" s="382">
        <v>2.234</v>
      </c>
      <c r="P10" s="382">
        <v>2.2599999999999998</v>
      </c>
      <c r="Q10" s="382">
        <v>2.274</v>
      </c>
      <c r="R10" s="382">
        <v>2.3010000000000002</v>
      </c>
      <c r="S10" s="382">
        <v>2.3210000000000002</v>
      </c>
      <c r="T10" s="382">
        <v>2.3620000000000001</v>
      </c>
      <c r="U10" s="382">
        <v>2.4020000000000001</v>
      </c>
      <c r="V10" s="382">
        <v>2.351</v>
      </c>
      <c r="W10" s="382">
        <v>2.3439999999999999</v>
      </c>
      <c r="X10" s="382">
        <v>2.3479999999999999</v>
      </c>
      <c r="Y10" s="382">
        <v>2.3690000000000002</v>
      </c>
      <c r="Z10" s="382">
        <v>2.383</v>
      </c>
      <c r="AA10" s="382">
        <v>2.383</v>
      </c>
      <c r="AB10" s="382">
        <v>2.3839999999999999</v>
      </c>
      <c r="AC10" s="382">
        <v>2.399</v>
      </c>
      <c r="AD10" s="382">
        <v>2.4220000000000002</v>
      </c>
      <c r="AE10" s="382">
        <v>2.4350000000000001</v>
      </c>
      <c r="AF10" s="382">
        <v>2.4780000000000002</v>
      </c>
      <c r="AG10" s="382">
        <v>2.4889999999999999</v>
      </c>
      <c r="AH10" s="382">
        <v>2.4969999999999999</v>
      </c>
      <c r="AI10" s="382">
        <v>2.5169999999999999</v>
      </c>
      <c r="AJ10" s="382">
        <v>2.52</v>
      </c>
      <c r="AK10" s="382">
        <v>2.5299999999999998</v>
      </c>
      <c r="AL10" s="382">
        <v>2.5489999999999999</v>
      </c>
      <c r="AM10" s="382">
        <v>2.5579999999999998</v>
      </c>
      <c r="AN10" s="382">
        <v>2.5539999999999998</v>
      </c>
      <c r="AO10" s="382">
        <v>2.5739999999999998</v>
      </c>
      <c r="AP10" s="382">
        <v>2.589</v>
      </c>
      <c r="AQ10" s="382">
        <v>2.601</v>
      </c>
      <c r="AR10" s="382">
        <v>2.6070000000000002</v>
      </c>
      <c r="AS10" s="382">
        <v>2.6139999999999999</v>
      </c>
      <c r="AT10" s="382">
        <v>2.617</v>
      </c>
      <c r="AU10" s="382">
        <v>2.6190000000000002</v>
      </c>
      <c r="AV10" s="382">
        <v>2.6230000000000002</v>
      </c>
      <c r="AW10" s="382">
        <v>2.621</v>
      </c>
      <c r="AX10" s="382">
        <v>2.629</v>
      </c>
      <c r="AY10" s="382">
        <v>2.6320000000000001</v>
      </c>
      <c r="AZ10" s="382">
        <v>2.6459999999999999</v>
      </c>
      <c r="BA10" s="382">
        <v>2.6659999999999999</v>
      </c>
      <c r="BB10" s="382">
        <v>2.6779999999999999</v>
      </c>
      <c r="BC10" s="382">
        <v>2.6960000000000002</v>
      </c>
      <c r="BD10" s="382">
        <v>2.694</v>
      </c>
      <c r="BE10" s="382">
        <v>2.7090000000000001</v>
      </c>
      <c r="BF10" s="382">
        <v>2.7240000000000002</v>
      </c>
      <c r="BG10" s="382">
        <v>2.7349999999999999</v>
      </c>
      <c r="BH10" s="382">
        <v>2.7480000000000002</v>
      </c>
      <c r="BI10" s="382">
        <v>2.766</v>
      </c>
      <c r="BJ10" s="382">
        <v>2.7839999999999998</v>
      </c>
      <c r="BK10" s="382">
        <v>2.802</v>
      </c>
      <c r="BL10" s="382">
        <v>2.823</v>
      </c>
      <c r="BM10" s="382">
        <v>2.843</v>
      </c>
      <c r="BN10" s="382">
        <v>2.8690000000000002</v>
      </c>
      <c r="BO10" s="382">
        <v>2.895</v>
      </c>
      <c r="BP10" s="382">
        <v>2.919</v>
      </c>
      <c r="BQ10" s="382">
        <v>2.9449999999999998</v>
      </c>
      <c r="BR10" s="382">
        <v>2.97</v>
      </c>
      <c r="BS10" s="382">
        <v>2.9950000000000001</v>
      </c>
      <c r="BT10" s="382">
        <v>3.02</v>
      </c>
      <c r="BU10" s="382">
        <v>3.0470000000000002</v>
      </c>
      <c r="BV10" s="382">
        <v>3.0739999999999998</v>
      </c>
    </row>
    <row r="12" spans="1:75" ht="12.75" x14ac:dyDescent="0.2"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  <c r="AH12" s="386"/>
      <c r="AI12" s="386"/>
      <c r="AJ12" s="386"/>
      <c r="AK12" s="386"/>
      <c r="AL12" s="386"/>
      <c r="AM12" s="386"/>
      <c r="AN12" s="386"/>
      <c r="AO12" s="386"/>
      <c r="AP12" s="386"/>
      <c r="AQ12" s="386"/>
      <c r="AR12" s="386"/>
      <c r="AS12" s="386"/>
      <c r="AT12" s="386"/>
    </row>
    <row r="13" spans="1:75" ht="12.75" x14ac:dyDescent="0.2"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2"/>
      <c r="AH13" s="382"/>
      <c r="AI13" s="382"/>
      <c r="AJ13" s="382"/>
      <c r="AK13" s="382"/>
      <c r="AL13" s="382"/>
      <c r="AM13" s="382"/>
      <c r="AN13" s="382"/>
      <c r="AO13" s="382"/>
      <c r="AP13" s="382"/>
      <c r="AQ13" s="382"/>
      <c r="AR13" s="382"/>
      <c r="AS13" s="382"/>
      <c r="AT13" s="382"/>
    </row>
    <row r="14" spans="1:75" ht="12.75" x14ac:dyDescent="0.2">
      <c r="BF14" s="388"/>
      <c r="BG14" s="388"/>
      <c r="BH14" s="388"/>
      <c r="BI14" s="388"/>
      <c r="BJ14" s="388"/>
      <c r="BK14" s="388"/>
      <c r="BL14" s="388"/>
      <c r="BM14" s="388"/>
      <c r="BN14" s="388"/>
      <c r="BO14" s="388"/>
      <c r="BP14" s="388"/>
      <c r="BQ14" s="388"/>
    </row>
    <row r="15" spans="1:75" ht="12.75" x14ac:dyDescent="0.2">
      <c r="BF15" s="388"/>
      <c r="BG15" s="388"/>
      <c r="BH15" s="388"/>
      <c r="BI15" s="388"/>
      <c r="BJ15" s="388"/>
      <c r="BK15" s="388"/>
      <c r="BL15" s="388"/>
      <c r="BM15" s="388"/>
      <c r="BN15" s="388"/>
      <c r="BO15" s="388"/>
      <c r="BP15" s="388"/>
      <c r="BQ15" s="388"/>
    </row>
    <row r="16" spans="1:75" ht="12.75" x14ac:dyDescent="0.2">
      <c r="BF16" s="387" t="s">
        <v>225</v>
      </c>
      <c r="BG16" s="388"/>
      <c r="BH16" s="388"/>
      <c r="BI16" s="389" t="s">
        <v>230</v>
      </c>
      <c r="BJ16" s="390"/>
      <c r="BK16" s="390"/>
      <c r="BL16" s="390"/>
      <c r="BM16" s="390"/>
      <c r="BN16" s="390"/>
      <c r="BO16" s="388"/>
      <c r="BP16" s="388"/>
      <c r="BQ16" s="388"/>
    </row>
    <row r="17" spans="58:69" ht="12.75" x14ac:dyDescent="0.2">
      <c r="BF17" s="391"/>
      <c r="BG17" s="392"/>
      <c r="BH17" s="392"/>
      <c r="BI17" s="392"/>
      <c r="BJ17" s="392"/>
      <c r="BK17" s="392"/>
      <c r="BL17" s="392"/>
      <c r="BM17" s="392"/>
      <c r="BN17" s="392"/>
      <c r="BO17" s="392"/>
      <c r="BP17" s="392"/>
      <c r="BQ17" s="393"/>
    </row>
    <row r="18" spans="58:69" ht="12.75" x14ac:dyDescent="0.2">
      <c r="BF18" s="394"/>
      <c r="BG18" s="395" t="s">
        <v>226</v>
      </c>
      <c r="BH18" s="396" t="s">
        <v>232</v>
      </c>
      <c r="BI18" s="396"/>
      <c r="BJ18" s="396"/>
      <c r="BK18" s="396"/>
      <c r="BL18" s="396"/>
      <c r="BM18" s="396"/>
      <c r="BN18" s="396"/>
      <c r="BO18" s="396"/>
      <c r="BP18" s="396"/>
      <c r="BQ18" s="397"/>
    </row>
    <row r="19" spans="58:69" ht="12.75" x14ac:dyDescent="0.2">
      <c r="BF19" s="394"/>
      <c r="BG19" s="396"/>
      <c r="BH19" s="407" t="str">
        <f>BJ7</f>
        <v>2018Q4</v>
      </c>
      <c r="BI19" s="407"/>
      <c r="BJ19" s="407"/>
      <c r="BK19" s="407"/>
      <c r="BL19" s="396"/>
      <c r="BM19" s="396"/>
      <c r="BN19" s="396"/>
      <c r="BO19" s="396"/>
      <c r="BP19" s="396"/>
      <c r="BQ19" s="398" t="s">
        <v>227</v>
      </c>
    </row>
    <row r="20" spans="58:69" ht="12.75" x14ac:dyDescent="0.2">
      <c r="BF20" s="394"/>
      <c r="BG20" s="396"/>
      <c r="BH20" s="408">
        <f>BJ9</f>
        <v>2.7690000000000001</v>
      </c>
      <c r="BI20" s="408"/>
      <c r="BJ20" s="408"/>
      <c r="BK20" s="408"/>
      <c r="BL20" s="396"/>
      <c r="BM20" s="396"/>
      <c r="BN20" s="396"/>
      <c r="BO20" s="396"/>
      <c r="BP20" s="396"/>
      <c r="BQ20" s="399">
        <f>AVERAGE(BH20:BK20)</f>
        <v>2.7690000000000001</v>
      </c>
    </row>
    <row r="21" spans="58:69" ht="12.75" x14ac:dyDescent="0.2">
      <c r="BF21" s="394"/>
      <c r="BG21" s="396"/>
      <c r="BH21" s="396"/>
      <c r="BI21" s="396"/>
      <c r="BJ21" s="396"/>
      <c r="BK21" s="396"/>
      <c r="BL21" s="396"/>
      <c r="BM21" s="396"/>
      <c r="BN21" s="396"/>
      <c r="BO21" s="396"/>
      <c r="BP21" s="396"/>
      <c r="BQ21" s="400"/>
    </row>
    <row r="22" spans="58:69" ht="12.75" x14ac:dyDescent="0.2">
      <c r="BF22" s="394"/>
      <c r="BG22" s="395" t="s">
        <v>228</v>
      </c>
      <c r="BH22" s="396" t="s">
        <v>231</v>
      </c>
      <c r="BI22" s="396"/>
      <c r="BJ22" s="396"/>
      <c r="BK22" s="396"/>
      <c r="BL22" s="396"/>
      <c r="BM22" s="396"/>
      <c r="BN22" s="396"/>
      <c r="BO22" s="396"/>
      <c r="BP22" s="396"/>
      <c r="BQ22" s="400"/>
    </row>
    <row r="23" spans="58:69" ht="12.75" x14ac:dyDescent="0.2">
      <c r="BF23" s="394"/>
      <c r="BG23" s="396"/>
      <c r="BH23" s="373" t="s">
        <v>206</v>
      </c>
      <c r="BI23" s="373" t="s">
        <v>207</v>
      </c>
      <c r="BJ23" s="373" t="s">
        <v>208</v>
      </c>
      <c r="BK23" s="373" t="s">
        <v>209</v>
      </c>
      <c r="BL23" s="373" t="s">
        <v>210</v>
      </c>
      <c r="BM23" s="373" t="s">
        <v>211</v>
      </c>
      <c r="BN23" s="373" t="s">
        <v>212</v>
      </c>
      <c r="BO23" s="373" t="s">
        <v>213</v>
      </c>
      <c r="BP23" s="396"/>
      <c r="BQ23" s="400"/>
    </row>
    <row r="24" spans="58:69" ht="12.75" x14ac:dyDescent="0.2">
      <c r="BF24" s="394"/>
      <c r="BG24" s="396"/>
      <c r="BH24" s="401">
        <v>2.782</v>
      </c>
      <c r="BI24" s="401">
        <v>2.798</v>
      </c>
      <c r="BJ24" s="401">
        <v>2.81</v>
      </c>
      <c r="BK24" s="401">
        <v>2.831</v>
      </c>
      <c r="BL24" s="401">
        <v>2.8490000000000002</v>
      </c>
      <c r="BM24" s="401">
        <v>2.8660000000000001</v>
      </c>
      <c r="BN24" s="401">
        <v>2.883</v>
      </c>
      <c r="BO24" s="401">
        <v>2.899</v>
      </c>
      <c r="BP24" s="396"/>
      <c r="BQ24" s="399">
        <f>AVERAGE(BH24:BO24)</f>
        <v>2.83975</v>
      </c>
    </row>
    <row r="25" spans="58:69" ht="12.75" x14ac:dyDescent="0.2">
      <c r="BF25" s="394"/>
      <c r="BG25" s="396"/>
      <c r="BH25" s="396"/>
      <c r="BI25" s="396"/>
      <c r="BJ25" s="396"/>
      <c r="BK25" s="396"/>
      <c r="BL25" s="396"/>
      <c r="BM25" s="396"/>
      <c r="BN25" s="396"/>
      <c r="BO25" s="396"/>
      <c r="BP25" s="396"/>
      <c r="BQ25" s="400"/>
    </row>
    <row r="26" spans="58:69" ht="12.75" x14ac:dyDescent="0.2">
      <c r="BF26" s="394"/>
      <c r="BG26" s="396"/>
      <c r="BH26" s="396"/>
      <c r="BI26" s="396"/>
      <c r="BJ26" s="396"/>
      <c r="BK26" s="396"/>
      <c r="BL26" s="396"/>
      <c r="BM26" s="396"/>
      <c r="BN26" s="396"/>
      <c r="BO26" s="396"/>
      <c r="BP26" s="402" t="s">
        <v>229</v>
      </c>
      <c r="BQ26" s="403">
        <f>(BQ24-BQ20)/BQ20</f>
        <v>2.5550740339472685E-2</v>
      </c>
    </row>
    <row r="27" spans="58:69" ht="12.75" x14ac:dyDescent="0.2">
      <c r="BF27" s="404"/>
      <c r="BG27" s="405"/>
      <c r="BH27" s="405"/>
      <c r="BI27" s="405"/>
      <c r="BJ27" s="405"/>
      <c r="BK27" s="405"/>
      <c r="BL27" s="405"/>
      <c r="BM27" s="405"/>
      <c r="BN27" s="405"/>
      <c r="BO27" s="405"/>
      <c r="BP27" s="405"/>
      <c r="BQ27" s="406"/>
    </row>
  </sheetData>
  <mergeCells count="3">
    <mergeCell ref="A1:B1"/>
    <mergeCell ref="A2:B2"/>
    <mergeCell ref="A3:B3"/>
  </mergeCells>
  <pageMargins left="0.25" right="0.25" top="1" bottom="1" header="0.5" footer="0.5"/>
  <pageSetup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Q12" sqref="P10:Q12"/>
    </sheetView>
  </sheetViews>
  <sheetFormatPr defaultColWidth="9.109375" defaultRowHeight="13.2" x14ac:dyDescent="0.25"/>
  <cols>
    <col min="1" max="1" width="9.109375" style="82"/>
    <col min="2" max="2" width="26.33203125" style="82" customWidth="1"/>
    <col min="3" max="3" width="9.6640625" style="82" customWidth="1"/>
    <col min="4" max="6" width="17.5546875" style="82" customWidth="1"/>
    <col min="7" max="16384" width="9.109375" style="82"/>
  </cols>
  <sheetData>
    <row r="1" spans="1:6" ht="13.5" thickBot="1" x14ac:dyDescent="0.25"/>
    <row r="2" spans="1:6" ht="13.5" thickBot="1" x14ac:dyDescent="0.25">
      <c r="B2" s="485" t="s">
        <v>29</v>
      </c>
      <c r="C2" s="486"/>
      <c r="D2" s="486"/>
      <c r="E2" s="486"/>
      <c r="F2" s="487"/>
    </row>
    <row r="3" spans="1:6" ht="13.5" thickBot="1" x14ac:dyDescent="0.25">
      <c r="B3" s="251" t="s">
        <v>30</v>
      </c>
      <c r="C3" s="108"/>
      <c r="D3" s="252"/>
      <c r="E3" s="109"/>
      <c r="F3" s="110"/>
    </row>
    <row r="4" spans="1:6" ht="12.75" x14ac:dyDescent="0.2">
      <c r="B4" s="133" t="s">
        <v>31</v>
      </c>
      <c r="C4" s="108"/>
      <c r="D4" s="252">
        <v>870.39</v>
      </c>
      <c r="E4" s="109" t="s">
        <v>32</v>
      </c>
      <c r="F4" s="110">
        <v>44</v>
      </c>
    </row>
    <row r="5" spans="1:6" ht="12.75" x14ac:dyDescent="0.2">
      <c r="B5" s="133"/>
      <c r="C5" s="113"/>
      <c r="D5" s="114" t="s">
        <v>33</v>
      </c>
      <c r="E5" s="114" t="s">
        <v>34</v>
      </c>
      <c r="F5" s="115" t="s">
        <v>35</v>
      </c>
    </row>
    <row r="6" spans="1:6" ht="12.75" x14ac:dyDescent="0.2">
      <c r="B6" s="117" t="str">
        <f>'Master Lookup'!B12</f>
        <v>Program Management</v>
      </c>
      <c r="C6" s="118"/>
      <c r="D6" s="217">
        <f>'Master Lookup'!C12</f>
        <v>75528.600000000006</v>
      </c>
      <c r="E6" s="120">
        <v>0.19500000000000001</v>
      </c>
      <c r="F6" s="121">
        <f>E6*D6</f>
        <v>14728.077000000001</v>
      </c>
    </row>
    <row r="7" spans="1:6" ht="12.75" x14ac:dyDescent="0.2">
      <c r="B7" s="117" t="str">
        <f>'Master Lookup'!B14</f>
        <v>Medical - MD</v>
      </c>
      <c r="C7" s="118"/>
      <c r="D7" s="219">
        <f>'Master Lookup'!C14</f>
        <v>164929.80000000002</v>
      </c>
      <c r="E7" s="125">
        <v>0.5</v>
      </c>
      <c r="F7" s="121">
        <f t="shared" ref="F7:F11" si="0">E7*D7</f>
        <v>82464.900000000009</v>
      </c>
    </row>
    <row r="8" spans="1:6" ht="12.75" x14ac:dyDescent="0.2">
      <c r="B8" s="117" t="str">
        <f>'Master Lookup'!B15</f>
        <v>Nurse Manager</v>
      </c>
      <c r="C8" s="118"/>
      <c r="D8" s="219">
        <f>'Master Lookup'!C15</f>
        <v>81450.658800000005</v>
      </c>
      <c r="E8" s="125">
        <v>0.67</v>
      </c>
      <c r="F8" s="121">
        <f t="shared" si="0"/>
        <v>54571.941396000009</v>
      </c>
    </row>
    <row r="9" spans="1:6" ht="12.75" x14ac:dyDescent="0.2">
      <c r="B9" s="117" t="str">
        <f>'Master Lookup'!B16</f>
        <v>Nursing Non-Master's</v>
      </c>
      <c r="C9" s="118"/>
      <c r="D9" s="219">
        <f>'Master Lookup'!C16</f>
        <v>67246.144</v>
      </c>
      <c r="E9" s="125">
        <v>1</v>
      </c>
      <c r="F9" s="121">
        <f t="shared" si="0"/>
        <v>67246.144</v>
      </c>
    </row>
    <row r="10" spans="1:6" ht="12.75" x14ac:dyDescent="0.2">
      <c r="B10" s="117" t="str">
        <f>'Master Lookup'!B21</f>
        <v>Direct Care (Non Masters)</v>
      </c>
      <c r="C10" s="118"/>
      <c r="D10" s="217">
        <f>'Master Lookup'!C21</f>
        <v>38608</v>
      </c>
      <c r="E10" s="120">
        <v>0.315</v>
      </c>
      <c r="F10" s="121">
        <f t="shared" si="0"/>
        <v>12161.52</v>
      </c>
    </row>
    <row r="11" spans="1:6" ht="12.75" x14ac:dyDescent="0.2">
      <c r="B11" s="126" t="str">
        <f>'Master Lookup'!B22</f>
        <v>Support Staffing</v>
      </c>
      <c r="C11" s="118"/>
      <c r="D11" s="219">
        <f>'Master Lookup'!C22</f>
        <v>31200</v>
      </c>
      <c r="E11" s="120">
        <v>0.33</v>
      </c>
      <c r="F11" s="121">
        <f t="shared" si="0"/>
        <v>10296</v>
      </c>
    </row>
    <row r="12" spans="1:6" ht="12.75" x14ac:dyDescent="0.2">
      <c r="B12" s="127" t="s">
        <v>36</v>
      </c>
      <c r="C12" s="128"/>
      <c r="D12" s="128"/>
      <c r="E12" s="129">
        <v>3.0156821137880074</v>
      </c>
      <c r="F12" s="130">
        <f>SUM(F6:F11)</f>
        <v>241468.58239600001</v>
      </c>
    </row>
    <row r="13" spans="1:6" ht="12.75" x14ac:dyDescent="0.2">
      <c r="B13" s="131"/>
      <c r="C13" s="118"/>
      <c r="D13" s="118"/>
      <c r="E13" s="118"/>
      <c r="F13" s="132"/>
    </row>
    <row r="14" spans="1:6" ht="12.75" x14ac:dyDescent="0.2">
      <c r="B14" s="133" t="s">
        <v>37</v>
      </c>
      <c r="C14" s="118"/>
      <c r="D14" s="118"/>
      <c r="E14" s="109" t="s">
        <v>38</v>
      </c>
      <c r="F14" s="132"/>
    </row>
    <row r="15" spans="1:6" ht="12.75" x14ac:dyDescent="0.2">
      <c r="B15" s="131" t="s">
        <v>14</v>
      </c>
      <c r="C15" s="118"/>
      <c r="D15" s="134">
        <f>'Master Lookup'!C29</f>
        <v>0.20200000000000001</v>
      </c>
      <c r="E15" s="118"/>
      <c r="F15" s="121">
        <f>F12*D15</f>
        <v>48776.653643992009</v>
      </c>
    </row>
    <row r="16" spans="1:6" ht="12.75" x14ac:dyDescent="0.2">
      <c r="A16" s="221"/>
      <c r="B16" s="127" t="s">
        <v>39</v>
      </c>
      <c r="C16" s="128"/>
      <c r="D16" s="128"/>
      <c r="E16" s="135"/>
      <c r="F16" s="130">
        <f>F12+F15</f>
        <v>290245.23603999201</v>
      </c>
    </row>
    <row r="17" spans="1:6" ht="12.75" x14ac:dyDescent="0.2">
      <c r="A17" s="221"/>
      <c r="B17" s="131"/>
      <c r="C17" s="118"/>
      <c r="D17" s="118" t="s">
        <v>40</v>
      </c>
      <c r="E17" s="118"/>
      <c r="F17" s="132"/>
    </row>
    <row r="18" spans="1:6" ht="12.75" x14ac:dyDescent="0.2">
      <c r="A18" s="221"/>
      <c r="B18" s="131" t="s">
        <v>15</v>
      </c>
      <c r="C18" s="118"/>
      <c r="D18" s="136">
        <f>'Master Lookup'!C24</f>
        <v>3393</v>
      </c>
      <c r="E18" s="137"/>
      <c r="F18" s="138">
        <f>E12*D18</f>
        <v>10232.20941208271</v>
      </c>
    </row>
    <row r="19" spans="1:6" ht="13.5" thickBot="1" x14ac:dyDescent="0.25">
      <c r="A19" s="221"/>
      <c r="B19" s="139" t="s">
        <v>16</v>
      </c>
      <c r="C19" s="140"/>
      <c r="D19" s="141">
        <f>'Master Lookup'!C27</f>
        <v>18852</v>
      </c>
      <c r="E19" s="142"/>
      <c r="F19" s="143">
        <v>56851.639209131514</v>
      </c>
    </row>
    <row r="20" spans="1:6" ht="13.5" thickTop="1" x14ac:dyDescent="0.2">
      <c r="A20" s="221"/>
      <c r="B20" s="112" t="s">
        <v>41</v>
      </c>
      <c r="C20" s="113"/>
      <c r="D20" s="113"/>
      <c r="E20" s="113"/>
      <c r="F20" s="144">
        <f>F16+F18+F19</f>
        <v>357329.08466120629</v>
      </c>
    </row>
    <row r="21" spans="1:6" ht="13.5" thickBot="1" x14ac:dyDescent="0.25">
      <c r="A21" s="221"/>
      <c r="B21" s="139" t="s">
        <v>42</v>
      </c>
      <c r="C21" s="145"/>
      <c r="D21" s="146">
        <f>'Master Lookup'!C30</f>
        <v>0.1258</v>
      </c>
      <c r="E21" s="140"/>
      <c r="F21" s="147">
        <f>F20*D21</f>
        <v>44951.99885037975</v>
      </c>
    </row>
    <row r="22" spans="1:6" ht="13.5" thickTop="1" x14ac:dyDescent="0.2">
      <c r="A22" s="221"/>
      <c r="B22" s="112" t="s">
        <v>43</v>
      </c>
      <c r="C22" s="148"/>
      <c r="D22" s="148"/>
      <c r="E22" s="148"/>
      <c r="F22" s="144">
        <f>F21+F20</f>
        <v>402281.08351158607</v>
      </c>
    </row>
    <row r="23" spans="1:6" ht="13.5" thickBot="1" x14ac:dyDescent="0.25">
      <c r="A23" s="221"/>
      <c r="B23" s="131" t="s">
        <v>45</v>
      </c>
      <c r="C23" s="118"/>
      <c r="D23" s="118"/>
      <c r="E23" s="196"/>
      <c r="F23" s="253">
        <f>F22/(D4*F4)</f>
        <v>10.504201447616119</v>
      </c>
    </row>
    <row r="24" spans="1:6" ht="13.5" thickBot="1" x14ac:dyDescent="0.25">
      <c r="A24" s="221"/>
      <c r="B24" s="191" t="s">
        <v>46</v>
      </c>
      <c r="C24" s="192"/>
      <c r="D24" s="409">
        <f>'Master Lookup'!C33</f>
        <v>2.5600000000000001E-2</v>
      </c>
      <c r="E24" s="192"/>
      <c r="F24" s="193">
        <f>F23*(D24+1)</f>
        <v>10.773109004675092</v>
      </c>
    </row>
    <row r="25" spans="1:6" ht="12.75" x14ac:dyDescent="0.2">
      <c r="A25" s="221"/>
      <c r="B25" s="105"/>
      <c r="C25" s="168"/>
      <c r="D25" s="169"/>
      <c r="E25" s="91"/>
      <c r="F25" s="92"/>
    </row>
    <row r="26" spans="1:6" ht="12.75" x14ac:dyDescent="0.2">
      <c r="A26" s="221"/>
      <c r="B26" s="105"/>
      <c r="C26" s="105"/>
      <c r="D26" s="105"/>
      <c r="E26" s="93"/>
      <c r="F26" s="94"/>
    </row>
    <row r="27" spans="1:6" x14ac:dyDescent="0.25">
      <c r="A27" s="221"/>
      <c r="B27" s="105"/>
      <c r="C27" s="105"/>
      <c r="D27" s="105"/>
      <c r="E27" s="105"/>
      <c r="F27" s="105"/>
    </row>
  </sheetData>
  <mergeCells count="1">
    <mergeCell ref="B2:F2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zoomScale="110" zoomScaleNormal="110" workbookViewId="0">
      <selection activeCell="H29" sqref="H29"/>
    </sheetView>
  </sheetViews>
  <sheetFormatPr defaultColWidth="9.109375" defaultRowHeight="13.2" x14ac:dyDescent="0.25"/>
  <cols>
    <col min="1" max="1" width="9.109375" style="82"/>
    <col min="2" max="2" width="12.88671875" style="82" customWidth="1"/>
    <col min="3" max="3" width="23.6640625" style="82" customWidth="1"/>
    <col min="4" max="12" width="12.88671875" style="82" customWidth="1"/>
    <col min="13" max="16384" width="9.109375" style="82"/>
  </cols>
  <sheetData>
    <row r="1" spans="2:12" ht="13.5" thickBot="1" x14ac:dyDescent="0.25"/>
    <row r="2" spans="2:12" ht="13.5" thickBot="1" x14ac:dyDescent="0.25">
      <c r="B2" s="488" t="s">
        <v>48</v>
      </c>
      <c r="C2" s="489"/>
      <c r="D2" s="490"/>
      <c r="E2" s="490"/>
      <c r="F2" s="491"/>
      <c r="G2" s="264"/>
      <c r="H2" s="492" t="s">
        <v>49</v>
      </c>
      <c r="I2" s="490"/>
      <c r="J2" s="490"/>
      <c r="K2" s="490"/>
      <c r="L2" s="491"/>
    </row>
    <row r="3" spans="2:12" ht="13.5" thickBot="1" x14ac:dyDescent="0.25">
      <c r="B3" s="357" t="s">
        <v>50</v>
      </c>
      <c r="C3" s="356"/>
      <c r="D3" s="266"/>
      <c r="E3" s="267"/>
      <c r="F3" s="268"/>
      <c r="G3" s="269"/>
      <c r="H3" s="270" t="s">
        <v>133</v>
      </c>
      <c r="I3" s="271"/>
      <c r="J3" s="272"/>
      <c r="K3" s="273"/>
      <c r="L3" s="358"/>
    </row>
    <row r="4" spans="2:12" ht="12.75" x14ac:dyDescent="0.2">
      <c r="B4" s="274"/>
      <c r="C4" s="265"/>
      <c r="D4" s="267" t="s">
        <v>51</v>
      </c>
      <c r="E4" s="275"/>
      <c r="F4" s="268">
        <v>1506</v>
      </c>
      <c r="G4" s="276"/>
      <c r="H4" s="274"/>
      <c r="I4" s="265"/>
      <c r="J4" s="267" t="s">
        <v>51</v>
      </c>
      <c r="K4" s="267"/>
      <c r="L4" s="268">
        <v>1506</v>
      </c>
    </row>
    <row r="5" spans="2:12" ht="12.75" x14ac:dyDescent="0.2">
      <c r="B5" s="277"/>
      <c r="C5" s="278"/>
      <c r="D5" s="279" t="s">
        <v>33</v>
      </c>
      <c r="E5" s="279" t="s">
        <v>34</v>
      </c>
      <c r="F5" s="280" t="s">
        <v>35</v>
      </c>
      <c r="G5" s="264"/>
      <c r="H5" s="287"/>
      <c r="I5" s="288"/>
      <c r="J5" s="289" t="s">
        <v>33</v>
      </c>
      <c r="K5" s="289" t="s">
        <v>34</v>
      </c>
      <c r="L5" s="290" t="s">
        <v>35</v>
      </c>
    </row>
    <row r="6" spans="2:12" ht="12.75" x14ac:dyDescent="0.2">
      <c r="B6" s="281" t="str">
        <f>'Master Lookup'!B13</f>
        <v>Program Management</v>
      </c>
      <c r="C6" s="282"/>
      <c r="D6" s="283">
        <f>'Master Lookup'!C13</f>
        <v>65000</v>
      </c>
      <c r="E6" s="284">
        <v>0.16500000000000001</v>
      </c>
      <c r="F6" s="285">
        <f>E6*D6</f>
        <v>10725</v>
      </c>
      <c r="G6" s="286"/>
      <c r="H6" s="293" t="s">
        <v>52</v>
      </c>
      <c r="I6" s="276"/>
      <c r="J6" s="283">
        <f>D6</f>
        <v>65000</v>
      </c>
      <c r="K6" s="284">
        <v>0.05</v>
      </c>
      <c r="L6" s="285">
        <f>K6*J6</f>
        <v>3250</v>
      </c>
    </row>
    <row r="7" spans="2:12" ht="12.75" x14ac:dyDescent="0.2">
      <c r="B7" s="281" t="str">
        <f>'Master Lookup'!B17</f>
        <v>Clinical Supervisor (LICSW)</v>
      </c>
      <c r="C7" s="282"/>
      <c r="D7" s="291">
        <f>'Master Lookup'!C17</f>
        <v>65000</v>
      </c>
      <c r="E7" s="292">
        <v>0.115</v>
      </c>
      <c r="F7" s="285">
        <f t="shared" ref="F7:F10" si="0">E7*D7</f>
        <v>7475</v>
      </c>
      <c r="G7" s="286"/>
      <c r="H7" s="293" t="str">
        <f>'Master Lookup'!B17</f>
        <v>Clinical Supervisor (LICSW)</v>
      </c>
      <c r="I7" s="276"/>
      <c r="J7" s="291">
        <f>'Master Lookup'!C17</f>
        <v>65000</v>
      </c>
      <c r="K7" s="292">
        <v>0.1</v>
      </c>
      <c r="L7" s="285">
        <f t="shared" ref="L7:L9" si="1">K7*J7</f>
        <v>6500</v>
      </c>
    </row>
    <row r="8" spans="2:12" ht="12.75" x14ac:dyDescent="0.2">
      <c r="B8" s="281" t="s">
        <v>58</v>
      </c>
      <c r="C8" s="282"/>
      <c r="D8" s="291">
        <f>D7</f>
        <v>65000</v>
      </c>
      <c r="E8" s="292">
        <v>0.82</v>
      </c>
      <c r="F8" s="285">
        <f t="shared" si="0"/>
        <v>53300</v>
      </c>
      <c r="G8" s="286"/>
      <c r="H8" s="293" t="str">
        <f>'Master Lookup'!B20</f>
        <v>Direct Care (MA Level)</v>
      </c>
      <c r="I8" s="276"/>
      <c r="J8" s="291">
        <f>'Master Lookup'!C20</f>
        <v>52433.29</v>
      </c>
      <c r="K8" s="292">
        <v>1</v>
      </c>
      <c r="L8" s="285">
        <f t="shared" si="1"/>
        <v>52433.29</v>
      </c>
    </row>
    <row r="9" spans="2:12" ht="12.75" x14ac:dyDescent="0.2">
      <c r="B9" s="422" t="str">
        <f>'Master Lookup'!B20</f>
        <v>Direct Care (MA Level)</v>
      </c>
      <c r="C9" s="276"/>
      <c r="D9" s="291">
        <f>'Master Lookup'!C20</f>
        <v>52433.29</v>
      </c>
      <c r="E9" s="292">
        <v>1</v>
      </c>
      <c r="F9" s="285">
        <f t="shared" si="0"/>
        <v>52433.29</v>
      </c>
      <c r="G9" s="286"/>
      <c r="H9" s="296" t="str">
        <f>'Master Lookup'!B22</f>
        <v>Support Staffing</v>
      </c>
      <c r="I9" s="276"/>
      <c r="J9" s="291">
        <f>D10</f>
        <v>31200</v>
      </c>
      <c r="K9" s="284">
        <v>0.3</v>
      </c>
      <c r="L9" s="285">
        <f t="shared" si="1"/>
        <v>9360</v>
      </c>
    </row>
    <row r="10" spans="2:12" ht="12.75" x14ac:dyDescent="0.2">
      <c r="B10" s="294" t="str">
        <f>'Master Lookup'!B22</f>
        <v>Support Staffing</v>
      </c>
      <c r="C10" s="282"/>
      <c r="D10" s="291">
        <f>'Master Lookup'!C22</f>
        <v>31200</v>
      </c>
      <c r="E10" s="284">
        <v>0.4</v>
      </c>
      <c r="F10" s="285">
        <f t="shared" si="0"/>
        <v>12480</v>
      </c>
      <c r="G10" s="295"/>
      <c r="H10" s="302" t="s">
        <v>36</v>
      </c>
      <c r="I10" s="299"/>
      <c r="J10" s="299"/>
      <c r="K10" s="300">
        <f>SUM(K6:K9)</f>
        <v>1.45</v>
      </c>
      <c r="L10" s="301">
        <f>SUM(L6:L9)</f>
        <v>71543.290000000008</v>
      </c>
    </row>
    <row r="11" spans="2:12" ht="12.75" x14ac:dyDescent="0.2">
      <c r="B11" s="297" t="s">
        <v>36</v>
      </c>
      <c r="C11" s="298"/>
      <c r="D11" s="299"/>
      <c r="E11" s="300">
        <v>2.5109041329999999</v>
      </c>
      <c r="F11" s="301">
        <f>SUM(F6:F10)</f>
        <v>136413.29</v>
      </c>
      <c r="G11" s="295"/>
      <c r="H11" s="305"/>
      <c r="I11" s="276"/>
      <c r="J11" s="276"/>
      <c r="K11" s="276"/>
      <c r="L11" s="304"/>
    </row>
    <row r="12" spans="2:12" ht="12.75" x14ac:dyDescent="0.2">
      <c r="B12" s="303"/>
      <c r="C12" s="282"/>
      <c r="D12" s="276"/>
      <c r="E12" s="276"/>
      <c r="F12" s="304"/>
      <c r="G12" s="286"/>
      <c r="H12" s="307" t="s">
        <v>37</v>
      </c>
      <c r="I12" s="276"/>
      <c r="J12" s="276"/>
      <c r="K12" s="306" t="s">
        <v>38</v>
      </c>
      <c r="L12" s="304"/>
    </row>
    <row r="13" spans="2:12" ht="12.75" x14ac:dyDescent="0.2">
      <c r="B13" s="274" t="s">
        <v>37</v>
      </c>
      <c r="C13" s="282"/>
      <c r="D13" s="276"/>
      <c r="E13" s="306" t="s">
        <v>38</v>
      </c>
      <c r="F13" s="304"/>
      <c r="G13" s="286"/>
      <c r="H13" s="305" t="s">
        <v>14</v>
      </c>
      <c r="I13" s="276"/>
      <c r="J13" s="308">
        <f>D14</f>
        <v>0.20200000000000001</v>
      </c>
      <c r="K13" s="276"/>
      <c r="L13" s="285">
        <f>L10*J13</f>
        <v>14451.744580000002</v>
      </c>
    </row>
    <row r="14" spans="2:12" ht="12.75" x14ac:dyDescent="0.2">
      <c r="B14" s="303" t="s">
        <v>14</v>
      </c>
      <c r="C14" s="282"/>
      <c r="D14" s="308">
        <f>'Master Lookup'!C29</f>
        <v>0.20200000000000001</v>
      </c>
      <c r="E14" s="276"/>
      <c r="F14" s="285">
        <f>F11*D14</f>
        <v>27555.484580000004</v>
      </c>
      <c r="G14" s="286"/>
      <c r="H14" s="302" t="s">
        <v>39</v>
      </c>
      <c r="I14" s="299"/>
      <c r="J14" s="299"/>
      <c r="K14" s="309"/>
      <c r="L14" s="301">
        <f>L10+L13</f>
        <v>85995.034580000007</v>
      </c>
    </row>
    <row r="15" spans="2:12" ht="12.75" x14ac:dyDescent="0.2">
      <c r="B15" s="297" t="s">
        <v>39</v>
      </c>
      <c r="C15" s="298"/>
      <c r="D15" s="299"/>
      <c r="E15" s="309"/>
      <c r="F15" s="301">
        <f>F14+F11</f>
        <v>163968.77458000003</v>
      </c>
      <c r="G15" s="286"/>
      <c r="H15" s="305"/>
      <c r="I15" s="276"/>
      <c r="J15" s="276" t="s">
        <v>40</v>
      </c>
      <c r="K15" s="276"/>
      <c r="L15" s="304"/>
    </row>
    <row r="16" spans="2:12" ht="12.75" x14ac:dyDescent="0.2">
      <c r="B16" s="303"/>
      <c r="C16" s="282"/>
      <c r="D16" s="276" t="s">
        <v>40</v>
      </c>
      <c r="E16" s="276"/>
      <c r="F16" s="304"/>
      <c r="G16" s="310"/>
      <c r="H16" s="305" t="s">
        <v>15</v>
      </c>
      <c r="I16" s="276"/>
      <c r="J16" s="311">
        <f>D17</f>
        <v>6809</v>
      </c>
      <c r="K16" s="312"/>
      <c r="L16" s="313">
        <f>K10*J16</f>
        <v>9873.0499999999993</v>
      </c>
    </row>
    <row r="17" spans="2:12" ht="13.5" thickBot="1" x14ac:dyDescent="0.25">
      <c r="B17" s="303" t="s">
        <v>15</v>
      </c>
      <c r="C17" s="282"/>
      <c r="D17" s="311">
        <f>'Master Lookup'!C25</f>
        <v>6809</v>
      </c>
      <c r="E17" s="312"/>
      <c r="F17" s="313">
        <f>D17*E11</f>
        <v>17096.746241597</v>
      </c>
      <c r="G17" s="276"/>
      <c r="H17" s="319" t="s">
        <v>16</v>
      </c>
      <c r="I17" s="320"/>
      <c r="J17" s="316">
        <f>D18</f>
        <v>1219</v>
      </c>
      <c r="K17" s="317"/>
      <c r="L17" s="318">
        <f>J17*K10</f>
        <v>1767.55</v>
      </c>
    </row>
    <row r="18" spans="2:12" ht="14.25" thickTop="1" thickBot="1" x14ac:dyDescent="0.25">
      <c r="B18" s="314" t="s">
        <v>16</v>
      </c>
      <c r="C18" s="315"/>
      <c r="D18" s="316">
        <f>'Master Lookup'!C26</f>
        <v>1219</v>
      </c>
      <c r="E18" s="317"/>
      <c r="F18" s="318">
        <f>D18*E11</f>
        <v>3060.7921381269998</v>
      </c>
      <c r="G18" s="276"/>
      <c r="H18" s="287" t="s">
        <v>41</v>
      </c>
      <c r="I18" s="288"/>
      <c r="J18" s="288"/>
      <c r="K18" s="288"/>
      <c r="L18" s="321">
        <f>L14+L16+L17</f>
        <v>97635.634580000013</v>
      </c>
    </row>
    <row r="19" spans="2:12" ht="14.25" thickTop="1" thickBot="1" x14ac:dyDescent="0.25">
      <c r="B19" s="277" t="s">
        <v>41</v>
      </c>
      <c r="C19" s="278"/>
      <c r="D19" s="288"/>
      <c r="E19" s="288"/>
      <c r="F19" s="321">
        <f>F15+F17+F18</f>
        <v>184126.31295972402</v>
      </c>
      <c r="G19" s="286"/>
      <c r="H19" s="319" t="s">
        <v>42</v>
      </c>
      <c r="I19" s="322"/>
      <c r="J19" s="323">
        <f>D20</f>
        <v>0.1258</v>
      </c>
      <c r="K19" s="320"/>
      <c r="L19" s="324">
        <f>L18*J19</f>
        <v>12282.562830164001</v>
      </c>
    </row>
    <row r="20" spans="2:12" ht="14.25" thickTop="1" thickBot="1" x14ac:dyDescent="0.25">
      <c r="B20" s="314" t="s">
        <v>42</v>
      </c>
      <c r="C20" s="322"/>
      <c r="D20" s="323">
        <f>'Master Lookup'!C30</f>
        <v>0.1258</v>
      </c>
      <c r="E20" s="320"/>
      <c r="F20" s="324">
        <f>F19*D20</f>
        <v>23163.090170333282</v>
      </c>
      <c r="G20" s="310"/>
      <c r="H20" s="277" t="s">
        <v>43</v>
      </c>
      <c r="I20" s="325"/>
      <c r="J20" s="325"/>
      <c r="K20" s="325"/>
      <c r="L20" s="326">
        <f>L18+L19</f>
        <v>109918.19741016401</v>
      </c>
    </row>
    <row r="21" spans="2:12" ht="13.5" thickTop="1" x14ac:dyDescent="0.2">
      <c r="B21" s="277" t="s">
        <v>43</v>
      </c>
      <c r="C21" s="325"/>
      <c r="D21" s="325"/>
      <c r="E21" s="325"/>
      <c r="F21" s="326">
        <f>F20+F19</f>
        <v>207289.4031300573</v>
      </c>
      <c r="G21" s="310"/>
      <c r="H21" s="327" t="s">
        <v>44</v>
      </c>
      <c r="I21" s="330"/>
      <c r="J21" s="330"/>
      <c r="K21" s="330"/>
      <c r="L21" s="333">
        <f>L20/L4</f>
        <v>72.986850869962822</v>
      </c>
    </row>
    <row r="22" spans="2:12" ht="12.75" x14ac:dyDescent="0.2">
      <c r="B22" s="327" t="s">
        <v>55</v>
      </c>
      <c r="C22" s="328"/>
      <c r="D22" s="329"/>
      <c r="E22" s="330"/>
      <c r="F22" s="331">
        <f>F21/((E8+E9)*F4)</f>
        <v>75.627673602315042</v>
      </c>
      <c r="G22" s="332"/>
      <c r="H22" s="327" t="s">
        <v>56</v>
      </c>
      <c r="I22" s="335"/>
      <c r="J22" s="411">
        <f>D23</f>
        <v>2.5600000000000001E-2</v>
      </c>
      <c r="K22" s="335"/>
      <c r="L22" s="336">
        <f>L21*(J22+1)</f>
        <v>74.855314252233882</v>
      </c>
    </row>
    <row r="23" spans="2:12" ht="13.5" thickBot="1" x14ac:dyDescent="0.25">
      <c r="B23" s="327" t="s">
        <v>56</v>
      </c>
      <c r="C23" s="328"/>
      <c r="D23" s="410">
        <f>'Master Lookup'!C33</f>
        <v>2.5600000000000001E-2</v>
      </c>
      <c r="E23" s="330"/>
      <c r="F23" s="331">
        <f>F22*(D23+1)</f>
        <v>77.563742046534315</v>
      </c>
      <c r="G23" s="334"/>
      <c r="H23" s="337" t="s">
        <v>57</v>
      </c>
      <c r="I23" s="342"/>
      <c r="J23" s="343"/>
      <c r="K23" s="342"/>
      <c r="L23" s="344">
        <f>L22*0.25</f>
        <v>18.71382856305847</v>
      </c>
    </row>
    <row r="24" spans="2:12" ht="13.95" thickBot="1" x14ac:dyDescent="0.3">
      <c r="B24" s="337" t="s">
        <v>57</v>
      </c>
      <c r="C24" s="338"/>
      <c r="D24" s="339"/>
      <c r="E24" s="338"/>
      <c r="F24" s="340">
        <f>F23*0.25</f>
        <v>19.390935511633579</v>
      </c>
      <c r="G24" s="341"/>
      <c r="H24" s="276"/>
      <c r="I24" s="276"/>
      <c r="J24" s="276"/>
      <c r="K24" s="346"/>
      <c r="L24" s="347"/>
    </row>
    <row r="25" spans="2:12" x14ac:dyDescent="0.25">
      <c r="B25" s="345"/>
      <c r="C25" s="345"/>
      <c r="D25" s="345"/>
      <c r="E25" s="346"/>
      <c r="F25" s="347"/>
      <c r="G25" s="345"/>
      <c r="H25" s="345"/>
      <c r="I25" s="345"/>
      <c r="J25" s="345"/>
      <c r="K25" s="348"/>
      <c r="L25" s="349"/>
    </row>
    <row r="26" spans="2:12" x14ac:dyDescent="0.25">
      <c r="B26" s="345"/>
      <c r="C26" s="345"/>
      <c r="D26" s="345"/>
      <c r="E26" s="348"/>
      <c r="F26" s="349"/>
      <c r="G26" s="345"/>
    </row>
    <row r="27" spans="2:12" x14ac:dyDescent="0.25">
      <c r="I27" s="353"/>
    </row>
    <row r="28" spans="2:12" x14ac:dyDescent="0.25">
      <c r="B28" s="175"/>
      <c r="C28" s="175"/>
    </row>
    <row r="29" spans="2:12" x14ac:dyDescent="0.25">
      <c r="B29" s="493"/>
      <c r="C29" s="493"/>
      <c r="D29" s="493"/>
      <c r="E29" s="493"/>
      <c r="F29" s="493"/>
    </row>
    <row r="30" spans="2:12" ht="13.8" x14ac:dyDescent="0.3">
      <c r="B30" s="229"/>
      <c r="C30" s="494"/>
      <c r="D30" s="494"/>
      <c r="E30" s="494"/>
      <c r="H30" s="371"/>
    </row>
    <row r="31" spans="2:12" x14ac:dyDescent="0.25">
      <c r="B31" s="167"/>
      <c r="C31" s="494"/>
      <c r="D31" s="494"/>
      <c r="E31" s="494"/>
    </row>
    <row r="32" spans="2:12" ht="13.8" x14ac:dyDescent="0.3">
      <c r="B32" s="167"/>
      <c r="C32" s="494"/>
      <c r="D32" s="494"/>
      <c r="E32" s="494"/>
      <c r="H32" s="371"/>
    </row>
    <row r="33" spans="2:8" x14ac:dyDescent="0.25">
      <c r="B33" s="167"/>
      <c r="C33" s="494"/>
      <c r="D33" s="494"/>
      <c r="E33" s="494"/>
    </row>
    <row r="34" spans="2:8" x14ac:dyDescent="0.25">
      <c r="B34" s="170"/>
      <c r="C34" s="494"/>
      <c r="D34" s="494"/>
      <c r="E34" s="494"/>
    </row>
    <row r="35" spans="2:8" ht="12.75" x14ac:dyDescent="0.2">
      <c r="B35" s="116"/>
      <c r="C35" s="170"/>
      <c r="H35" s="371"/>
    </row>
    <row r="36" spans="2:8" ht="12.75" x14ac:dyDescent="0.2">
      <c r="B36" s="155"/>
      <c r="C36" s="116"/>
    </row>
    <row r="37" spans="2:8" ht="12.75" x14ac:dyDescent="0.2">
      <c r="B37" s="238"/>
      <c r="C37" s="171"/>
      <c r="H37" s="371"/>
    </row>
    <row r="39" spans="2:8" ht="13.8" x14ac:dyDescent="0.3">
      <c r="H39" s="371"/>
    </row>
    <row r="40" spans="2:8" x14ac:dyDescent="0.25">
      <c r="B40" s="250"/>
      <c r="C40" s="149"/>
    </row>
  </sheetData>
  <mergeCells count="4">
    <mergeCell ref="B2:F2"/>
    <mergeCell ref="H2:L2"/>
    <mergeCell ref="B29:F29"/>
    <mergeCell ref="C30:E34"/>
  </mergeCells>
  <pageMargins left="0.2" right="0.7" top="0.5" bottom="0.5" header="0.3" footer="0.3"/>
  <pageSetup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1"/>
  <sheetViews>
    <sheetView workbookViewId="0">
      <selection activeCell="H29" sqref="H29:I29"/>
    </sheetView>
  </sheetViews>
  <sheetFormatPr defaultColWidth="9.109375" defaultRowHeight="13.2" x14ac:dyDescent="0.25"/>
  <cols>
    <col min="1" max="1" width="9.109375" style="82"/>
    <col min="2" max="2" width="38.33203125" style="82" hidden="1" customWidth="1"/>
    <col min="3" max="5" width="0" style="82" hidden="1" customWidth="1"/>
    <col min="6" max="6" width="15.33203125" style="82" hidden="1" customWidth="1"/>
    <col min="7" max="7" width="0" style="82" hidden="1" customWidth="1"/>
    <col min="8" max="8" width="34.88671875" style="82" customWidth="1"/>
    <col min="9" max="9" width="7.6640625" style="82" bestFit="1" customWidth="1"/>
    <col min="10" max="10" width="12.33203125" style="82" customWidth="1"/>
    <col min="11" max="11" width="9" style="82" bestFit="1" customWidth="1"/>
    <col min="12" max="12" width="18.33203125" style="82" customWidth="1"/>
    <col min="13" max="13" width="9.5546875" style="82" bestFit="1" customWidth="1"/>
    <col min="14" max="14" width="9.109375" style="82"/>
    <col min="15" max="15" width="24.33203125" style="82" customWidth="1"/>
    <col min="16" max="16" width="15.6640625" style="82" customWidth="1"/>
    <col min="17" max="17" width="37.33203125" style="82" bestFit="1" customWidth="1"/>
    <col min="18" max="18" width="8.5546875" style="82" bestFit="1" customWidth="1"/>
    <col min="19" max="16384" width="9.109375" style="82"/>
  </cols>
  <sheetData>
    <row r="1" spans="2:18" ht="13.5" thickBot="1" x14ac:dyDescent="0.25"/>
    <row r="2" spans="2:18" ht="13.5" thickBot="1" x14ac:dyDescent="0.25">
      <c r="H2" s="495" t="s">
        <v>93</v>
      </c>
      <c r="I2" s="496"/>
      <c r="J2" s="496"/>
      <c r="K2" s="496"/>
      <c r="L2" s="497"/>
    </row>
    <row r="3" spans="2:18" ht="13.5" thickBot="1" x14ac:dyDescent="0.25">
      <c r="B3" s="485" t="s">
        <v>59</v>
      </c>
      <c r="C3" s="486"/>
      <c r="D3" s="486"/>
      <c r="E3" s="486"/>
      <c r="F3" s="487"/>
      <c r="G3" s="107"/>
      <c r="H3" s="367" t="s">
        <v>135</v>
      </c>
      <c r="I3" s="271"/>
      <c r="J3" s="368"/>
      <c r="K3" s="369"/>
      <c r="L3" s="358"/>
      <c r="M3" s="107"/>
      <c r="N3" s="107"/>
    </row>
    <row r="4" spans="2:18" ht="13.5" thickBot="1" x14ac:dyDescent="0.25">
      <c r="B4" s="5" t="s">
        <v>60</v>
      </c>
      <c r="C4" s="108"/>
      <c r="D4" s="109" t="s">
        <v>51</v>
      </c>
      <c r="E4" s="105"/>
      <c r="F4" s="110">
        <v>1506</v>
      </c>
      <c r="G4" s="111"/>
      <c r="H4" s="361"/>
      <c r="I4" s="105"/>
      <c r="J4" s="109" t="s">
        <v>51</v>
      </c>
      <c r="K4" s="109"/>
      <c r="L4" s="110">
        <v>1506</v>
      </c>
      <c r="M4" s="215"/>
      <c r="N4" s="111"/>
    </row>
    <row r="5" spans="2:18" ht="12.75" x14ac:dyDescent="0.2">
      <c r="B5" s="112"/>
      <c r="C5" s="113"/>
      <c r="D5" s="114" t="s">
        <v>33</v>
      </c>
      <c r="E5" s="114" t="s">
        <v>34</v>
      </c>
      <c r="F5" s="115" t="s">
        <v>35</v>
      </c>
      <c r="G5" s="116"/>
      <c r="H5" s="112"/>
      <c r="I5" s="113"/>
      <c r="J5" s="114" t="s">
        <v>33</v>
      </c>
      <c r="K5" s="114" t="s">
        <v>34</v>
      </c>
      <c r="L5" s="115" t="s">
        <v>35</v>
      </c>
      <c r="M5" s="216"/>
      <c r="N5" s="116"/>
      <c r="O5" s="209" t="s">
        <v>67</v>
      </c>
      <c r="P5" s="209" t="s">
        <v>68</v>
      </c>
      <c r="Q5" s="209" t="s">
        <v>69</v>
      </c>
      <c r="R5" s="209" t="s">
        <v>70</v>
      </c>
    </row>
    <row r="6" spans="2:18" ht="12.75" x14ac:dyDescent="0.2">
      <c r="B6" s="117" t="s">
        <v>8</v>
      </c>
      <c r="C6" s="118"/>
      <c r="D6" s="217">
        <v>68389.788812800005</v>
      </c>
      <c r="E6" s="120">
        <v>0.05</v>
      </c>
      <c r="F6" s="121">
        <v>3419.4894406400003</v>
      </c>
      <c r="G6" s="107"/>
      <c r="H6" s="179" t="str">
        <f>'Master Lookup'!B13</f>
        <v>Program Management</v>
      </c>
      <c r="I6" s="118"/>
      <c r="J6" s="217">
        <f>'Master Lookup'!C13</f>
        <v>65000</v>
      </c>
      <c r="K6" s="120">
        <v>0.05</v>
      </c>
      <c r="L6" s="121">
        <f>K6*J6</f>
        <v>3250</v>
      </c>
      <c r="M6" s="218"/>
      <c r="N6" s="107"/>
      <c r="O6" s="210" t="s">
        <v>72</v>
      </c>
      <c r="P6" s="211" t="s">
        <v>73</v>
      </c>
      <c r="Q6" s="212" t="s">
        <v>74</v>
      </c>
      <c r="R6" s="213">
        <f>K29*0.5</f>
        <v>37.427657126116941</v>
      </c>
    </row>
    <row r="7" spans="2:18" ht="12.75" x14ac:dyDescent="0.2">
      <c r="B7" s="117" t="s">
        <v>53</v>
      </c>
      <c r="C7" s="118"/>
      <c r="D7" s="219">
        <v>54230.703181199999</v>
      </c>
      <c r="E7" s="125">
        <v>0.04</v>
      </c>
      <c r="F7" s="121">
        <v>2169.228127248</v>
      </c>
      <c r="G7" s="149"/>
      <c r="H7" s="179" t="str">
        <f>'Master Lookup'!B17</f>
        <v>Clinical Supervisor (LICSW)</v>
      </c>
      <c r="I7" s="118"/>
      <c r="J7" s="219">
        <f>'Master Lookup'!C17</f>
        <v>65000</v>
      </c>
      <c r="K7" s="124">
        <v>0.1</v>
      </c>
      <c r="L7" s="121">
        <f t="shared" ref="L7:L9" si="0">K7*J7</f>
        <v>6500</v>
      </c>
      <c r="M7" s="218"/>
      <c r="N7" s="149"/>
      <c r="O7" s="212"/>
      <c r="P7" s="211" t="s">
        <v>75</v>
      </c>
      <c r="Q7" s="212" t="s">
        <v>76</v>
      </c>
      <c r="R7" s="213">
        <f>K29*0.25</f>
        <v>18.71382856305847</v>
      </c>
    </row>
    <row r="8" spans="2:18" ht="12.75" x14ac:dyDescent="0.2">
      <c r="B8" s="117" t="s">
        <v>54</v>
      </c>
      <c r="C8" s="118"/>
      <c r="D8" s="219">
        <v>52433.29</v>
      </c>
      <c r="E8" s="125">
        <v>1</v>
      </c>
      <c r="F8" s="121">
        <v>52433.29</v>
      </c>
      <c r="G8" s="149"/>
      <c r="H8" s="179" t="str">
        <f>'Master Lookup'!B20</f>
        <v>Direct Care (MA Level)</v>
      </c>
      <c r="I8" s="118"/>
      <c r="J8" s="219">
        <f>'Master Lookup'!C20</f>
        <v>52433.29</v>
      </c>
      <c r="K8" s="124">
        <v>1</v>
      </c>
      <c r="L8" s="121">
        <f t="shared" si="0"/>
        <v>52433.29</v>
      </c>
      <c r="M8" s="218"/>
      <c r="N8" s="149"/>
      <c r="O8" s="212"/>
      <c r="P8" s="211" t="s">
        <v>78</v>
      </c>
      <c r="Q8" s="212" t="s">
        <v>79</v>
      </c>
      <c r="R8" s="213">
        <f>K29*0.25</f>
        <v>18.71382856305847</v>
      </c>
    </row>
    <row r="9" spans="2:18" ht="12.75" x14ac:dyDescent="0.2">
      <c r="B9" s="126" t="s">
        <v>12</v>
      </c>
      <c r="C9" s="118"/>
      <c r="D9" s="219">
        <v>31079.308314600003</v>
      </c>
      <c r="E9" s="120">
        <v>0.3</v>
      </c>
      <c r="F9" s="121">
        <v>9323.7924943800008</v>
      </c>
      <c r="G9" s="149"/>
      <c r="H9" s="179" t="str">
        <f>'Master Lookup'!B22</f>
        <v>Support Staffing</v>
      </c>
      <c r="I9" s="118"/>
      <c r="J9" s="219">
        <f>'Master Lookup'!C22</f>
        <v>31200</v>
      </c>
      <c r="K9" s="420">
        <v>0.3</v>
      </c>
      <c r="L9" s="121">
        <f t="shared" si="0"/>
        <v>9360</v>
      </c>
      <c r="M9" s="218"/>
      <c r="N9" s="149"/>
      <c r="O9" s="212"/>
      <c r="P9" s="211" t="s">
        <v>65</v>
      </c>
      <c r="Q9" s="212" t="s">
        <v>81</v>
      </c>
      <c r="R9" s="213">
        <f>K33</f>
        <v>16.842445706752621</v>
      </c>
    </row>
    <row r="10" spans="2:18" ht="12.75" x14ac:dyDescent="0.2">
      <c r="B10" s="127" t="s">
        <v>36</v>
      </c>
      <c r="C10" s="128"/>
      <c r="D10" s="128"/>
      <c r="E10" s="129">
        <v>1.3900000000000001</v>
      </c>
      <c r="F10" s="130">
        <v>67345.800062267997</v>
      </c>
      <c r="G10" s="149"/>
      <c r="H10" s="127" t="s">
        <v>36</v>
      </c>
      <c r="I10" s="128"/>
      <c r="J10" s="128"/>
      <c r="K10" s="421">
        <f>SUM(K6:K9)</f>
        <v>1.45</v>
      </c>
      <c r="L10" s="130">
        <f>SUM(L6:L9)</f>
        <v>71543.290000000008</v>
      </c>
      <c r="M10" s="220"/>
      <c r="N10" s="149"/>
      <c r="O10" s="210" t="s">
        <v>83</v>
      </c>
      <c r="P10" s="211" t="s">
        <v>84</v>
      </c>
      <c r="Q10" s="212" t="s">
        <v>85</v>
      </c>
      <c r="R10" s="213">
        <f>R7</f>
        <v>18.71382856305847</v>
      </c>
    </row>
    <row r="11" spans="2:18" ht="12.75" x14ac:dyDescent="0.2">
      <c r="B11" s="131"/>
      <c r="C11" s="118"/>
      <c r="D11" s="118"/>
      <c r="E11" s="118"/>
      <c r="F11" s="132"/>
      <c r="G11" s="221"/>
      <c r="H11" s="131"/>
      <c r="I11" s="118"/>
      <c r="J11" s="118"/>
      <c r="K11" s="118"/>
      <c r="L11" s="132"/>
      <c r="M11" s="118"/>
      <c r="N11" s="221"/>
      <c r="O11" s="212"/>
      <c r="P11" s="211" t="s">
        <v>86</v>
      </c>
      <c r="Q11" s="212" t="s">
        <v>87</v>
      </c>
      <c r="R11" s="213">
        <f>R7</f>
        <v>18.71382856305847</v>
      </c>
    </row>
    <row r="12" spans="2:18" ht="12.75" x14ac:dyDescent="0.2">
      <c r="B12" s="133" t="s">
        <v>37</v>
      </c>
      <c r="C12" s="118"/>
      <c r="D12" s="118"/>
      <c r="E12" s="109" t="s">
        <v>38</v>
      </c>
      <c r="F12" s="132"/>
      <c r="G12" s="221"/>
      <c r="H12" s="133" t="s">
        <v>37</v>
      </c>
      <c r="I12" s="118"/>
      <c r="J12" s="118"/>
      <c r="K12" s="109" t="s">
        <v>38</v>
      </c>
      <c r="L12" s="132"/>
      <c r="M12" s="118"/>
      <c r="N12" s="221"/>
      <c r="O12" s="212"/>
      <c r="P12" s="211" t="s">
        <v>61</v>
      </c>
      <c r="Q12" s="212" t="s">
        <v>132</v>
      </c>
      <c r="R12" s="213">
        <f>K32</f>
        <v>5.6141485689175408</v>
      </c>
    </row>
    <row r="13" spans="2:18" ht="12.75" x14ac:dyDescent="0.2">
      <c r="B13" s="131" t="s">
        <v>14</v>
      </c>
      <c r="C13" s="118"/>
      <c r="D13" s="134">
        <v>0.20200000000000001</v>
      </c>
      <c r="E13" s="118"/>
      <c r="F13" s="121">
        <v>13603.851612578137</v>
      </c>
      <c r="G13" s="149"/>
      <c r="H13" s="131" t="s">
        <v>14</v>
      </c>
      <c r="I13" s="118"/>
      <c r="J13" s="134">
        <f>'Master Lookup'!C29</f>
        <v>0.20200000000000001</v>
      </c>
      <c r="K13" s="118"/>
      <c r="L13" s="121">
        <f>L10*J13</f>
        <v>14451.744580000002</v>
      </c>
      <c r="M13" s="218"/>
      <c r="N13" s="149"/>
      <c r="O13" s="210" t="s">
        <v>88</v>
      </c>
      <c r="P13" s="211" t="s">
        <v>89</v>
      </c>
      <c r="Q13" s="212" t="s">
        <v>79</v>
      </c>
      <c r="R13" s="213">
        <f>R8</f>
        <v>18.71382856305847</v>
      </c>
    </row>
    <row r="14" spans="2:18" ht="12.75" x14ac:dyDescent="0.2">
      <c r="B14" s="127" t="s">
        <v>39</v>
      </c>
      <c r="C14" s="128"/>
      <c r="D14" s="128"/>
      <c r="E14" s="135"/>
      <c r="F14" s="130">
        <v>80949.651674846129</v>
      </c>
      <c r="G14" s="149"/>
      <c r="H14" s="127" t="s">
        <v>39</v>
      </c>
      <c r="I14" s="128"/>
      <c r="J14" s="128"/>
      <c r="K14" s="135"/>
      <c r="L14" s="130">
        <f>L10+L13</f>
        <v>85995.034580000007</v>
      </c>
      <c r="M14" s="220"/>
      <c r="N14" s="149"/>
      <c r="O14" s="212"/>
      <c r="P14" s="211" t="s">
        <v>90</v>
      </c>
      <c r="Q14" s="212" t="s">
        <v>91</v>
      </c>
      <c r="R14" s="214">
        <f>K29</f>
        <v>74.855314252233882</v>
      </c>
    </row>
    <row r="15" spans="2:18" ht="12.75" x14ac:dyDescent="0.2">
      <c r="B15" s="131"/>
      <c r="C15" s="118"/>
      <c r="D15" s="118" t="s">
        <v>40</v>
      </c>
      <c r="E15" s="118"/>
      <c r="F15" s="132"/>
      <c r="G15" s="149"/>
      <c r="H15" s="131"/>
      <c r="I15" s="118"/>
      <c r="J15" s="118" t="s">
        <v>40</v>
      </c>
      <c r="K15" s="118"/>
      <c r="L15" s="132"/>
      <c r="M15" s="118"/>
      <c r="N15" s="149"/>
      <c r="O15" s="212"/>
      <c r="P15" s="211" t="s">
        <v>92</v>
      </c>
      <c r="Q15" s="212" t="s">
        <v>81</v>
      </c>
      <c r="R15" s="213">
        <f>K33</f>
        <v>16.842445706752621</v>
      </c>
    </row>
    <row r="16" spans="2:18" ht="12.75" x14ac:dyDescent="0.2">
      <c r="B16" s="131" t="s">
        <v>15</v>
      </c>
      <c r="C16" s="118"/>
      <c r="D16" s="136">
        <v>6802</v>
      </c>
      <c r="E16" s="137"/>
      <c r="F16" s="138">
        <v>9454.7800000000007</v>
      </c>
      <c r="G16" s="149"/>
      <c r="H16" s="131" t="s">
        <v>15</v>
      </c>
      <c r="I16" s="118"/>
      <c r="J16" s="136">
        <f>'Master Lookup'!C25</f>
        <v>6809</v>
      </c>
      <c r="K16" s="137"/>
      <c r="L16" s="138">
        <f>J16*K10</f>
        <v>9873.0499999999993</v>
      </c>
      <c r="M16" s="222"/>
      <c r="N16" s="149"/>
      <c r="O16" s="221"/>
      <c r="P16" s="221"/>
      <c r="Q16" s="221"/>
      <c r="R16" s="221"/>
    </row>
    <row r="17" spans="2:18" ht="13.5" thickBot="1" x14ac:dyDescent="0.25">
      <c r="B17" s="139" t="s">
        <v>16</v>
      </c>
      <c r="C17" s="140"/>
      <c r="D17" s="141">
        <v>1382</v>
      </c>
      <c r="E17" s="142"/>
      <c r="F17" s="143">
        <v>1920.9800000000002</v>
      </c>
      <c r="G17" s="171"/>
      <c r="H17" s="139" t="s">
        <v>16</v>
      </c>
      <c r="I17" s="140"/>
      <c r="J17" s="141">
        <f>'Master Lookup'!C26</f>
        <v>1219</v>
      </c>
      <c r="K17" s="142"/>
      <c r="L17" s="223">
        <f>J17*K10</f>
        <v>1767.55</v>
      </c>
      <c r="M17" s="222"/>
      <c r="N17" s="171"/>
    </row>
    <row r="18" spans="2:18" ht="13.5" thickTop="1" x14ac:dyDescent="0.2">
      <c r="B18" s="112" t="s">
        <v>41</v>
      </c>
      <c r="C18" s="113"/>
      <c r="D18" s="113"/>
      <c r="E18" s="113"/>
      <c r="F18" s="144">
        <v>92325.411674846124</v>
      </c>
      <c r="G18" s="116"/>
      <c r="H18" s="112" t="s">
        <v>41</v>
      </c>
      <c r="I18" s="113"/>
      <c r="J18" s="113"/>
      <c r="K18" s="113"/>
      <c r="L18" s="144">
        <f>L14+L16+L17</f>
        <v>97635.634580000013</v>
      </c>
      <c r="M18" s="220"/>
      <c r="N18" s="116"/>
    </row>
    <row r="19" spans="2:18" ht="13.5" thickBot="1" x14ac:dyDescent="0.25">
      <c r="B19" s="139" t="s">
        <v>42</v>
      </c>
      <c r="C19" s="145"/>
      <c r="D19" s="146">
        <v>0.12583357988637983</v>
      </c>
      <c r="E19" s="140"/>
      <c r="F19" s="147">
        <v>11617.637065529654</v>
      </c>
      <c r="G19" s="116"/>
      <c r="H19" s="139" t="s">
        <v>42</v>
      </c>
      <c r="I19" s="145"/>
      <c r="J19" s="146">
        <f>'Master Lookup'!C30</f>
        <v>0.1258</v>
      </c>
      <c r="K19" s="140"/>
      <c r="L19" s="147">
        <f>L18*J19</f>
        <v>12282.562830164001</v>
      </c>
      <c r="M19" s="218"/>
      <c r="N19" s="116"/>
    </row>
    <row r="20" spans="2:18" ht="13.8" thickTop="1" x14ac:dyDescent="0.25">
      <c r="B20" s="112" t="s">
        <v>43</v>
      </c>
      <c r="C20" s="148"/>
      <c r="D20" s="148"/>
      <c r="E20" s="148"/>
      <c r="F20" s="144">
        <v>103943.04874037577</v>
      </c>
      <c r="G20" s="149"/>
      <c r="H20" s="112" t="s">
        <v>43</v>
      </c>
      <c r="I20" s="148"/>
      <c r="J20" s="148"/>
      <c r="K20" s="148"/>
      <c r="L20" s="144">
        <f>L18+L19</f>
        <v>109918.19741016401</v>
      </c>
      <c r="M20" s="220"/>
      <c r="N20" s="494"/>
      <c r="O20" s="494"/>
      <c r="P20" s="494"/>
    </row>
    <row r="21" spans="2:18" x14ac:dyDescent="0.25">
      <c r="B21" s="150" t="s">
        <v>44</v>
      </c>
      <c r="C21" s="151"/>
      <c r="D21" s="152"/>
      <c r="E21" s="153"/>
      <c r="F21" s="154">
        <v>66.364700646373336</v>
      </c>
      <c r="G21" s="224">
        <v>69.019288672228271</v>
      </c>
      <c r="H21" s="150" t="s">
        <v>44</v>
      </c>
      <c r="I21" s="153"/>
      <c r="J21" s="153"/>
      <c r="K21" s="153"/>
      <c r="L21" s="225">
        <f>L20/L4</f>
        <v>72.986850869962822</v>
      </c>
      <c r="M21" s="226"/>
      <c r="N21" s="494"/>
      <c r="O21" s="494"/>
      <c r="P21" s="494"/>
    </row>
    <row r="22" spans="2:18" ht="12.75" customHeight="1" thickBot="1" x14ac:dyDescent="0.3">
      <c r="B22" s="150" t="s">
        <v>56</v>
      </c>
      <c r="C22" s="151"/>
      <c r="D22" s="152">
        <v>0</v>
      </c>
      <c r="E22" s="153"/>
      <c r="F22" s="154">
        <v>66.364700646373336</v>
      </c>
      <c r="G22" s="207"/>
      <c r="H22" s="362" t="s">
        <v>56</v>
      </c>
      <c r="I22" s="363"/>
      <c r="J22" s="412">
        <f>'Master Lookup'!C33</f>
        <v>2.5600000000000001E-2</v>
      </c>
      <c r="K22" s="363"/>
      <c r="L22" s="423">
        <f>L21*(J22+1)</f>
        <v>74.855314252233882</v>
      </c>
      <c r="M22" s="226"/>
      <c r="N22" s="494"/>
      <c r="O22" s="494"/>
      <c r="P22" s="494"/>
      <c r="R22" s="353"/>
    </row>
    <row r="23" spans="2:18" ht="13.5" customHeight="1" thickBot="1" x14ac:dyDescent="0.3">
      <c r="B23" s="159" t="s">
        <v>62</v>
      </c>
      <c r="C23" s="160"/>
      <c r="D23" s="85"/>
      <c r="E23" s="161"/>
      <c r="F23" s="227">
        <v>13.80723506161608</v>
      </c>
      <c r="G23" s="228"/>
      <c r="H23" s="118"/>
      <c r="I23" s="118"/>
      <c r="J23" s="90"/>
      <c r="K23" s="118"/>
      <c r="L23" s="226"/>
      <c r="M23" s="229"/>
      <c r="N23" s="494"/>
      <c r="O23" s="494"/>
      <c r="P23" s="494"/>
    </row>
    <row r="24" spans="2:18" ht="12.75" customHeight="1" x14ac:dyDescent="0.25">
      <c r="B24" s="105"/>
      <c r="C24" s="168"/>
      <c r="D24" s="169"/>
      <c r="E24" s="172"/>
      <c r="F24" s="172"/>
      <c r="G24" s="167"/>
      <c r="H24" s="163"/>
      <c r="I24" s="163"/>
      <c r="J24" s="164"/>
      <c r="K24" s="163"/>
      <c r="L24" s="165"/>
      <c r="M24" s="167"/>
      <c r="N24" s="494"/>
      <c r="O24" s="494"/>
      <c r="P24" s="494"/>
    </row>
    <row r="25" spans="2:18" ht="13.5" customHeight="1" x14ac:dyDescent="0.25">
      <c r="B25" s="221"/>
      <c r="C25" s="221"/>
      <c r="D25" s="221"/>
      <c r="E25" s="221"/>
      <c r="F25" s="221"/>
      <c r="G25" s="167"/>
      <c r="H25" s="230" t="s">
        <v>63</v>
      </c>
      <c r="I25" s="221"/>
      <c r="J25" s="221"/>
      <c r="K25" s="221"/>
      <c r="L25" s="167"/>
      <c r="M25" s="167"/>
      <c r="N25" s="494"/>
      <c r="O25" s="494"/>
      <c r="P25" s="494"/>
    </row>
    <row r="26" spans="2:18" ht="12.75" customHeight="1" thickBot="1" x14ac:dyDescent="0.3">
      <c r="B26" s="221"/>
      <c r="C26" s="221"/>
      <c r="D26" s="221"/>
      <c r="E26" s="221"/>
      <c r="F26" s="221"/>
      <c r="G26" s="167"/>
      <c r="H26" s="231" t="s">
        <v>94</v>
      </c>
      <c r="I26" s="231"/>
      <c r="J26" s="231"/>
      <c r="K26" s="231"/>
      <c r="L26" s="167"/>
      <c r="M26" s="167"/>
      <c r="N26" s="494"/>
      <c r="O26" s="494"/>
      <c r="P26" s="494"/>
      <c r="Q26" s="353"/>
    </row>
    <row r="27" spans="2:18" ht="12.75" customHeight="1" x14ac:dyDescent="0.25">
      <c r="B27" s="105"/>
      <c r="C27" s="105"/>
      <c r="D27" s="105"/>
      <c r="E27" s="105"/>
      <c r="F27" s="105"/>
      <c r="G27" s="167"/>
      <c r="H27" s="6" t="s">
        <v>64</v>
      </c>
      <c r="I27" s="232"/>
      <c r="J27" s="232"/>
      <c r="K27" s="233"/>
      <c r="L27" s="170"/>
      <c r="M27" s="170"/>
      <c r="N27" s="494"/>
      <c r="O27" s="494"/>
      <c r="P27" s="494"/>
    </row>
    <row r="28" spans="2:18" ht="12.75" x14ac:dyDescent="0.2">
      <c r="B28" s="105"/>
      <c r="C28" s="105"/>
      <c r="D28" s="105"/>
      <c r="E28" s="105"/>
      <c r="F28" s="105"/>
      <c r="G28" s="167"/>
      <c r="H28" s="7" t="s">
        <v>243</v>
      </c>
      <c r="I28" s="498" t="s">
        <v>66</v>
      </c>
      <c r="J28" s="499"/>
      <c r="K28" s="8">
        <v>1506</v>
      </c>
      <c r="L28" s="116"/>
      <c r="M28" s="116"/>
      <c r="N28" s="170"/>
    </row>
    <row r="29" spans="2:18" x14ac:dyDescent="0.25">
      <c r="B29" s="209" t="s">
        <v>67</v>
      </c>
      <c r="C29" s="209" t="s">
        <v>68</v>
      </c>
      <c r="D29" s="209" t="s">
        <v>69</v>
      </c>
      <c r="E29" s="209" t="s">
        <v>70</v>
      </c>
      <c r="F29" s="105"/>
      <c r="G29" s="167"/>
      <c r="H29" s="500" t="s">
        <v>71</v>
      </c>
      <c r="I29" s="501"/>
      <c r="J29" s="234"/>
      <c r="K29" s="4">
        <f>L22</f>
        <v>74.855314252233882</v>
      </c>
      <c r="L29" s="155"/>
      <c r="M29" s="155"/>
      <c r="N29" s="116"/>
    </row>
    <row r="30" spans="2:18" x14ac:dyDescent="0.25">
      <c r="B30" s="210" t="s">
        <v>72</v>
      </c>
      <c r="C30" s="211" t="s">
        <v>73</v>
      </c>
      <c r="D30" s="212" t="s">
        <v>74</v>
      </c>
      <c r="E30" s="213">
        <v>0</v>
      </c>
      <c r="F30" s="105"/>
      <c r="G30" s="170"/>
      <c r="H30" s="235" t="s">
        <v>130</v>
      </c>
      <c r="I30" s="236"/>
      <c r="J30" s="236"/>
      <c r="K30" s="237">
        <f>K29*1.5</f>
        <v>112.28297137835082</v>
      </c>
      <c r="L30" s="238"/>
      <c r="M30" s="238"/>
      <c r="N30" s="171"/>
    </row>
    <row r="31" spans="2:18" ht="13.95" thickBot="1" x14ac:dyDescent="0.3">
      <c r="B31" s="212"/>
      <c r="C31" s="211" t="s">
        <v>75</v>
      </c>
      <c r="D31" s="212" t="s">
        <v>76</v>
      </c>
      <c r="E31" s="213">
        <v>0</v>
      </c>
      <c r="F31" s="105"/>
      <c r="G31" s="116"/>
      <c r="H31" s="239" t="s">
        <v>77</v>
      </c>
      <c r="I31" s="240"/>
      <c r="J31" s="240"/>
      <c r="K31" s="241">
        <f>K30/5</f>
        <v>22.456594275670163</v>
      </c>
      <c r="L31" s="242"/>
    </row>
    <row r="32" spans="2:18" ht="13.95" thickBot="1" x14ac:dyDescent="0.3">
      <c r="B32" s="212"/>
      <c r="C32" s="211" t="s">
        <v>78</v>
      </c>
      <c r="D32" s="212" t="s">
        <v>79</v>
      </c>
      <c r="E32" s="213">
        <v>0</v>
      </c>
      <c r="F32" s="105"/>
      <c r="G32" s="171"/>
      <c r="H32" s="243" t="s">
        <v>80</v>
      </c>
      <c r="I32" s="244"/>
      <c r="J32" s="244"/>
      <c r="K32" s="245">
        <f>K31*0.25</f>
        <v>5.6141485689175408</v>
      </c>
    </row>
    <row r="33" spans="2:14" ht="13.95" thickBot="1" x14ac:dyDescent="0.3">
      <c r="B33" s="212"/>
      <c r="C33" s="211" t="s">
        <v>65</v>
      </c>
      <c r="D33" s="212" t="s">
        <v>81</v>
      </c>
      <c r="E33" s="214">
        <v>13.80723506161608</v>
      </c>
      <c r="F33" s="105"/>
      <c r="G33" s="116"/>
      <c r="H33" s="248" t="s">
        <v>82</v>
      </c>
      <c r="I33" s="249"/>
      <c r="J33" s="249"/>
      <c r="K33" s="245">
        <f>K32*3</f>
        <v>16.842445706752621</v>
      </c>
      <c r="M33" s="250"/>
      <c r="N33" s="149"/>
    </row>
    <row r="34" spans="2:14" x14ac:dyDescent="0.25">
      <c r="G34" s="221"/>
      <c r="H34" s="171"/>
      <c r="I34" s="171"/>
      <c r="J34" s="171"/>
      <c r="K34" s="171"/>
      <c r="L34" s="171"/>
      <c r="M34" s="118"/>
      <c r="N34" s="215"/>
    </row>
    <row r="35" spans="2:14" ht="12.75" x14ac:dyDescent="0.2">
      <c r="G35" s="107"/>
      <c r="H35" s="216"/>
      <c r="I35" s="216"/>
      <c r="J35" s="216"/>
      <c r="K35" s="216"/>
      <c r="L35" s="216"/>
      <c r="M35" s="216"/>
      <c r="N35" s="118"/>
    </row>
    <row r="36" spans="2:14" ht="12.75" x14ac:dyDescent="0.2">
      <c r="G36" s="215"/>
      <c r="H36" s="91"/>
      <c r="I36" s="155"/>
      <c r="J36" s="246"/>
      <c r="K36" s="247"/>
      <c r="L36" s="218"/>
      <c r="M36" s="218"/>
      <c r="N36" s="216"/>
    </row>
    <row r="37" spans="2:14" ht="12.75" x14ac:dyDescent="0.2">
      <c r="G37" s="118"/>
      <c r="H37" s="91"/>
      <c r="I37" s="155"/>
      <c r="J37" s="246"/>
      <c r="K37" s="247"/>
      <c r="L37" s="218"/>
      <c r="M37" s="218"/>
      <c r="N37" s="218"/>
    </row>
    <row r="38" spans="2:14" ht="12.75" x14ac:dyDescent="0.2">
      <c r="G38" s="216"/>
      <c r="H38" s="218"/>
      <c r="I38" s="218"/>
      <c r="J38" s="218"/>
      <c r="K38" s="218"/>
      <c r="L38" s="218"/>
      <c r="M38" s="218"/>
      <c r="N38" s="218"/>
    </row>
    <row r="40" spans="2:14" ht="12.75" x14ac:dyDescent="0.2">
      <c r="M40" s="254"/>
    </row>
    <row r="41" spans="2:14" ht="12.75" x14ac:dyDescent="0.2">
      <c r="H41" s="254"/>
      <c r="I41" s="254"/>
      <c r="J41" s="254"/>
      <c r="K41" s="254"/>
      <c r="L41" s="254"/>
    </row>
  </sheetData>
  <mergeCells count="5">
    <mergeCell ref="B3:F3"/>
    <mergeCell ref="H2:L2"/>
    <mergeCell ref="I28:J28"/>
    <mergeCell ref="H29:I29"/>
    <mergeCell ref="N20:P27"/>
  </mergeCells>
  <pageMargins left="0.2" right="0.2" top="0.25" bottom="0.25" header="0.3" footer="0.25"/>
  <pageSetup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>
      <selection activeCell="F24" sqref="F24"/>
    </sheetView>
  </sheetViews>
  <sheetFormatPr defaultColWidth="9.109375" defaultRowHeight="13.2" x14ac:dyDescent="0.25"/>
  <cols>
    <col min="1" max="1" width="9.109375" style="82"/>
    <col min="2" max="2" width="41.6640625" style="82" customWidth="1"/>
    <col min="3" max="3" width="6" style="82" customWidth="1"/>
    <col min="4" max="5" width="13.5546875" style="82" customWidth="1"/>
    <col min="6" max="6" width="16.5546875" style="82" customWidth="1"/>
    <col min="7" max="16384" width="9.109375" style="82"/>
  </cols>
  <sheetData>
    <row r="1" spans="1:10" ht="13.5" thickBot="1" x14ac:dyDescent="0.25"/>
    <row r="2" spans="1:10" ht="13.5" thickBot="1" x14ac:dyDescent="0.25">
      <c r="A2" s="105"/>
      <c r="B2" s="495" t="s">
        <v>95</v>
      </c>
      <c r="C2" s="496"/>
      <c r="D2" s="496"/>
      <c r="E2" s="496"/>
      <c r="F2" s="497"/>
      <c r="G2" s="106"/>
    </row>
    <row r="3" spans="1:10" ht="13.5" thickBot="1" x14ac:dyDescent="0.25">
      <c r="A3" s="105"/>
      <c r="B3" s="364" t="s">
        <v>96</v>
      </c>
      <c r="C3" s="359"/>
      <c r="D3" s="359"/>
      <c r="E3" s="359"/>
      <c r="F3" s="360"/>
      <c r="G3" s="107"/>
    </row>
    <row r="4" spans="1:10" ht="12.75" x14ac:dyDescent="0.2">
      <c r="A4" s="105"/>
      <c r="B4" s="361"/>
      <c r="C4" s="108"/>
      <c r="D4" s="109" t="s">
        <v>51</v>
      </c>
      <c r="E4" s="105"/>
      <c r="F4" s="110">
        <v>1394</v>
      </c>
    </row>
    <row r="5" spans="1:10" ht="14.25" customHeight="1" x14ac:dyDescent="0.2">
      <c r="A5" s="105"/>
      <c r="B5" s="112"/>
      <c r="C5" s="113"/>
      <c r="D5" s="114" t="s">
        <v>33</v>
      </c>
      <c r="E5" s="114" t="s">
        <v>34</v>
      </c>
      <c r="F5" s="115" t="s">
        <v>35</v>
      </c>
    </row>
    <row r="6" spans="1:10" ht="12.75" x14ac:dyDescent="0.2">
      <c r="A6" s="105"/>
      <c r="B6" s="117" t="str">
        <f>'Master Lookup'!B13</f>
        <v>Program Management</v>
      </c>
      <c r="C6" s="118"/>
      <c r="D6" s="119">
        <f>'Master Lookup'!C13</f>
        <v>65000</v>
      </c>
      <c r="E6" s="120">
        <v>0.05</v>
      </c>
      <c r="F6" s="121">
        <f>D6*E6</f>
        <v>3250</v>
      </c>
    </row>
    <row r="7" spans="1:10" ht="12.75" x14ac:dyDescent="0.2">
      <c r="A7" s="105"/>
      <c r="B7" s="117" t="str">
        <f>'Master Lookup'!B18</f>
        <v>Clinician (MA Level)</v>
      </c>
      <c r="C7" s="118"/>
      <c r="D7" s="123">
        <f>'Master Lookup'!C18</f>
        <v>60000</v>
      </c>
      <c r="E7" s="124">
        <v>0.05</v>
      </c>
      <c r="F7" s="121">
        <f t="shared" ref="F7:F9" si="0">D7*E7</f>
        <v>3000</v>
      </c>
    </row>
    <row r="8" spans="1:10" ht="15" x14ac:dyDescent="0.25">
      <c r="A8" s="105"/>
      <c r="B8" s="117" t="str">
        <f>'Master Lookup'!B20</f>
        <v>Direct Care (MA Level)</v>
      </c>
      <c r="C8" s="118"/>
      <c r="D8" s="123">
        <f>'Master Lookup'!C20</f>
        <v>52433.29</v>
      </c>
      <c r="E8" s="125">
        <v>1</v>
      </c>
      <c r="F8" s="121">
        <f t="shared" si="0"/>
        <v>52433.29</v>
      </c>
      <c r="J8" s="259"/>
    </row>
    <row r="9" spans="1:10" ht="15" x14ac:dyDescent="0.25">
      <c r="A9" s="105"/>
      <c r="B9" s="126" t="str">
        <f>'Master Lookup'!B22</f>
        <v>Support Staffing</v>
      </c>
      <c r="C9" s="118"/>
      <c r="D9" s="123">
        <f>'Master Lookup'!C22</f>
        <v>31200</v>
      </c>
      <c r="E9" s="120">
        <v>0.3</v>
      </c>
      <c r="F9" s="121">
        <f t="shared" si="0"/>
        <v>9360</v>
      </c>
      <c r="J9" s="259"/>
    </row>
    <row r="10" spans="1:10" ht="15" x14ac:dyDescent="0.25">
      <c r="A10" s="105"/>
      <c r="B10" s="127" t="s">
        <v>36</v>
      </c>
      <c r="C10" s="128"/>
      <c r="D10" s="128"/>
      <c r="E10" s="129">
        <f>SUM(E6:E9)</f>
        <v>1.4000000000000001</v>
      </c>
      <c r="F10" s="130">
        <f>SUM(F6:F9)</f>
        <v>68043.290000000008</v>
      </c>
      <c r="J10" s="259"/>
    </row>
    <row r="11" spans="1:10" ht="15" x14ac:dyDescent="0.25">
      <c r="A11" s="105"/>
      <c r="B11" s="131"/>
      <c r="C11" s="118"/>
      <c r="D11" s="118"/>
      <c r="E11" s="118"/>
      <c r="F11" s="132"/>
      <c r="J11" s="259"/>
    </row>
    <row r="12" spans="1:10" ht="12.75" x14ac:dyDescent="0.2">
      <c r="A12" s="105"/>
      <c r="B12" s="133" t="s">
        <v>37</v>
      </c>
      <c r="C12" s="118"/>
      <c r="D12" s="118"/>
      <c r="E12" s="109" t="s">
        <v>38</v>
      </c>
      <c r="F12" s="132"/>
    </row>
    <row r="13" spans="1:10" ht="12.75" x14ac:dyDescent="0.2">
      <c r="A13" s="105"/>
      <c r="B13" s="131" t="s">
        <v>14</v>
      </c>
      <c r="C13" s="118"/>
      <c r="D13" s="134">
        <f>'Master Lookup'!C29</f>
        <v>0.20200000000000001</v>
      </c>
      <c r="E13" s="118"/>
      <c r="F13" s="121">
        <f>F10*D13</f>
        <v>13744.744580000002</v>
      </c>
    </row>
    <row r="14" spans="1:10" ht="12.75" x14ac:dyDescent="0.2">
      <c r="A14" s="105"/>
      <c r="B14" s="127" t="s">
        <v>39</v>
      </c>
      <c r="C14" s="128"/>
      <c r="D14" s="128"/>
      <c r="E14" s="135"/>
      <c r="F14" s="130">
        <f>F13+F10</f>
        <v>81788.034580000007</v>
      </c>
    </row>
    <row r="15" spans="1:10" ht="12.75" x14ac:dyDescent="0.2">
      <c r="A15" s="105"/>
      <c r="B15" s="131"/>
      <c r="C15" s="118"/>
      <c r="D15" s="118" t="s">
        <v>40</v>
      </c>
      <c r="E15" s="118"/>
      <c r="F15" s="132"/>
    </row>
    <row r="16" spans="1:10" ht="12.75" x14ac:dyDescent="0.2">
      <c r="A16" s="105"/>
      <c r="B16" s="131" t="s">
        <v>15</v>
      </c>
      <c r="C16" s="118"/>
      <c r="D16" s="136">
        <f>'Master Lookup'!C25</f>
        <v>6809</v>
      </c>
      <c r="E16" s="137"/>
      <c r="F16" s="138">
        <f>D16*E10</f>
        <v>9532.6</v>
      </c>
      <c r="G16" s="149"/>
    </row>
    <row r="17" spans="1:7" ht="13.5" thickBot="1" x14ac:dyDescent="0.25">
      <c r="A17" s="105"/>
      <c r="B17" s="139" t="s">
        <v>16</v>
      </c>
      <c r="C17" s="140"/>
      <c r="D17" s="141">
        <f>'Master Lookup'!C26</f>
        <v>1219</v>
      </c>
      <c r="E17" s="142"/>
      <c r="F17" s="143">
        <f>D17*E10</f>
        <v>1706.6000000000001</v>
      </c>
      <c r="G17" s="171"/>
    </row>
    <row r="18" spans="1:7" ht="13.5" thickTop="1" x14ac:dyDescent="0.2">
      <c r="A18" s="105"/>
      <c r="B18" s="112" t="s">
        <v>41</v>
      </c>
      <c r="C18" s="113"/>
      <c r="D18" s="113"/>
      <c r="E18" s="113"/>
      <c r="F18" s="144">
        <f>F14+F16+F17</f>
        <v>93027.234580000018</v>
      </c>
      <c r="G18" s="116"/>
    </row>
    <row r="19" spans="1:7" ht="13.5" thickBot="1" x14ac:dyDescent="0.25">
      <c r="A19" s="105"/>
      <c r="B19" s="139" t="s">
        <v>42</v>
      </c>
      <c r="C19" s="145"/>
      <c r="D19" s="146">
        <f>'Master Lookup'!C30</f>
        <v>0.1258</v>
      </c>
      <c r="E19" s="140"/>
      <c r="F19" s="147">
        <f>F18*D19</f>
        <v>11702.826110164002</v>
      </c>
      <c r="G19" s="116"/>
    </row>
    <row r="20" spans="1:7" ht="13.5" thickTop="1" x14ac:dyDescent="0.2">
      <c r="A20" s="105"/>
      <c r="B20" s="112" t="s">
        <v>43</v>
      </c>
      <c r="C20" s="148"/>
      <c r="D20" s="148"/>
      <c r="E20" s="148"/>
      <c r="F20" s="144">
        <f>F18+F19</f>
        <v>104730.06069016401</v>
      </c>
      <c r="G20" s="149"/>
    </row>
    <row r="21" spans="1:7" ht="12.75" x14ac:dyDescent="0.2">
      <c r="A21" s="105"/>
      <c r="B21" s="150" t="s">
        <v>44</v>
      </c>
      <c r="C21" s="151"/>
      <c r="D21" s="152"/>
      <c r="E21" s="153"/>
      <c r="F21" s="154">
        <f>F20/((E8)*F4)</f>
        <v>75.129168357363</v>
      </c>
      <c r="G21" s="207"/>
    </row>
    <row r="22" spans="1:7" ht="12.75" x14ac:dyDescent="0.2">
      <c r="A22" s="105"/>
      <c r="B22" s="150" t="s">
        <v>56</v>
      </c>
      <c r="C22" s="151"/>
      <c r="D22" s="413">
        <f>'Master Lookup'!C33</f>
        <v>2.5600000000000001E-2</v>
      </c>
      <c r="E22" s="153"/>
      <c r="F22" s="154">
        <f>F21*(D22+1)</f>
        <v>77.052475067311491</v>
      </c>
      <c r="G22" s="116"/>
    </row>
    <row r="23" spans="1:7" ht="13.95" thickBot="1" x14ac:dyDescent="0.3">
      <c r="A23" s="105"/>
      <c r="B23" s="159" t="s">
        <v>97</v>
      </c>
      <c r="C23" s="160"/>
      <c r="D23" s="160"/>
      <c r="E23" s="161"/>
      <c r="F23" s="426">
        <f>(F22/2)-0.01</f>
        <v>38.516237533655747</v>
      </c>
      <c r="G23" s="167"/>
    </row>
    <row r="24" spans="1:7" ht="12.75" x14ac:dyDescent="0.2">
      <c r="A24" s="105"/>
      <c r="B24" s="105"/>
      <c r="C24" s="105"/>
      <c r="D24" s="164"/>
      <c r="E24" s="91"/>
      <c r="F24" s="92"/>
      <c r="G24" s="167"/>
    </row>
    <row r="25" spans="1:7" ht="12.75" x14ac:dyDescent="0.2">
      <c r="A25" s="105"/>
      <c r="B25" s="106"/>
      <c r="C25" s="106"/>
      <c r="D25" s="106"/>
      <c r="E25" s="93"/>
      <c r="F25" s="94"/>
      <c r="G25" s="167"/>
    </row>
    <row r="26" spans="1:7" x14ac:dyDescent="0.25">
      <c r="A26" s="105"/>
      <c r="B26" s="105"/>
      <c r="C26" s="168"/>
      <c r="D26" s="169"/>
      <c r="G26" s="208"/>
    </row>
    <row r="27" spans="1:7" x14ac:dyDescent="0.25">
      <c r="A27" s="105"/>
      <c r="B27" s="106"/>
      <c r="C27" s="106"/>
      <c r="D27" s="106"/>
      <c r="E27" s="106"/>
      <c r="F27" s="106"/>
      <c r="G27" s="167"/>
    </row>
    <row r="28" spans="1:7" x14ac:dyDescent="0.25">
      <c r="A28" s="105"/>
      <c r="B28" s="106"/>
      <c r="C28" s="106"/>
      <c r="D28" s="106"/>
      <c r="E28" s="106"/>
      <c r="F28" s="106"/>
      <c r="G28" s="111"/>
    </row>
    <row r="29" spans="1:7" x14ac:dyDescent="0.25">
      <c r="A29" s="105"/>
      <c r="B29" s="105"/>
      <c r="C29" s="105"/>
      <c r="D29" s="105"/>
      <c r="E29" s="105"/>
      <c r="F29" s="105"/>
      <c r="G29" s="116"/>
    </row>
    <row r="30" spans="1:7" x14ac:dyDescent="0.25">
      <c r="A30" s="105"/>
      <c r="B30" s="105"/>
      <c r="C30" s="105"/>
      <c r="D30" s="105"/>
      <c r="E30" s="105"/>
      <c r="F30" s="105"/>
      <c r="G30" s="107"/>
    </row>
    <row r="31" spans="1:7" x14ac:dyDescent="0.25">
      <c r="A31" s="105"/>
      <c r="B31" s="105"/>
      <c r="C31" s="105"/>
      <c r="D31" s="105"/>
      <c r="E31" s="105"/>
      <c r="F31" s="105"/>
      <c r="G31" s="149"/>
    </row>
    <row r="32" spans="1:7" x14ac:dyDescent="0.25">
      <c r="A32" s="105"/>
      <c r="B32" s="105"/>
      <c r="C32" s="105"/>
      <c r="D32" s="105"/>
      <c r="E32" s="105"/>
      <c r="F32" s="105"/>
      <c r="G32" s="149"/>
    </row>
    <row r="33" spans="1:7" x14ac:dyDescent="0.25">
      <c r="A33" s="105"/>
      <c r="B33" s="105"/>
      <c r="C33" s="105"/>
      <c r="D33" s="105"/>
      <c r="E33" s="105"/>
      <c r="F33" s="105"/>
      <c r="G33" s="149"/>
    </row>
    <row r="34" spans="1:7" x14ac:dyDescent="0.25">
      <c r="A34" s="95"/>
      <c r="B34" s="105"/>
      <c r="C34" s="105"/>
      <c r="D34" s="105"/>
      <c r="E34" s="105"/>
      <c r="F34" s="105"/>
      <c r="G34" s="149"/>
    </row>
    <row r="35" spans="1:7" ht="12.75" x14ac:dyDescent="0.2">
      <c r="A35" s="95"/>
      <c r="B35" s="105"/>
      <c r="C35" s="105"/>
      <c r="D35" s="105"/>
      <c r="E35" s="105"/>
      <c r="F35" s="105"/>
      <c r="G35" s="106"/>
    </row>
    <row r="36" spans="1:7" ht="12.75" x14ac:dyDescent="0.2">
      <c r="A36" s="95"/>
      <c r="B36" s="105"/>
      <c r="C36" s="105"/>
      <c r="D36" s="105"/>
      <c r="E36" s="105"/>
      <c r="F36" s="105"/>
      <c r="G36" s="106"/>
    </row>
    <row r="37" spans="1:7" ht="12.75" x14ac:dyDescent="0.2">
      <c r="A37" s="95"/>
      <c r="B37" s="105"/>
      <c r="C37" s="105"/>
      <c r="D37" s="105"/>
      <c r="E37" s="105"/>
      <c r="F37" s="105"/>
      <c r="G37" s="149"/>
    </row>
    <row r="38" spans="1:7" ht="12.75" x14ac:dyDescent="0.2">
      <c r="A38" s="95"/>
      <c r="B38" s="106"/>
      <c r="C38" s="106"/>
      <c r="D38" s="106"/>
      <c r="E38" s="106"/>
      <c r="F38" s="106"/>
      <c r="G38" s="149"/>
    </row>
    <row r="39" spans="1:7" ht="12.75" x14ac:dyDescent="0.2">
      <c r="A39" s="95"/>
      <c r="B39" s="9"/>
      <c r="C39" s="173"/>
      <c r="D39" s="173"/>
      <c r="E39" s="174"/>
      <c r="F39" s="9"/>
      <c r="G39" s="149"/>
    </row>
    <row r="40" spans="1:7" ht="12.75" x14ac:dyDescent="0.2">
      <c r="A40" s="105"/>
      <c r="B40" s="9"/>
      <c r="C40" s="173"/>
      <c r="D40" s="173"/>
      <c r="E40" s="174"/>
      <c r="F40" s="175"/>
      <c r="G40" s="175"/>
    </row>
    <row r="41" spans="1:7" ht="12.75" x14ac:dyDescent="0.2">
      <c r="A41" s="105"/>
      <c r="B41" s="9"/>
      <c r="C41" s="173"/>
      <c r="D41" s="173"/>
      <c r="E41" s="174"/>
      <c r="F41" s="175"/>
      <c r="G41" s="175"/>
    </row>
    <row r="42" spans="1:7" x14ac:dyDescent="0.25">
      <c r="A42" s="105"/>
      <c r="B42" s="9"/>
      <c r="C42" s="173"/>
      <c r="D42" s="173"/>
      <c r="E42" s="174"/>
      <c r="F42" s="175"/>
      <c r="G42" s="175"/>
    </row>
    <row r="43" spans="1:7" x14ac:dyDescent="0.25">
      <c r="A43" s="105"/>
      <c r="B43" s="9"/>
      <c r="C43" s="173"/>
      <c r="D43" s="173"/>
      <c r="E43" s="174"/>
      <c r="F43" s="175"/>
      <c r="G43" s="175"/>
    </row>
    <row r="44" spans="1:7" x14ac:dyDescent="0.25">
      <c r="A44" s="105"/>
      <c r="B44" s="175"/>
      <c r="C44" s="175"/>
      <c r="D44" s="175"/>
      <c r="E44" s="175"/>
      <c r="F44" s="175"/>
      <c r="G44" s="175"/>
    </row>
    <row r="45" spans="1:7" x14ac:dyDescent="0.25">
      <c r="A45" s="105"/>
      <c r="B45" s="175"/>
      <c r="C45" s="175"/>
      <c r="D45" s="175"/>
      <c r="E45" s="175"/>
      <c r="F45" s="175"/>
      <c r="G45" s="175"/>
    </row>
  </sheetData>
  <mergeCells count="1">
    <mergeCell ref="B2:F2"/>
  </mergeCells>
  <pageMargins left="0.7" right="0.7" top="0.75" bottom="0.75" header="0.3" footer="0.3"/>
  <pageSetup scale="91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workbookViewId="0">
      <selection activeCell="H36" sqref="H36"/>
    </sheetView>
  </sheetViews>
  <sheetFormatPr defaultColWidth="9.109375" defaultRowHeight="13.2" x14ac:dyDescent="0.25"/>
  <cols>
    <col min="1" max="1" width="9.109375" style="82"/>
    <col min="2" max="2" width="34" style="82" customWidth="1"/>
    <col min="3" max="3" width="9.109375" style="82"/>
    <col min="4" max="6" width="16.44140625" style="82" customWidth="1"/>
    <col min="7" max="16384" width="9.109375" style="82"/>
  </cols>
  <sheetData>
    <row r="1" spans="1:8" ht="13.5" thickBot="1" x14ac:dyDescent="0.25">
      <c r="A1" s="105"/>
      <c r="B1" s="106"/>
      <c r="C1" s="106"/>
      <c r="D1" s="106"/>
      <c r="E1" s="106"/>
      <c r="F1" s="106"/>
      <c r="G1" s="106"/>
      <c r="H1" s="106"/>
    </row>
    <row r="2" spans="1:8" ht="13.5" thickBot="1" x14ac:dyDescent="0.25">
      <c r="A2" s="105"/>
      <c r="B2" s="485" t="s">
        <v>98</v>
      </c>
      <c r="C2" s="486"/>
      <c r="D2" s="486"/>
      <c r="E2" s="486"/>
      <c r="F2" s="487"/>
      <c r="G2" s="107"/>
      <c r="H2" s="107"/>
    </row>
    <row r="3" spans="1:8" ht="12.75" x14ac:dyDescent="0.2">
      <c r="A3" s="105"/>
      <c r="B3" s="365" t="s">
        <v>99</v>
      </c>
      <c r="C3" s="108"/>
      <c r="D3" s="109" t="s">
        <v>51</v>
      </c>
      <c r="E3" s="105"/>
      <c r="F3" s="110">
        <v>1416</v>
      </c>
      <c r="G3" s="111"/>
      <c r="H3" s="111"/>
    </row>
    <row r="4" spans="1:8" ht="15.75" customHeight="1" x14ac:dyDescent="0.2">
      <c r="A4" s="105"/>
      <c r="B4" s="112"/>
      <c r="C4" s="113"/>
      <c r="D4" s="114" t="s">
        <v>33</v>
      </c>
      <c r="E4" s="114" t="s">
        <v>34</v>
      </c>
      <c r="F4" s="115" t="s">
        <v>35</v>
      </c>
      <c r="G4" s="116"/>
      <c r="H4" s="116"/>
    </row>
    <row r="5" spans="1:8" ht="12.75" x14ac:dyDescent="0.2">
      <c r="A5" s="105"/>
      <c r="B5" s="117" t="str">
        <f>'Master Lookup'!B13</f>
        <v>Program Management</v>
      </c>
      <c r="C5" s="118"/>
      <c r="D5" s="119">
        <f>'Master Lookup'!C13</f>
        <v>65000</v>
      </c>
      <c r="E5" s="120">
        <v>0.05</v>
      </c>
      <c r="F5" s="121">
        <f>D5*E5</f>
        <v>3250</v>
      </c>
      <c r="G5" s="195"/>
      <c r="H5" s="195"/>
    </row>
    <row r="6" spans="1:8" ht="12.75" x14ac:dyDescent="0.2">
      <c r="A6" s="105"/>
      <c r="B6" s="117" t="str">
        <f>'Master Lookup'!B18</f>
        <v>Clinician (MA Level)</v>
      </c>
      <c r="C6" s="118"/>
      <c r="D6" s="123">
        <f>'Master Lookup'!C18</f>
        <v>60000</v>
      </c>
      <c r="E6" s="124">
        <v>0.05</v>
      </c>
      <c r="F6" s="121">
        <f t="shared" ref="F6:F8" si="0">D6*E6</f>
        <v>3000</v>
      </c>
      <c r="G6" s="195"/>
      <c r="H6" s="195"/>
    </row>
    <row r="7" spans="1:8" ht="12.75" x14ac:dyDescent="0.2">
      <c r="A7" s="105"/>
      <c r="B7" s="117" t="str">
        <f>'Master Lookup'!B21</f>
        <v>Direct Care (Non Masters)</v>
      </c>
      <c r="C7" s="118"/>
      <c r="D7" s="123">
        <f>'Master Lookup'!C21</f>
        <v>38608</v>
      </c>
      <c r="E7" s="125">
        <v>1</v>
      </c>
      <c r="F7" s="121">
        <f t="shared" si="0"/>
        <v>38608</v>
      </c>
      <c r="G7" s="195"/>
      <c r="H7" s="195"/>
    </row>
    <row r="8" spans="1:8" ht="12.75" x14ac:dyDescent="0.2">
      <c r="A8" s="105"/>
      <c r="B8" s="126" t="str">
        <f>'Master Lookup'!B22</f>
        <v>Support Staffing</v>
      </c>
      <c r="C8" s="118"/>
      <c r="D8" s="123">
        <f>'Master Lookup'!C22</f>
        <v>31200</v>
      </c>
      <c r="E8" s="120">
        <v>0.3</v>
      </c>
      <c r="F8" s="121">
        <f t="shared" si="0"/>
        <v>9360</v>
      </c>
      <c r="G8" s="195"/>
      <c r="H8" s="195"/>
    </row>
    <row r="9" spans="1:8" ht="12.75" x14ac:dyDescent="0.2">
      <c r="A9" s="105"/>
      <c r="B9" s="127" t="s">
        <v>36</v>
      </c>
      <c r="C9" s="128"/>
      <c r="D9" s="128"/>
      <c r="E9" s="129">
        <f>SUM(E5:E8)</f>
        <v>1.4000000000000001</v>
      </c>
      <c r="F9" s="130">
        <f>SUM(F5:F8)</f>
        <v>54218</v>
      </c>
      <c r="G9" s="195"/>
      <c r="H9" s="195"/>
    </row>
    <row r="10" spans="1:8" ht="12.75" x14ac:dyDescent="0.2">
      <c r="A10" s="105"/>
      <c r="B10" s="131"/>
      <c r="C10" s="118"/>
      <c r="D10" s="118"/>
      <c r="E10" s="118"/>
      <c r="F10" s="132"/>
      <c r="G10" s="195"/>
      <c r="H10" s="195"/>
    </row>
    <row r="11" spans="1:8" ht="12.75" x14ac:dyDescent="0.2">
      <c r="A11" s="105"/>
      <c r="B11" s="133" t="s">
        <v>37</v>
      </c>
      <c r="C11" s="118"/>
      <c r="D11" s="118"/>
      <c r="E11" s="109" t="s">
        <v>38</v>
      </c>
      <c r="F11" s="132"/>
      <c r="G11" s="195"/>
      <c r="H11" s="195"/>
    </row>
    <row r="12" spans="1:8" ht="12.75" x14ac:dyDescent="0.2">
      <c r="A12" s="105"/>
      <c r="B12" s="131" t="s">
        <v>14</v>
      </c>
      <c r="C12" s="118"/>
      <c r="D12" s="134">
        <f>'Master Lookup'!C29</f>
        <v>0.20200000000000001</v>
      </c>
      <c r="E12" s="118"/>
      <c r="F12" s="121">
        <f>F9*D12</f>
        <v>10952.036</v>
      </c>
      <c r="G12" s="195"/>
      <c r="H12" s="195"/>
    </row>
    <row r="13" spans="1:8" ht="12.75" x14ac:dyDescent="0.2">
      <c r="A13" s="105"/>
      <c r="B13" s="127" t="s">
        <v>39</v>
      </c>
      <c r="C13" s="128"/>
      <c r="D13" s="128"/>
      <c r="E13" s="135"/>
      <c r="F13" s="130">
        <f>F12+F9</f>
        <v>65170.036</v>
      </c>
      <c r="G13" s="195"/>
      <c r="H13" s="195"/>
    </row>
    <row r="14" spans="1:8" ht="12.75" x14ac:dyDescent="0.2">
      <c r="A14" s="105"/>
      <c r="B14" s="131"/>
      <c r="C14" s="118"/>
      <c r="D14" s="118" t="s">
        <v>40</v>
      </c>
      <c r="E14" s="118"/>
      <c r="F14" s="132"/>
      <c r="G14" s="195"/>
      <c r="H14" s="195"/>
    </row>
    <row r="15" spans="1:8" ht="12.75" x14ac:dyDescent="0.2">
      <c r="A15" s="105"/>
      <c r="B15" s="131" t="s">
        <v>15</v>
      </c>
      <c r="C15" s="118"/>
      <c r="D15" s="136">
        <f>'Master Lookup'!C25</f>
        <v>6809</v>
      </c>
      <c r="E15" s="137"/>
      <c r="F15" s="138">
        <f>D15*E9</f>
        <v>9532.6</v>
      </c>
      <c r="G15" s="195"/>
      <c r="H15" s="195"/>
    </row>
    <row r="16" spans="1:8" ht="13.5" thickBot="1" x14ac:dyDescent="0.25">
      <c r="A16" s="105"/>
      <c r="B16" s="139" t="s">
        <v>16</v>
      </c>
      <c r="C16" s="140"/>
      <c r="D16" s="141">
        <f>'Master Lookup'!C26</f>
        <v>1219</v>
      </c>
      <c r="E16" s="142"/>
      <c r="F16" s="143">
        <f>D16*E9</f>
        <v>1706.6000000000001</v>
      </c>
      <c r="G16" s="195"/>
      <c r="H16" s="195"/>
    </row>
    <row r="17" spans="1:8" ht="13.5" thickTop="1" x14ac:dyDescent="0.2">
      <c r="A17" s="105"/>
      <c r="B17" s="112" t="s">
        <v>41</v>
      </c>
      <c r="C17" s="113"/>
      <c r="D17" s="113"/>
      <c r="E17" s="113"/>
      <c r="F17" s="144">
        <f>F13+F15+F16</f>
        <v>76409.236000000004</v>
      </c>
      <c r="G17" s="116"/>
      <c r="H17" s="116"/>
    </row>
    <row r="18" spans="1:8" ht="13.5" thickBot="1" x14ac:dyDescent="0.25">
      <c r="A18" s="105"/>
      <c r="B18" s="139" t="s">
        <v>42</v>
      </c>
      <c r="C18" s="145"/>
      <c r="D18" s="146">
        <f>'Master Lookup'!C30</f>
        <v>0.1258</v>
      </c>
      <c r="E18" s="140"/>
      <c r="F18" s="147">
        <f>F17*D18</f>
        <v>9612.2818888000002</v>
      </c>
      <c r="G18" s="116"/>
      <c r="H18" s="116"/>
    </row>
    <row r="19" spans="1:8" ht="13.5" thickTop="1" x14ac:dyDescent="0.2">
      <c r="A19" s="105"/>
      <c r="B19" s="112" t="s">
        <v>43</v>
      </c>
      <c r="C19" s="148"/>
      <c r="D19" s="148"/>
      <c r="E19" s="148"/>
      <c r="F19" s="144">
        <f>F17+F18</f>
        <v>86021.517888800008</v>
      </c>
      <c r="G19" s="149"/>
      <c r="H19" s="149"/>
    </row>
    <row r="20" spans="1:8" ht="12.75" x14ac:dyDescent="0.2">
      <c r="A20" s="105"/>
      <c r="B20" s="150" t="s">
        <v>44</v>
      </c>
      <c r="C20" s="151"/>
      <c r="D20" s="152"/>
      <c r="E20" s="153"/>
      <c r="F20" s="154">
        <f>F19/F3</f>
        <v>60.749659525988704</v>
      </c>
      <c r="G20" s="155"/>
      <c r="H20" s="155"/>
    </row>
    <row r="21" spans="1:8" ht="13.5" thickBot="1" x14ac:dyDescent="0.25">
      <c r="A21" s="105"/>
      <c r="B21" s="131" t="s">
        <v>103</v>
      </c>
      <c r="C21" s="118"/>
      <c r="D21" s="208">
        <f>'Master Lookup'!C33</f>
        <v>2.5600000000000001E-2</v>
      </c>
      <c r="E21" s="196"/>
      <c r="F21" s="197">
        <f>F20*(D21+1)</f>
        <v>62.304850809854017</v>
      </c>
      <c r="G21" s="155"/>
      <c r="H21" s="155"/>
    </row>
    <row r="22" spans="1:8" ht="32.25" customHeight="1" thickBot="1" x14ac:dyDescent="0.25">
      <c r="A22" s="105"/>
      <c r="B22" s="198" t="s">
        <v>100</v>
      </c>
      <c r="C22" s="199"/>
      <c r="D22" s="200"/>
      <c r="E22" s="199"/>
      <c r="F22" s="424">
        <f>F21*1.25</f>
        <v>77.881063512317525</v>
      </c>
      <c r="G22" s="201"/>
      <c r="H22" s="155"/>
    </row>
    <row r="23" spans="1:8" ht="13.5" thickBot="1" x14ac:dyDescent="0.25">
      <c r="A23" s="105"/>
      <c r="B23" s="191" t="s">
        <v>101</v>
      </c>
      <c r="C23" s="192"/>
      <c r="D23" s="192"/>
      <c r="E23" s="192"/>
      <c r="F23" s="424">
        <f>F22/5</f>
        <v>15.576212702463504</v>
      </c>
      <c r="G23" s="166"/>
      <c r="H23" s="202"/>
    </row>
    <row r="24" spans="1:8" ht="13.5" thickBot="1" x14ac:dyDescent="0.25">
      <c r="A24" s="105"/>
      <c r="B24" s="191" t="s">
        <v>102</v>
      </c>
      <c r="C24" s="203"/>
      <c r="D24" s="204"/>
      <c r="E24" s="205"/>
      <c r="F24" s="206">
        <f>F23*0.25</f>
        <v>3.8940531756158761</v>
      </c>
      <c r="G24" s="167"/>
      <c r="H24" s="167"/>
    </row>
    <row r="25" spans="1:8" x14ac:dyDescent="0.25">
      <c r="A25" s="105"/>
      <c r="E25" s="91"/>
      <c r="F25" s="92"/>
      <c r="G25" s="167"/>
      <c r="H25" s="167"/>
    </row>
    <row r="26" spans="1:8" x14ac:dyDescent="0.25">
      <c r="E26" s="93"/>
      <c r="F26" s="94"/>
    </row>
    <row r="28" spans="1:8" x14ac:dyDescent="0.25">
      <c r="E28" s="91"/>
      <c r="F28" s="92"/>
    </row>
    <row r="29" spans="1:8" x14ac:dyDescent="0.25">
      <c r="E29" s="93"/>
      <c r="F29" s="94"/>
    </row>
    <row r="31" spans="1:8" x14ac:dyDescent="0.25">
      <c r="E31" s="91"/>
      <c r="F31" s="92"/>
    </row>
    <row r="32" spans="1:8" x14ac:dyDescent="0.25">
      <c r="E32" s="93"/>
      <c r="F32" s="94"/>
    </row>
    <row r="34" spans="1:8" ht="12.75" x14ac:dyDescent="0.2">
      <c r="A34" s="105"/>
      <c r="B34" s="106"/>
      <c r="C34" s="106"/>
      <c r="D34" s="106"/>
      <c r="E34" s="106"/>
      <c r="F34" s="106"/>
      <c r="G34" s="167"/>
      <c r="H34" s="167"/>
    </row>
    <row r="35" spans="1:8" ht="12.75" x14ac:dyDescent="0.2">
      <c r="A35" s="105"/>
      <c r="B35" s="106"/>
      <c r="C35" s="106"/>
      <c r="D35" s="106"/>
      <c r="E35" s="106"/>
      <c r="F35" s="106"/>
      <c r="G35" s="167"/>
      <c r="H35" s="167"/>
    </row>
    <row r="36" spans="1:8" ht="12.75" x14ac:dyDescent="0.2">
      <c r="A36" s="105"/>
      <c r="B36" s="105"/>
      <c r="C36" s="105"/>
      <c r="D36" s="105"/>
      <c r="E36" s="105"/>
      <c r="F36" s="105"/>
      <c r="G36" s="167"/>
      <c r="H36" s="167"/>
    </row>
    <row r="37" spans="1:8" ht="12.75" x14ac:dyDescent="0.2">
      <c r="A37" s="105"/>
      <c r="B37" s="105"/>
      <c r="C37" s="105"/>
      <c r="D37" s="105"/>
      <c r="E37" s="105"/>
      <c r="F37" s="105"/>
      <c r="G37" s="167"/>
      <c r="H37" s="167"/>
    </row>
    <row r="38" spans="1:8" ht="12.75" x14ac:dyDescent="0.2">
      <c r="A38" s="105"/>
      <c r="B38" s="105"/>
      <c r="C38" s="105"/>
      <c r="D38" s="105"/>
      <c r="E38" s="105"/>
      <c r="F38" s="105"/>
      <c r="G38" s="167"/>
      <c r="H38" s="167"/>
    </row>
    <row r="39" spans="1:8" ht="12.75" x14ac:dyDescent="0.2">
      <c r="A39" s="105"/>
      <c r="B39" s="105"/>
      <c r="C39" s="105"/>
      <c r="D39" s="105"/>
      <c r="E39" s="105"/>
      <c r="F39" s="105"/>
      <c r="G39" s="170"/>
      <c r="H39" s="170"/>
    </row>
    <row r="40" spans="1:8" ht="12.75" x14ac:dyDescent="0.2">
      <c r="A40" s="105"/>
      <c r="B40" s="105"/>
      <c r="C40" s="105"/>
      <c r="D40" s="105"/>
      <c r="E40" s="105"/>
      <c r="F40" s="105"/>
      <c r="G40" s="116"/>
      <c r="H40" s="116"/>
    </row>
    <row r="41" spans="1:8" x14ac:dyDescent="0.25">
      <c r="A41" s="95"/>
      <c r="B41" s="105"/>
      <c r="C41" s="105"/>
      <c r="D41" s="105"/>
      <c r="E41" s="105"/>
      <c r="F41" s="105"/>
      <c r="G41" s="171"/>
      <c r="H41" s="171"/>
    </row>
    <row r="42" spans="1:8" x14ac:dyDescent="0.25">
      <c r="A42" s="95"/>
      <c r="B42" s="105"/>
      <c r="C42" s="105"/>
      <c r="D42" s="105"/>
      <c r="E42" s="105"/>
      <c r="F42" s="105"/>
      <c r="G42" s="116"/>
      <c r="H42" s="116"/>
    </row>
    <row r="43" spans="1:8" x14ac:dyDescent="0.25">
      <c r="A43" s="95"/>
      <c r="B43" s="105"/>
      <c r="C43" s="105"/>
      <c r="D43" s="105"/>
      <c r="E43" s="105"/>
      <c r="F43" s="105"/>
      <c r="G43" s="149"/>
      <c r="H43" s="149"/>
    </row>
    <row r="44" spans="1:8" x14ac:dyDescent="0.25">
      <c r="A44" s="95"/>
      <c r="B44" s="105"/>
      <c r="C44" s="105"/>
      <c r="D44" s="105"/>
      <c r="E44" s="105"/>
      <c r="F44" s="105"/>
      <c r="G44" s="149"/>
      <c r="H44" s="149"/>
    </row>
    <row r="45" spans="1:8" x14ac:dyDescent="0.25">
      <c r="A45" s="95"/>
      <c r="B45" s="106"/>
      <c r="C45" s="106"/>
      <c r="D45" s="106"/>
      <c r="E45" s="106"/>
      <c r="F45" s="106"/>
      <c r="G45" s="172"/>
      <c r="H45" s="172"/>
    </row>
    <row r="46" spans="1:8" x14ac:dyDescent="0.25">
      <c r="A46" s="95"/>
      <c r="B46" s="9"/>
      <c r="C46" s="173"/>
      <c r="D46" s="173"/>
      <c r="E46" s="174"/>
      <c r="F46" s="9"/>
      <c r="G46" s="175"/>
      <c r="H46" s="176"/>
    </row>
    <row r="47" spans="1:8" x14ac:dyDescent="0.25">
      <c r="A47" s="105"/>
      <c r="B47" s="9"/>
      <c r="C47" s="173"/>
      <c r="D47" s="173"/>
      <c r="E47" s="174"/>
      <c r="F47" s="175"/>
      <c r="G47" s="175"/>
      <c r="H47" s="176"/>
    </row>
    <row r="48" spans="1:8" x14ac:dyDescent="0.25">
      <c r="A48" s="105"/>
      <c r="B48" s="9"/>
      <c r="C48" s="173"/>
      <c r="D48" s="173"/>
      <c r="E48" s="174"/>
      <c r="F48" s="175"/>
      <c r="G48" s="175"/>
      <c r="H48" s="176"/>
    </row>
    <row r="49" spans="1:8" x14ac:dyDescent="0.25">
      <c r="A49" s="105"/>
      <c r="B49" s="9"/>
      <c r="C49" s="173"/>
      <c r="D49" s="173"/>
      <c r="E49" s="174"/>
      <c r="F49" s="175"/>
      <c r="G49" s="175"/>
      <c r="H49" s="176"/>
    </row>
    <row r="50" spans="1:8" x14ac:dyDescent="0.25">
      <c r="A50" s="105"/>
      <c r="B50" s="9"/>
      <c r="C50" s="173"/>
      <c r="D50" s="173"/>
      <c r="E50" s="174"/>
      <c r="F50" s="175"/>
      <c r="G50" s="175"/>
      <c r="H50" s="176"/>
    </row>
  </sheetData>
  <mergeCells count="1">
    <mergeCell ref="B2:F2"/>
  </mergeCells>
  <pageMargins left="0.45" right="0.45" top="0.25" bottom="0.25" header="0.3" footer="0.3"/>
  <pageSetup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workbookViewId="0">
      <selection activeCell="M24" sqref="M24"/>
    </sheetView>
  </sheetViews>
  <sheetFormatPr defaultColWidth="9.109375" defaultRowHeight="13.2" x14ac:dyDescent="0.25"/>
  <cols>
    <col min="1" max="1" width="9.109375" style="82"/>
    <col min="2" max="2" width="30.33203125" style="82" customWidth="1"/>
    <col min="3" max="3" width="5.33203125" style="82" customWidth="1"/>
    <col min="4" max="4" width="18" style="82" customWidth="1"/>
    <col min="5" max="6" width="15.6640625" style="82" customWidth="1"/>
    <col min="7" max="7" width="1.88671875" style="82" customWidth="1"/>
    <col min="8" max="8" width="2.5546875" style="82" customWidth="1"/>
    <col min="9" max="9" width="3" style="82" customWidth="1"/>
    <col min="10" max="10" width="34.33203125" style="82" customWidth="1"/>
    <col min="11" max="11" width="3" style="82" customWidth="1"/>
    <col min="12" max="12" width="15" style="82" customWidth="1"/>
    <col min="13" max="13" width="10.6640625" style="82" customWidth="1"/>
    <col min="14" max="14" width="21.5546875" style="82" customWidth="1"/>
    <col min="15" max="16384" width="9.109375" style="82"/>
  </cols>
  <sheetData>
    <row r="1" spans="1:14" ht="13.5" thickBot="1" x14ac:dyDescent="0.25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3.5" thickBot="1" x14ac:dyDescent="0.25">
      <c r="A2" s="105"/>
      <c r="B2" s="485" t="s">
        <v>104</v>
      </c>
      <c r="C2" s="486"/>
      <c r="D2" s="486"/>
      <c r="E2" s="486"/>
      <c r="F2" s="487"/>
      <c r="G2" s="107"/>
      <c r="H2" s="107"/>
      <c r="I2" s="107"/>
      <c r="J2" s="485" t="s">
        <v>109</v>
      </c>
      <c r="K2" s="486"/>
      <c r="L2" s="486"/>
      <c r="M2" s="486"/>
      <c r="N2" s="487"/>
    </row>
    <row r="3" spans="1:14" ht="12.75" x14ac:dyDescent="0.2">
      <c r="A3" s="105"/>
      <c r="B3" s="366" t="s">
        <v>134</v>
      </c>
      <c r="C3" s="109" t="s">
        <v>105</v>
      </c>
      <c r="D3" s="105"/>
      <c r="E3" s="177">
        <v>10</v>
      </c>
      <c r="F3" s="110">
        <v>250</v>
      </c>
      <c r="G3" s="111"/>
      <c r="H3" s="111"/>
      <c r="I3" s="111"/>
      <c r="J3" s="366" t="s">
        <v>90</v>
      </c>
      <c r="K3" s="109" t="s">
        <v>106</v>
      </c>
      <c r="L3" s="105"/>
      <c r="M3" s="178">
        <v>10</v>
      </c>
      <c r="N3" s="110">
        <v>250</v>
      </c>
    </row>
    <row r="4" spans="1:14" ht="12.75" x14ac:dyDescent="0.2">
      <c r="A4" s="105"/>
      <c r="B4" s="112"/>
      <c r="C4" s="113"/>
      <c r="D4" s="114" t="s">
        <v>33</v>
      </c>
      <c r="E4" s="114"/>
      <c r="F4" s="115" t="s">
        <v>35</v>
      </c>
      <c r="G4" s="111"/>
      <c r="H4" s="111"/>
      <c r="I4" s="111"/>
      <c r="J4" s="112"/>
      <c r="K4" s="113"/>
      <c r="L4" s="114" t="s">
        <v>33</v>
      </c>
      <c r="M4" s="114" t="s">
        <v>34</v>
      </c>
      <c r="N4" s="115" t="s">
        <v>35</v>
      </c>
    </row>
    <row r="5" spans="1:14" ht="12.75" customHeight="1" x14ac:dyDescent="0.2">
      <c r="A5" s="105"/>
      <c r="B5" s="117" t="str">
        <f>'Master Lookup'!B13</f>
        <v>Program Management</v>
      </c>
      <c r="C5" s="118"/>
      <c r="D5" s="119">
        <f>'Master Lookup'!C13</f>
        <v>65000</v>
      </c>
      <c r="E5" s="120">
        <v>0.05</v>
      </c>
      <c r="F5" s="121">
        <f>D5*E5</f>
        <v>3250</v>
      </c>
      <c r="G5" s="107"/>
      <c r="H5" s="107"/>
      <c r="I5" s="116"/>
      <c r="J5" s="179" t="str">
        <f>B5</f>
        <v>Program Management</v>
      </c>
      <c r="K5" s="118"/>
      <c r="L5" s="119">
        <f>D5</f>
        <v>65000</v>
      </c>
      <c r="M5" s="120">
        <v>0.05</v>
      </c>
      <c r="N5" s="121">
        <f>L5*M5</f>
        <v>3250</v>
      </c>
    </row>
    <row r="6" spans="1:14" ht="12.75" x14ac:dyDescent="0.2">
      <c r="A6" s="105"/>
      <c r="B6" s="117" t="str">
        <f>'Master Lookup'!B18</f>
        <v>Clinician (MA Level)</v>
      </c>
      <c r="C6" s="118"/>
      <c r="D6" s="123">
        <f>'Master Lookup'!C18</f>
        <v>60000</v>
      </c>
      <c r="E6" s="125">
        <v>1.33</v>
      </c>
      <c r="F6" s="121">
        <f>D6*E6</f>
        <v>79800</v>
      </c>
      <c r="G6" s="149"/>
      <c r="H6" s="149"/>
      <c r="I6" s="107"/>
      <c r="J6" s="179" t="str">
        <f>B6</f>
        <v>Clinician (MA Level)</v>
      </c>
      <c r="K6" s="118"/>
      <c r="L6" s="123">
        <f>D6</f>
        <v>60000</v>
      </c>
      <c r="M6" s="125">
        <v>1.33</v>
      </c>
      <c r="N6" s="180">
        <f t="shared" ref="N6:N8" si="0">L6*M6</f>
        <v>79800</v>
      </c>
    </row>
    <row r="7" spans="1:14" ht="12.75" x14ac:dyDescent="0.2">
      <c r="A7" s="105"/>
      <c r="B7" s="117" t="str">
        <f>'Master Lookup'!B21</f>
        <v>Direct Care (Non Masters)</v>
      </c>
      <c r="C7" s="118"/>
      <c r="D7" s="123">
        <f>'Master Lookup'!C21</f>
        <v>38608</v>
      </c>
      <c r="E7" s="125">
        <v>1</v>
      </c>
      <c r="F7" s="121">
        <f>D7*E7</f>
        <v>38608</v>
      </c>
      <c r="G7" s="149"/>
      <c r="H7" s="149"/>
      <c r="I7" s="149"/>
      <c r="J7" s="179" t="str">
        <f>B7</f>
        <v>Direct Care (Non Masters)</v>
      </c>
      <c r="K7" s="118"/>
      <c r="L7" s="123">
        <f>D7</f>
        <v>38608</v>
      </c>
      <c r="M7" s="125">
        <v>1</v>
      </c>
      <c r="N7" s="121">
        <f t="shared" si="0"/>
        <v>38608</v>
      </c>
    </row>
    <row r="8" spans="1:14" ht="12.75" x14ac:dyDescent="0.2">
      <c r="A8" s="105"/>
      <c r="B8" s="126" t="str">
        <f>'Master Lookup'!B22</f>
        <v>Support Staffing</v>
      </c>
      <c r="C8" s="118"/>
      <c r="D8" s="123">
        <f>'Master Lookup'!C22</f>
        <v>31200</v>
      </c>
      <c r="E8" s="120">
        <v>0.25</v>
      </c>
      <c r="F8" s="121">
        <f>D8*E8</f>
        <v>7800</v>
      </c>
      <c r="G8" s="149"/>
      <c r="H8" s="149"/>
      <c r="I8" s="149"/>
      <c r="J8" s="179" t="str">
        <f>B8</f>
        <v>Support Staffing</v>
      </c>
      <c r="K8" s="118"/>
      <c r="L8" s="123">
        <f>D8</f>
        <v>31200</v>
      </c>
      <c r="M8" s="120">
        <v>0.25</v>
      </c>
      <c r="N8" s="121">
        <f t="shared" si="0"/>
        <v>7800</v>
      </c>
    </row>
    <row r="9" spans="1:14" ht="12.75" x14ac:dyDescent="0.2">
      <c r="A9" s="105"/>
      <c r="B9" s="127" t="s">
        <v>36</v>
      </c>
      <c r="C9" s="128"/>
      <c r="D9" s="128"/>
      <c r="E9" s="129">
        <f>SUM(E5:E8)</f>
        <v>2.63</v>
      </c>
      <c r="F9" s="130">
        <f>SUM(F5:F8)</f>
        <v>129458</v>
      </c>
      <c r="G9" s="149"/>
      <c r="H9" s="149"/>
      <c r="I9" s="149"/>
      <c r="J9" s="127" t="s">
        <v>36</v>
      </c>
      <c r="K9" s="128"/>
      <c r="L9" s="128"/>
      <c r="M9" s="129">
        <f>SUM(M5:M8)</f>
        <v>2.63</v>
      </c>
      <c r="N9" s="130">
        <f>SUM(N5:N8)</f>
        <v>129458</v>
      </c>
    </row>
    <row r="10" spans="1:14" ht="12.75" x14ac:dyDescent="0.2">
      <c r="A10" s="105"/>
      <c r="B10" s="131"/>
      <c r="C10" s="118"/>
      <c r="D10" s="118"/>
      <c r="E10" s="118"/>
      <c r="F10" s="132"/>
      <c r="G10" s="149"/>
      <c r="H10" s="149"/>
      <c r="I10" s="149"/>
      <c r="J10" s="131"/>
      <c r="K10" s="118"/>
      <c r="L10" s="118"/>
      <c r="M10" s="118"/>
      <c r="N10" s="132"/>
    </row>
    <row r="11" spans="1:14" ht="12.75" x14ac:dyDescent="0.2">
      <c r="A11" s="105"/>
      <c r="B11" s="133" t="s">
        <v>37</v>
      </c>
      <c r="C11" s="118"/>
      <c r="D11" s="118"/>
      <c r="E11" s="109" t="s">
        <v>38</v>
      </c>
      <c r="F11" s="132"/>
      <c r="G11" s="149"/>
      <c r="H11" s="149"/>
      <c r="I11" s="106"/>
      <c r="J11" s="133" t="s">
        <v>37</v>
      </c>
      <c r="K11" s="118"/>
      <c r="L11" s="118"/>
      <c r="M11" s="109" t="s">
        <v>38</v>
      </c>
      <c r="N11" s="132"/>
    </row>
    <row r="12" spans="1:14" ht="12.75" x14ac:dyDescent="0.2">
      <c r="A12" s="105"/>
      <c r="B12" s="131" t="s">
        <v>14</v>
      </c>
      <c r="C12" s="118"/>
      <c r="D12" s="134">
        <f>'Master Lookup'!C29</f>
        <v>0.20200000000000001</v>
      </c>
      <c r="E12" s="118"/>
      <c r="F12" s="121">
        <f>F9*D12</f>
        <v>26150.516000000003</v>
      </c>
      <c r="G12" s="149"/>
      <c r="H12" s="149"/>
      <c r="I12" s="106"/>
      <c r="J12" s="131" t="s">
        <v>14</v>
      </c>
      <c r="K12" s="118"/>
      <c r="L12" s="134">
        <f>D12</f>
        <v>0.20200000000000001</v>
      </c>
      <c r="M12" s="118"/>
      <c r="N12" s="121">
        <f>N9*L12</f>
        <v>26150.516000000003</v>
      </c>
    </row>
    <row r="13" spans="1:14" ht="12.75" x14ac:dyDescent="0.2">
      <c r="A13" s="105"/>
      <c r="B13" s="127" t="s">
        <v>39</v>
      </c>
      <c r="C13" s="128"/>
      <c r="D13" s="128"/>
      <c r="E13" s="135"/>
      <c r="F13" s="130">
        <f>F12+F9</f>
        <v>155608.516</v>
      </c>
      <c r="G13" s="149"/>
      <c r="H13" s="149"/>
      <c r="I13" s="149"/>
      <c r="J13" s="127" t="s">
        <v>39</v>
      </c>
      <c r="K13" s="128"/>
      <c r="L13" s="128"/>
      <c r="M13" s="135"/>
      <c r="N13" s="130">
        <f>N12+N9</f>
        <v>155608.516</v>
      </c>
    </row>
    <row r="14" spans="1:14" ht="12.75" x14ac:dyDescent="0.2">
      <c r="A14" s="105"/>
      <c r="B14" s="131"/>
      <c r="C14" s="118"/>
      <c r="D14" s="118" t="s">
        <v>40</v>
      </c>
      <c r="E14" s="118"/>
      <c r="F14" s="132"/>
      <c r="G14" s="149"/>
      <c r="H14" s="149"/>
      <c r="I14" s="149"/>
      <c r="J14" s="131"/>
      <c r="K14" s="118"/>
      <c r="L14" s="118" t="s">
        <v>40</v>
      </c>
      <c r="M14" s="118"/>
      <c r="N14" s="132"/>
    </row>
    <row r="15" spans="1:14" ht="25.5" x14ac:dyDescent="0.2">
      <c r="A15" s="105"/>
      <c r="B15" s="181" t="s">
        <v>108</v>
      </c>
      <c r="C15" s="148"/>
      <c r="D15" s="136">
        <f>'Master Lookup'!C28</f>
        <v>5403</v>
      </c>
      <c r="E15" s="148"/>
      <c r="F15" s="182">
        <f>D15</f>
        <v>5403</v>
      </c>
      <c r="G15" s="149"/>
      <c r="H15" s="149"/>
      <c r="I15" s="149"/>
      <c r="J15" s="183" t="str">
        <f>B15</f>
        <v>Travel (broken out of other prog exp)</v>
      </c>
      <c r="K15" s="148"/>
      <c r="L15" s="136">
        <f>'Master Lookup'!C28</f>
        <v>5403</v>
      </c>
      <c r="M15" s="148"/>
      <c r="N15" s="184">
        <f>L15</f>
        <v>5403</v>
      </c>
    </row>
    <row r="16" spans="1:14" ht="12.75" x14ac:dyDescent="0.2">
      <c r="A16" s="105"/>
      <c r="B16" s="131" t="s">
        <v>15</v>
      </c>
      <c r="C16" s="118"/>
      <c r="D16" s="136">
        <f>'Master Lookup'!C25</f>
        <v>6809</v>
      </c>
      <c r="E16" s="137"/>
      <c r="F16" s="180">
        <f>D16*E9</f>
        <v>17907.669999999998</v>
      </c>
      <c r="G16" s="149"/>
      <c r="H16" s="149"/>
      <c r="I16" s="149"/>
      <c r="J16" s="131" t="s">
        <v>15</v>
      </c>
      <c r="K16" s="118"/>
      <c r="L16" s="136">
        <f>D16</f>
        <v>6809</v>
      </c>
      <c r="M16" s="137"/>
      <c r="N16" s="138">
        <f>L16*M9</f>
        <v>17907.669999999998</v>
      </c>
    </row>
    <row r="17" spans="1:14" ht="13.5" thickBot="1" x14ac:dyDescent="0.25">
      <c r="A17" s="105"/>
      <c r="B17" s="139" t="s">
        <v>16</v>
      </c>
      <c r="C17" s="140"/>
      <c r="D17" s="141">
        <f>'Master Lookup'!C26</f>
        <v>1219</v>
      </c>
      <c r="E17" s="142"/>
      <c r="F17" s="185">
        <f>D17*E9</f>
        <v>3205.97</v>
      </c>
      <c r="G17" s="149"/>
      <c r="H17" s="149"/>
      <c r="I17" s="171"/>
      <c r="J17" s="139" t="s">
        <v>16</v>
      </c>
      <c r="K17" s="140"/>
      <c r="L17" s="141">
        <f>D17</f>
        <v>1219</v>
      </c>
      <c r="M17" s="142"/>
      <c r="N17" s="143">
        <f>L17*M9</f>
        <v>3205.97</v>
      </c>
    </row>
    <row r="18" spans="1:14" ht="13.5" thickTop="1" x14ac:dyDescent="0.2">
      <c r="A18" s="105"/>
      <c r="B18" s="112" t="s">
        <v>41</v>
      </c>
      <c r="C18" s="113"/>
      <c r="D18" s="113"/>
      <c r="E18" s="113"/>
      <c r="F18" s="144">
        <f>F13+F15+F16+F17+1</f>
        <v>182126.15599999999</v>
      </c>
      <c r="G18" s="149"/>
      <c r="H18" s="149"/>
      <c r="I18" s="116"/>
      <c r="J18" s="112" t="s">
        <v>41</v>
      </c>
      <c r="K18" s="113"/>
      <c r="L18" s="113"/>
      <c r="M18" s="113"/>
      <c r="N18" s="144">
        <f>N13+N15+N16+N17</f>
        <v>182125.15599999999</v>
      </c>
    </row>
    <row r="19" spans="1:14" ht="13.5" thickBot="1" x14ac:dyDescent="0.25">
      <c r="A19" s="105"/>
      <c r="B19" s="139" t="s">
        <v>42</v>
      </c>
      <c r="C19" s="145"/>
      <c r="D19" s="146">
        <f>'Master Lookup'!C30</f>
        <v>0.1258</v>
      </c>
      <c r="E19" s="140"/>
      <c r="F19" s="147">
        <f>F18*D19</f>
        <v>22911.470424799998</v>
      </c>
      <c r="G19" s="171"/>
      <c r="H19" s="171"/>
      <c r="I19" s="116"/>
      <c r="J19" s="139" t="s">
        <v>42</v>
      </c>
      <c r="K19" s="145"/>
      <c r="L19" s="146">
        <f>D19</f>
        <v>0.1258</v>
      </c>
      <c r="M19" s="140"/>
      <c r="N19" s="147">
        <f>(N18*L19)+5</f>
        <v>22916.344624799996</v>
      </c>
    </row>
    <row r="20" spans="1:14" ht="13.5" thickTop="1" x14ac:dyDescent="0.2">
      <c r="A20" s="105"/>
      <c r="B20" s="112" t="s">
        <v>43</v>
      </c>
      <c r="C20" s="148"/>
      <c r="D20" s="148"/>
      <c r="E20" s="148"/>
      <c r="F20" s="144">
        <f>F18+F19</f>
        <v>205037.62642479999</v>
      </c>
      <c r="G20" s="149"/>
      <c r="H20" s="149"/>
      <c r="I20" s="149"/>
      <c r="J20" s="112" t="s">
        <v>43</v>
      </c>
      <c r="K20" s="148"/>
      <c r="L20" s="148"/>
      <c r="M20" s="148"/>
      <c r="N20" s="144">
        <f>N18+N19</f>
        <v>205041.50062479998</v>
      </c>
    </row>
    <row r="21" spans="1:14" ht="13.5" thickBot="1" x14ac:dyDescent="0.25">
      <c r="A21" s="105"/>
      <c r="B21" s="186" t="s">
        <v>107</v>
      </c>
      <c r="C21" s="187"/>
      <c r="D21" s="188"/>
      <c r="E21" s="187"/>
      <c r="F21" s="189">
        <f>F20/(E3*F3)</f>
        <v>82.015050569919993</v>
      </c>
      <c r="G21" s="171"/>
      <c r="H21" s="171"/>
      <c r="I21" s="155"/>
      <c r="J21" s="186" t="s">
        <v>47</v>
      </c>
      <c r="K21" s="187"/>
      <c r="L21" s="188"/>
      <c r="M21" s="187"/>
      <c r="N21" s="190">
        <f>N20/(M3*N3)</f>
        <v>82.016600249919989</v>
      </c>
    </row>
    <row r="22" spans="1:14" ht="13.5" thickBot="1" x14ac:dyDescent="0.25">
      <c r="A22" s="105"/>
      <c r="B22" s="191" t="s">
        <v>56</v>
      </c>
      <c r="C22" s="192"/>
      <c r="D22" s="200">
        <f>'Master Lookup'!C33</f>
        <v>2.5600000000000001E-2</v>
      </c>
      <c r="E22" s="192"/>
      <c r="F22" s="193">
        <f>F21*(D22+1)</f>
        <v>84.11463586450995</v>
      </c>
      <c r="G22" s="165"/>
      <c r="H22" s="165"/>
      <c r="I22" s="166"/>
      <c r="J22" s="191" t="s">
        <v>56</v>
      </c>
      <c r="K22" s="192"/>
      <c r="L22" s="200">
        <f>'Master Lookup'!C33</f>
        <v>2.5600000000000001E-2</v>
      </c>
      <c r="M22" s="192"/>
      <c r="N22" s="193">
        <f>N21*(L22+1)-0.01</f>
        <v>84.106225216317938</v>
      </c>
    </row>
    <row r="23" spans="1:14" ht="12.75" x14ac:dyDescent="0.2">
      <c r="A23" s="105"/>
      <c r="B23" s="105"/>
      <c r="C23" s="105"/>
      <c r="D23" s="164"/>
      <c r="E23" s="105"/>
      <c r="F23" s="165"/>
      <c r="G23" s="165"/>
      <c r="H23" s="165"/>
      <c r="I23" s="166"/>
      <c r="J23" s="105"/>
      <c r="K23" s="105"/>
      <c r="L23" s="164"/>
      <c r="M23" s="105"/>
      <c r="N23" s="194"/>
    </row>
    <row r="24" spans="1:14" ht="12.75" x14ac:dyDescent="0.2">
      <c r="A24" s="105"/>
      <c r="B24" s="106"/>
      <c r="C24" s="106"/>
      <c r="D24" s="106"/>
      <c r="E24" s="91"/>
      <c r="F24" s="92"/>
      <c r="G24" s="165"/>
      <c r="H24" s="165"/>
      <c r="I24" s="166"/>
      <c r="J24" s="167"/>
      <c r="K24" s="167"/>
      <c r="L24" s="167"/>
      <c r="M24" s="91"/>
      <c r="N24" s="92"/>
    </row>
    <row r="25" spans="1:14" ht="12.75" x14ac:dyDescent="0.2">
      <c r="A25" s="105"/>
      <c r="B25" s="105"/>
      <c r="C25" s="168"/>
      <c r="D25" s="169"/>
      <c r="E25" s="93"/>
      <c r="F25" s="94"/>
      <c r="G25" s="106"/>
      <c r="H25" s="106"/>
      <c r="I25" s="167"/>
      <c r="J25" s="167"/>
      <c r="K25" s="167"/>
      <c r="L25" s="167"/>
      <c r="M25" s="93"/>
      <c r="N25" s="94"/>
    </row>
    <row r="26" spans="1:14" x14ac:dyDescent="0.25">
      <c r="A26" s="105"/>
      <c r="G26" s="172"/>
      <c r="H26" s="172"/>
      <c r="I26" s="167"/>
    </row>
    <row r="27" spans="1:14" x14ac:dyDescent="0.25">
      <c r="A27" s="105"/>
      <c r="B27" s="105"/>
      <c r="C27" s="105"/>
      <c r="D27" s="105"/>
      <c r="E27" s="105"/>
      <c r="F27" s="105"/>
      <c r="G27" s="105"/>
      <c r="H27" s="105"/>
      <c r="I27" s="167"/>
      <c r="J27" s="167"/>
    </row>
    <row r="28" spans="1:14" x14ac:dyDescent="0.25">
      <c r="A28" s="105"/>
      <c r="B28" s="105"/>
      <c r="C28" s="105"/>
      <c r="D28" s="105"/>
      <c r="E28" s="105"/>
      <c r="F28" s="105"/>
      <c r="G28" s="105"/>
      <c r="H28" s="105"/>
      <c r="I28" s="167"/>
      <c r="J28" s="170"/>
    </row>
    <row r="29" spans="1:14" x14ac:dyDescent="0.25">
      <c r="A29" s="105"/>
      <c r="B29" s="105"/>
      <c r="C29" s="105"/>
      <c r="D29" s="105"/>
      <c r="E29" s="105"/>
      <c r="F29" s="105"/>
      <c r="G29" s="105"/>
      <c r="H29" s="105"/>
      <c r="I29" s="170"/>
      <c r="J29" s="116"/>
    </row>
    <row r="30" spans="1:14" x14ac:dyDescent="0.25">
      <c r="A30" s="105"/>
      <c r="B30" s="105"/>
      <c r="C30" s="105"/>
      <c r="D30" s="105"/>
      <c r="E30" s="105"/>
      <c r="F30" s="105"/>
      <c r="G30" s="105"/>
      <c r="H30" s="105"/>
      <c r="I30" s="116"/>
      <c r="J30" s="171"/>
    </row>
    <row r="31" spans="1:14" x14ac:dyDescent="0.25">
      <c r="A31" s="105"/>
      <c r="B31" s="105"/>
      <c r="C31" s="105"/>
      <c r="D31" s="105"/>
      <c r="E31" s="105"/>
      <c r="F31" s="105"/>
      <c r="G31" s="105"/>
      <c r="H31" s="105"/>
      <c r="I31" s="171"/>
      <c r="J31" s="116"/>
    </row>
    <row r="32" spans="1:14" x14ac:dyDescent="0.25">
      <c r="A32" s="105"/>
      <c r="B32" s="105"/>
      <c r="C32" s="105"/>
      <c r="D32" s="105"/>
      <c r="E32" s="105"/>
      <c r="F32" s="105"/>
      <c r="G32" s="105"/>
      <c r="H32" s="105"/>
      <c r="I32" s="116"/>
      <c r="J32" s="149"/>
    </row>
    <row r="33" spans="1:10" x14ac:dyDescent="0.25">
      <c r="A33" s="95"/>
      <c r="B33" s="105"/>
      <c r="C33" s="105"/>
      <c r="D33" s="105"/>
      <c r="E33" s="105"/>
      <c r="F33" s="105"/>
      <c r="G33" s="105"/>
      <c r="H33" s="105"/>
      <c r="I33" s="149"/>
      <c r="J33" s="149"/>
    </row>
    <row r="34" spans="1:10" ht="12.75" x14ac:dyDescent="0.2">
      <c r="A34" s="95"/>
      <c r="B34" s="106"/>
      <c r="C34" s="106"/>
      <c r="D34" s="106"/>
      <c r="E34" s="106"/>
      <c r="F34" s="106"/>
      <c r="G34" s="105"/>
      <c r="H34" s="105"/>
      <c r="I34" s="149"/>
      <c r="J34" s="172"/>
    </row>
    <row r="35" spans="1:10" ht="12.75" x14ac:dyDescent="0.2">
      <c r="A35" s="95"/>
      <c r="B35" s="9"/>
      <c r="C35" s="173"/>
      <c r="D35" s="173"/>
      <c r="E35" s="174"/>
      <c r="F35" s="9"/>
      <c r="G35" s="106"/>
      <c r="H35" s="106"/>
      <c r="I35" s="172"/>
      <c r="J35" s="175"/>
    </row>
    <row r="36" spans="1:10" ht="12.75" x14ac:dyDescent="0.2">
      <c r="A36" s="95"/>
      <c r="B36" s="9"/>
      <c r="C36" s="173"/>
      <c r="D36" s="173"/>
      <c r="E36" s="174"/>
      <c r="F36" s="175"/>
      <c r="G36" s="9"/>
      <c r="H36" s="9"/>
      <c r="I36" s="175"/>
      <c r="J36" s="175"/>
    </row>
    <row r="37" spans="1:10" ht="12.75" x14ac:dyDescent="0.2">
      <c r="A37" s="95"/>
      <c r="B37" s="9"/>
      <c r="C37" s="173"/>
      <c r="D37" s="173"/>
      <c r="E37" s="174"/>
      <c r="F37" s="175"/>
      <c r="G37" s="175"/>
      <c r="H37" s="175"/>
      <c r="I37" s="175"/>
      <c r="J37" s="175"/>
    </row>
    <row r="38" spans="1:10" ht="12.75" x14ac:dyDescent="0.2">
      <c r="A38" s="95"/>
      <c r="B38" s="9"/>
      <c r="C38" s="173"/>
      <c r="D38" s="173"/>
      <c r="E38" s="174"/>
      <c r="F38" s="175"/>
      <c r="G38" s="175"/>
      <c r="H38" s="175"/>
      <c r="I38" s="175"/>
      <c r="J38" s="175"/>
    </row>
    <row r="39" spans="1:10" ht="12.75" x14ac:dyDescent="0.2">
      <c r="A39" s="105"/>
      <c r="G39" s="175"/>
      <c r="H39" s="175"/>
      <c r="I39" s="175"/>
    </row>
  </sheetData>
  <mergeCells count="2">
    <mergeCell ref="B2:F2"/>
    <mergeCell ref="J2:N2"/>
  </mergeCells>
  <pageMargins left="0.7" right="0.7" top="0.75" bottom="0.75" header="0.3" footer="0.3"/>
  <pageSetup scale="65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selection activeCell="D22" sqref="D22"/>
    </sheetView>
  </sheetViews>
  <sheetFormatPr defaultColWidth="9.109375" defaultRowHeight="13.2" x14ac:dyDescent="0.25"/>
  <cols>
    <col min="1" max="1" width="3.33203125" style="82" customWidth="1"/>
    <col min="2" max="2" width="36.109375" style="82" bestFit="1" customWidth="1"/>
    <col min="3" max="3" width="5.44140625" style="82" customWidth="1"/>
    <col min="4" max="6" width="16.5546875" style="82" customWidth="1"/>
    <col min="7" max="16384" width="9.109375" style="82"/>
  </cols>
  <sheetData>
    <row r="1" spans="1:7" ht="13.5" thickBot="1" x14ac:dyDescent="0.25">
      <c r="A1" s="105"/>
      <c r="B1" s="106"/>
      <c r="C1" s="106"/>
      <c r="D1" s="106"/>
      <c r="E1" s="106"/>
      <c r="F1" s="106"/>
      <c r="G1" s="106"/>
    </row>
    <row r="2" spans="1:7" ht="13.5" thickBot="1" x14ac:dyDescent="0.25">
      <c r="A2" s="105"/>
      <c r="B2" s="485" t="s">
        <v>110</v>
      </c>
      <c r="C2" s="486"/>
      <c r="D2" s="486"/>
      <c r="E2" s="486"/>
      <c r="F2" s="487"/>
      <c r="G2" s="107"/>
    </row>
    <row r="3" spans="1:7" ht="12.75" x14ac:dyDescent="0.2">
      <c r="A3" s="105"/>
      <c r="B3" s="18" t="s">
        <v>111</v>
      </c>
      <c r="C3" s="108"/>
      <c r="D3" s="109" t="s">
        <v>51</v>
      </c>
      <c r="E3" s="105"/>
      <c r="F3" s="110">
        <v>1566</v>
      </c>
      <c r="G3" s="111"/>
    </row>
    <row r="4" spans="1:7" ht="12.75" x14ac:dyDescent="0.2">
      <c r="A4" s="105"/>
      <c r="B4" s="112"/>
      <c r="C4" s="113"/>
      <c r="D4" s="114" t="s">
        <v>33</v>
      </c>
      <c r="E4" s="114" t="s">
        <v>34</v>
      </c>
      <c r="F4" s="115" t="s">
        <v>35</v>
      </c>
      <c r="G4" s="116"/>
    </row>
    <row r="5" spans="1:7" ht="12.75" x14ac:dyDescent="0.2">
      <c r="A5" s="105"/>
      <c r="B5" s="117" t="str">
        <f>'Master Lookup'!B13</f>
        <v>Program Management</v>
      </c>
      <c r="C5" s="118"/>
      <c r="D5" s="119">
        <f>'Master Lookup'!C13</f>
        <v>65000</v>
      </c>
      <c r="E5" s="120">
        <v>0.05</v>
      </c>
      <c r="F5" s="121">
        <f>D5*E5</f>
        <v>3250</v>
      </c>
      <c r="G5" s="122"/>
    </row>
    <row r="6" spans="1:7" ht="12.75" x14ac:dyDescent="0.2">
      <c r="A6" s="105"/>
      <c r="B6" s="117" t="str">
        <f>'Master Lookup'!B18</f>
        <v>Clinician (MA Level)</v>
      </c>
      <c r="C6" s="118"/>
      <c r="D6" s="123">
        <f>'Master Lookup'!C18</f>
        <v>60000</v>
      </c>
      <c r="E6" s="124">
        <v>0.04</v>
      </c>
      <c r="F6" s="121">
        <f t="shared" ref="F6:F8" si="0">D6*E6</f>
        <v>2400</v>
      </c>
      <c r="G6" s="122"/>
    </row>
    <row r="7" spans="1:7" ht="12.75" x14ac:dyDescent="0.2">
      <c r="A7" s="105"/>
      <c r="B7" s="117" t="str">
        <f>'Master Lookup'!B21</f>
        <v>Direct Care (Non Masters)</v>
      </c>
      <c r="C7" s="118"/>
      <c r="D7" s="123">
        <f>'Master Lookup'!C21</f>
        <v>38608</v>
      </c>
      <c r="E7" s="125">
        <v>1</v>
      </c>
      <c r="F7" s="121">
        <f t="shared" si="0"/>
        <v>38608</v>
      </c>
      <c r="G7" s="122"/>
    </row>
    <row r="8" spans="1:7" ht="12.75" x14ac:dyDescent="0.2">
      <c r="A8" s="105"/>
      <c r="B8" s="126" t="str">
        <f>'Master Lookup'!B22</f>
        <v>Support Staffing</v>
      </c>
      <c r="C8" s="118"/>
      <c r="D8" s="123">
        <f>'Master Lookup'!C22</f>
        <v>31200</v>
      </c>
      <c r="E8" s="120">
        <v>0.05</v>
      </c>
      <c r="F8" s="121">
        <f t="shared" si="0"/>
        <v>1560</v>
      </c>
      <c r="G8" s="122"/>
    </row>
    <row r="9" spans="1:7" ht="12.75" x14ac:dyDescent="0.2">
      <c r="A9" s="105"/>
      <c r="B9" s="127" t="s">
        <v>36</v>
      </c>
      <c r="C9" s="128"/>
      <c r="D9" s="128"/>
      <c r="E9" s="129">
        <f>SUM(E5:E8)</f>
        <v>1.1400000000000001</v>
      </c>
      <c r="F9" s="130">
        <f>SUM(F5:F8)</f>
        <v>45818</v>
      </c>
      <c r="G9" s="122"/>
    </row>
    <row r="10" spans="1:7" ht="12.75" x14ac:dyDescent="0.2">
      <c r="A10" s="105"/>
      <c r="B10" s="131"/>
      <c r="C10" s="118"/>
      <c r="D10" s="118"/>
      <c r="E10" s="118"/>
      <c r="F10" s="132"/>
      <c r="G10" s="122"/>
    </row>
    <row r="11" spans="1:7" ht="12.75" x14ac:dyDescent="0.2">
      <c r="A11" s="105"/>
      <c r="B11" s="133" t="s">
        <v>37</v>
      </c>
      <c r="C11" s="118"/>
      <c r="D11" s="118"/>
      <c r="E11" s="109" t="s">
        <v>38</v>
      </c>
      <c r="F11" s="132"/>
      <c r="G11" s="122"/>
    </row>
    <row r="12" spans="1:7" ht="12.75" x14ac:dyDescent="0.2">
      <c r="A12" s="105"/>
      <c r="B12" s="131" t="s">
        <v>14</v>
      </c>
      <c r="C12" s="118"/>
      <c r="D12" s="134">
        <f>'Master Lookup'!C29</f>
        <v>0.20200000000000001</v>
      </c>
      <c r="E12" s="118"/>
      <c r="F12" s="121">
        <f>F9*D12</f>
        <v>9255.2360000000008</v>
      </c>
      <c r="G12" s="122"/>
    </row>
    <row r="13" spans="1:7" ht="12.75" x14ac:dyDescent="0.2">
      <c r="A13" s="105"/>
      <c r="B13" s="127" t="s">
        <v>39</v>
      </c>
      <c r="C13" s="128"/>
      <c r="D13" s="128"/>
      <c r="E13" s="135"/>
      <c r="F13" s="130">
        <f>F12+F9</f>
        <v>55073.236000000004</v>
      </c>
      <c r="G13" s="122"/>
    </row>
    <row r="14" spans="1:7" ht="12.75" x14ac:dyDescent="0.2">
      <c r="A14" s="105"/>
      <c r="B14" s="131"/>
      <c r="C14" s="118"/>
      <c r="D14" s="118" t="s">
        <v>40</v>
      </c>
      <c r="E14" s="118"/>
      <c r="F14" s="132"/>
      <c r="G14" s="122"/>
    </row>
    <row r="15" spans="1:7" ht="12.75" x14ac:dyDescent="0.2">
      <c r="A15" s="105"/>
      <c r="B15" s="131" t="s">
        <v>15</v>
      </c>
      <c r="C15" s="118"/>
      <c r="D15" s="136">
        <f>'Master Lookup'!C25</f>
        <v>6809</v>
      </c>
      <c r="E15" s="137"/>
      <c r="F15" s="138">
        <f>D15*E9</f>
        <v>7762.2600000000011</v>
      </c>
      <c r="G15" s="122"/>
    </row>
    <row r="16" spans="1:7" ht="13.5" thickBot="1" x14ac:dyDescent="0.25">
      <c r="A16" s="105"/>
      <c r="B16" s="139" t="s">
        <v>16</v>
      </c>
      <c r="C16" s="140"/>
      <c r="D16" s="141">
        <f>'Master Lookup'!C26</f>
        <v>1219</v>
      </c>
      <c r="E16" s="142"/>
      <c r="F16" s="143">
        <f>D16*E9</f>
        <v>1389.66</v>
      </c>
      <c r="G16" s="122"/>
    </row>
    <row r="17" spans="1:11" ht="13.5" thickTop="1" x14ac:dyDescent="0.2">
      <c r="A17" s="105"/>
      <c r="B17" s="112" t="s">
        <v>41</v>
      </c>
      <c r="C17" s="113"/>
      <c r="D17" s="113"/>
      <c r="E17" s="113"/>
      <c r="F17" s="144">
        <f>F13+F15+F16</f>
        <v>64225.15600000001</v>
      </c>
      <c r="G17" s="116"/>
      <c r="K17" s="350"/>
    </row>
    <row r="18" spans="1:11" ht="13.5" thickBot="1" x14ac:dyDescent="0.25">
      <c r="A18" s="105"/>
      <c r="B18" s="139" t="s">
        <v>42</v>
      </c>
      <c r="C18" s="145"/>
      <c r="D18" s="146">
        <f>'Master Lookup'!C30</f>
        <v>0.1258</v>
      </c>
      <c r="E18" s="140"/>
      <c r="F18" s="147">
        <f>F17*D18</f>
        <v>8079.5246248000012</v>
      </c>
      <c r="G18" s="116"/>
    </row>
    <row r="19" spans="1:11" ht="13.5" thickTop="1" x14ac:dyDescent="0.2">
      <c r="A19" s="105"/>
      <c r="B19" s="112" t="s">
        <v>43</v>
      </c>
      <c r="C19" s="148"/>
      <c r="D19" s="148"/>
      <c r="E19" s="148"/>
      <c r="F19" s="144">
        <f>F17+F18</f>
        <v>72304.680624800007</v>
      </c>
      <c r="G19" s="149"/>
    </row>
    <row r="20" spans="1:11" ht="12.75" x14ac:dyDescent="0.2">
      <c r="A20" s="105"/>
      <c r="B20" s="150" t="s">
        <v>47</v>
      </c>
      <c r="C20" s="151"/>
      <c r="D20" s="152"/>
      <c r="E20" s="153"/>
      <c r="F20" s="154">
        <f>F19/F3</f>
        <v>46.171571280204347</v>
      </c>
      <c r="G20" s="155"/>
    </row>
    <row r="21" spans="1:11" ht="12.75" x14ac:dyDescent="0.2">
      <c r="A21" s="105"/>
      <c r="B21" s="156" t="s">
        <v>103</v>
      </c>
      <c r="C21" s="157"/>
      <c r="D21" s="414">
        <f>'Master Lookup'!C33</f>
        <v>2.5600000000000001E-2</v>
      </c>
      <c r="E21" s="157"/>
      <c r="F21" s="158">
        <f>F20*(D21+1)</f>
        <v>47.353563504977579</v>
      </c>
      <c r="G21" s="155"/>
    </row>
    <row r="22" spans="1:11" ht="13.5" thickBot="1" x14ac:dyDescent="0.25">
      <c r="A22" s="105"/>
      <c r="B22" s="159" t="s">
        <v>112</v>
      </c>
      <c r="C22" s="160"/>
      <c r="D22" s="160"/>
      <c r="E22" s="161"/>
      <c r="F22" s="162">
        <f>(F21/4)</f>
        <v>11.838390876244395</v>
      </c>
      <c r="G22" s="155"/>
    </row>
    <row r="23" spans="1:11" ht="12.75" x14ac:dyDescent="0.2">
      <c r="A23" s="105"/>
      <c r="B23" s="163"/>
      <c r="C23" s="163"/>
      <c r="D23" s="164"/>
      <c r="E23" s="163"/>
      <c r="F23" s="165"/>
      <c r="G23" s="166"/>
    </row>
    <row r="24" spans="1:11" ht="12.75" x14ac:dyDescent="0.2">
      <c r="A24" s="105"/>
      <c r="B24" s="106"/>
      <c r="C24" s="106"/>
      <c r="D24" s="106"/>
      <c r="E24" s="91"/>
      <c r="F24" s="92"/>
      <c r="G24" s="167"/>
    </row>
    <row r="25" spans="1:11" ht="12.75" x14ac:dyDescent="0.2">
      <c r="A25" s="105"/>
      <c r="B25" s="105"/>
      <c r="C25" s="168"/>
      <c r="D25" s="169"/>
      <c r="E25" s="93"/>
      <c r="F25" s="94"/>
      <c r="G25" s="167"/>
    </row>
    <row r="27" spans="1:11" x14ac:dyDescent="0.25">
      <c r="A27" s="105"/>
      <c r="B27" s="106"/>
      <c r="C27" s="106"/>
      <c r="D27" s="106"/>
      <c r="E27" s="106"/>
      <c r="F27" s="106"/>
      <c r="G27" s="167"/>
      <c r="H27" s="167"/>
    </row>
    <row r="28" spans="1:11" x14ac:dyDescent="0.25">
      <c r="A28" s="105"/>
      <c r="B28" s="106"/>
      <c r="C28" s="106"/>
      <c r="D28" s="106"/>
      <c r="E28" s="106"/>
      <c r="F28" s="106"/>
      <c r="G28" s="167"/>
      <c r="H28" s="167"/>
    </row>
    <row r="29" spans="1:11" x14ac:dyDescent="0.25">
      <c r="A29" s="105"/>
      <c r="B29" s="105"/>
      <c r="C29" s="105"/>
      <c r="D29" s="105"/>
      <c r="E29" s="105"/>
      <c r="F29" s="105"/>
      <c r="G29" s="167"/>
      <c r="H29" s="167"/>
    </row>
    <row r="30" spans="1:11" x14ac:dyDescent="0.25">
      <c r="A30" s="105"/>
      <c r="B30" s="105"/>
      <c r="C30" s="105"/>
      <c r="D30" s="105"/>
      <c r="E30" s="105"/>
      <c r="F30" s="105"/>
      <c r="G30" s="167"/>
      <c r="H30" s="167"/>
    </row>
    <row r="31" spans="1:11" x14ac:dyDescent="0.25">
      <c r="A31" s="105"/>
      <c r="B31" s="105"/>
      <c r="C31" s="105"/>
      <c r="D31" s="105"/>
      <c r="E31" s="105"/>
      <c r="F31" s="105"/>
      <c r="G31" s="167"/>
      <c r="H31" s="167"/>
    </row>
    <row r="32" spans="1:11" x14ac:dyDescent="0.25">
      <c r="A32" s="105"/>
      <c r="B32" s="105"/>
      <c r="C32" s="105"/>
      <c r="D32" s="105"/>
      <c r="E32" s="105"/>
      <c r="F32" s="105"/>
      <c r="G32" s="170"/>
      <c r="H32" s="170"/>
    </row>
    <row r="33" spans="1:8" x14ac:dyDescent="0.25">
      <c r="A33" s="105"/>
      <c r="B33" s="105"/>
      <c r="C33" s="105"/>
      <c r="D33" s="105"/>
      <c r="E33" s="105"/>
      <c r="F33" s="105"/>
      <c r="G33" s="116"/>
      <c r="H33" s="116"/>
    </row>
    <row r="34" spans="1:8" x14ac:dyDescent="0.25">
      <c r="A34" s="95"/>
      <c r="B34" s="105"/>
      <c r="C34" s="105"/>
      <c r="D34" s="105"/>
      <c r="E34" s="105"/>
      <c r="F34" s="105"/>
      <c r="G34" s="171"/>
      <c r="H34" s="171"/>
    </row>
    <row r="35" spans="1:8" ht="12.75" x14ac:dyDescent="0.2">
      <c r="A35" s="95"/>
      <c r="B35" s="105"/>
      <c r="C35" s="105"/>
      <c r="D35" s="105"/>
      <c r="E35" s="105"/>
      <c r="F35" s="105"/>
      <c r="G35" s="116"/>
      <c r="H35" s="116"/>
    </row>
    <row r="36" spans="1:8" ht="12.75" x14ac:dyDescent="0.2">
      <c r="A36" s="95"/>
      <c r="B36" s="105"/>
      <c r="C36" s="105"/>
      <c r="D36" s="105"/>
      <c r="E36" s="105"/>
      <c r="F36" s="105"/>
      <c r="G36" s="149"/>
      <c r="H36" s="149"/>
    </row>
    <row r="37" spans="1:8" ht="12.75" x14ac:dyDescent="0.2">
      <c r="A37" s="95"/>
      <c r="B37" s="105"/>
      <c r="C37" s="105"/>
      <c r="D37" s="105"/>
      <c r="E37" s="105"/>
      <c r="F37" s="105"/>
      <c r="G37" s="149"/>
      <c r="H37" s="149"/>
    </row>
    <row r="38" spans="1:8" ht="12.75" x14ac:dyDescent="0.2">
      <c r="A38" s="95"/>
      <c r="B38" s="106"/>
      <c r="C38" s="106"/>
      <c r="D38" s="106"/>
      <c r="E38" s="106"/>
      <c r="F38" s="106"/>
      <c r="G38" s="172"/>
      <c r="H38" s="172"/>
    </row>
    <row r="39" spans="1:8" ht="12.75" x14ac:dyDescent="0.2">
      <c r="A39" s="95"/>
      <c r="B39" s="9"/>
      <c r="C39" s="173"/>
      <c r="D39" s="173"/>
      <c r="E39" s="174"/>
      <c r="F39" s="9"/>
      <c r="G39" s="175"/>
      <c r="H39" s="176"/>
    </row>
    <row r="40" spans="1:8" ht="12.75" x14ac:dyDescent="0.2">
      <c r="A40" s="105"/>
      <c r="B40" s="9"/>
      <c r="C40" s="173"/>
      <c r="D40" s="173"/>
      <c r="E40" s="174"/>
      <c r="F40" s="175"/>
      <c r="G40" s="175"/>
      <c r="H40" s="176"/>
    </row>
    <row r="41" spans="1:8" ht="12.75" x14ac:dyDescent="0.2">
      <c r="A41" s="105"/>
      <c r="B41" s="9"/>
      <c r="C41" s="173"/>
      <c r="D41" s="173"/>
      <c r="E41" s="174"/>
      <c r="F41" s="175"/>
      <c r="G41" s="175"/>
      <c r="H41" s="176"/>
    </row>
    <row r="42" spans="1:8" ht="12.75" x14ac:dyDescent="0.2">
      <c r="A42" s="105"/>
      <c r="B42" s="9"/>
      <c r="C42" s="173"/>
      <c r="D42" s="173"/>
      <c r="E42" s="174"/>
      <c r="F42" s="175"/>
      <c r="G42" s="175"/>
      <c r="H42" s="176"/>
    </row>
  </sheetData>
  <mergeCells count="1">
    <mergeCell ref="B2:F2"/>
  </mergeCells>
  <pageMargins left="0.2" right="0.2" top="0.75" bottom="0.75" header="0.3" footer="0.3"/>
  <pageSetup scale="97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workbookViewId="0">
      <selection activeCell="D24" sqref="D24"/>
    </sheetView>
  </sheetViews>
  <sheetFormatPr defaultColWidth="9.109375" defaultRowHeight="13.2" x14ac:dyDescent="0.25"/>
  <cols>
    <col min="1" max="1" width="9.109375" style="82"/>
    <col min="2" max="2" width="34.5546875" style="82" customWidth="1"/>
    <col min="3" max="3" width="9.109375" style="82"/>
    <col min="4" max="4" width="14.33203125" style="82" customWidth="1"/>
    <col min="5" max="5" width="16.109375" style="82" customWidth="1"/>
    <col min="6" max="6" width="20" style="82" customWidth="1"/>
    <col min="7" max="8" width="9.109375" style="82"/>
    <col min="9" max="9" width="9.6640625" style="82" bestFit="1" customWidth="1"/>
    <col min="10" max="12" width="9.109375" style="82"/>
    <col min="13" max="13" width="10.5546875" style="82" bestFit="1" customWidth="1"/>
    <col min="14" max="14" width="9.109375" style="82"/>
    <col min="15" max="15" width="9.88671875" style="82" bestFit="1" customWidth="1"/>
    <col min="16" max="16384" width="9.109375" style="82"/>
  </cols>
  <sheetData>
    <row r="1" spans="1:7" ht="13.5" thickBot="1" x14ac:dyDescent="0.25">
      <c r="A1" s="80"/>
      <c r="B1" s="81"/>
      <c r="C1" s="81"/>
      <c r="D1" s="81"/>
      <c r="E1" s="81"/>
      <c r="F1" s="81"/>
      <c r="G1" s="81"/>
    </row>
    <row r="2" spans="1:7" ht="13.5" thickBot="1" x14ac:dyDescent="0.25">
      <c r="A2" s="80"/>
      <c r="B2" s="502" t="s">
        <v>113</v>
      </c>
      <c r="C2" s="503"/>
      <c r="D2" s="503"/>
      <c r="E2" s="503"/>
      <c r="F2" s="504"/>
      <c r="G2" s="10"/>
    </row>
    <row r="3" spans="1:7" ht="12.75" x14ac:dyDescent="0.2">
      <c r="A3" s="80"/>
      <c r="B3" s="18" t="s">
        <v>114</v>
      </c>
      <c r="C3" s="19"/>
      <c r="D3" s="20"/>
      <c r="E3" s="21" t="s">
        <v>115</v>
      </c>
      <c r="F3" s="22">
        <v>1281</v>
      </c>
      <c r="G3" s="11"/>
    </row>
    <row r="4" spans="1:7" ht="12.75" x14ac:dyDescent="0.2">
      <c r="A4" s="80"/>
      <c r="B4" s="25"/>
      <c r="C4" s="26"/>
      <c r="D4" s="27" t="s">
        <v>33</v>
      </c>
      <c r="E4" s="27" t="s">
        <v>34</v>
      </c>
      <c r="F4" s="28" t="s">
        <v>35</v>
      </c>
      <c r="G4" s="12"/>
    </row>
    <row r="5" spans="1:7" ht="12.75" x14ac:dyDescent="0.2">
      <c r="A5" s="80"/>
      <c r="B5" s="29" t="str">
        <f>'Master Lookup'!B13</f>
        <v>Program Management</v>
      </c>
      <c r="C5" s="24"/>
      <c r="D5" s="30">
        <f>'Master Lookup'!C13</f>
        <v>65000</v>
      </c>
      <c r="E5" s="31">
        <v>0.05</v>
      </c>
      <c r="F5" s="32">
        <f>D5*E5</f>
        <v>3250</v>
      </c>
      <c r="G5" s="10"/>
    </row>
    <row r="6" spans="1:7" ht="12.75" x14ac:dyDescent="0.2">
      <c r="A6" s="80"/>
      <c r="B6" s="29" t="str">
        <f>'Master Lookup'!B18</f>
        <v>Clinician (MA Level)</v>
      </c>
      <c r="C6" s="24"/>
      <c r="D6" s="30">
        <f>'Master Lookup'!C18</f>
        <v>60000</v>
      </c>
      <c r="E6" s="418">
        <v>0.05</v>
      </c>
      <c r="F6" s="32">
        <f t="shared" ref="F6:F8" si="0">D6*E6</f>
        <v>3000</v>
      </c>
      <c r="G6" s="13"/>
    </row>
    <row r="7" spans="1:7" ht="12.75" x14ac:dyDescent="0.2">
      <c r="A7" s="80"/>
      <c r="B7" s="29" t="str">
        <f>'Master Lookup'!B19</f>
        <v>Recovery Coach</v>
      </c>
      <c r="C7" s="24"/>
      <c r="D7" s="33">
        <f>'Master Lookup'!C19</f>
        <v>33801</v>
      </c>
      <c r="E7" s="34">
        <v>1</v>
      </c>
      <c r="F7" s="32">
        <f t="shared" si="0"/>
        <v>33801</v>
      </c>
      <c r="G7" s="13"/>
    </row>
    <row r="8" spans="1:7" ht="12.75" x14ac:dyDescent="0.2">
      <c r="A8" s="80"/>
      <c r="B8" s="29" t="str">
        <f>'Master Lookup'!B22</f>
        <v>Support Staffing</v>
      </c>
      <c r="C8" s="24"/>
      <c r="D8" s="30">
        <f>'Master Lookup'!C22</f>
        <v>31200</v>
      </c>
      <c r="E8" s="35">
        <v>0.05</v>
      </c>
      <c r="F8" s="32">
        <f t="shared" si="0"/>
        <v>1560</v>
      </c>
      <c r="G8" s="13"/>
    </row>
    <row r="9" spans="1:7" ht="12.75" x14ac:dyDescent="0.2">
      <c r="A9" s="80"/>
      <c r="B9" s="36" t="s">
        <v>36</v>
      </c>
      <c r="C9" s="37"/>
      <c r="D9" s="37"/>
      <c r="E9" s="38">
        <f>SUM(E5:E8)</f>
        <v>1.1500000000000001</v>
      </c>
      <c r="F9" s="39">
        <f>SUM(F5:F8)</f>
        <v>41611</v>
      </c>
      <c r="G9" s="13"/>
    </row>
    <row r="10" spans="1:7" ht="12.75" x14ac:dyDescent="0.2">
      <c r="A10" s="80"/>
      <c r="B10" s="23"/>
      <c r="C10" s="24"/>
      <c r="D10" s="24"/>
      <c r="E10" s="24"/>
      <c r="F10" s="40"/>
      <c r="G10" s="13"/>
    </row>
    <row r="11" spans="1:7" ht="12.75" x14ac:dyDescent="0.2">
      <c r="A11" s="80"/>
      <c r="B11" s="41" t="s">
        <v>37</v>
      </c>
      <c r="C11" s="24"/>
      <c r="D11" s="24"/>
      <c r="E11" s="42" t="s">
        <v>38</v>
      </c>
      <c r="F11" s="40"/>
      <c r="G11" s="13"/>
    </row>
    <row r="12" spans="1:7" ht="12.75" x14ac:dyDescent="0.2">
      <c r="A12" s="80"/>
      <c r="B12" s="23" t="s">
        <v>14</v>
      </c>
      <c r="C12" s="24"/>
      <c r="D12" s="43">
        <f>'Master Lookup'!C29</f>
        <v>0.20200000000000001</v>
      </c>
      <c r="E12" s="24"/>
      <c r="F12" s="32">
        <f>F9*D12</f>
        <v>8405.4220000000005</v>
      </c>
      <c r="G12" s="13"/>
    </row>
    <row r="13" spans="1:7" ht="12.75" x14ac:dyDescent="0.2">
      <c r="A13" s="80"/>
      <c r="B13" s="36" t="s">
        <v>39</v>
      </c>
      <c r="C13" s="37"/>
      <c r="D13" s="37"/>
      <c r="E13" s="44">
        <f>F13/F3</f>
        <v>39.044825917252147</v>
      </c>
      <c r="F13" s="39">
        <f>F12+F9</f>
        <v>50016.421999999999</v>
      </c>
      <c r="G13" s="13"/>
    </row>
    <row r="14" spans="1:7" ht="12.75" x14ac:dyDescent="0.2">
      <c r="A14" s="80"/>
      <c r="B14" s="23"/>
      <c r="C14" s="24"/>
      <c r="D14" s="80"/>
      <c r="E14" s="45" t="s">
        <v>40</v>
      </c>
      <c r="F14" s="32"/>
      <c r="G14" s="13"/>
    </row>
    <row r="15" spans="1:7" ht="12.75" x14ac:dyDescent="0.2">
      <c r="A15" s="80"/>
      <c r="B15" s="23" t="s">
        <v>23</v>
      </c>
      <c r="C15" s="24"/>
      <c r="D15" s="80"/>
      <c r="E15" s="46">
        <f>'Master Lookup'!C28</f>
        <v>5403</v>
      </c>
      <c r="F15" s="32">
        <f>E15</f>
        <v>5403</v>
      </c>
      <c r="G15" s="13"/>
    </row>
    <row r="16" spans="1:7" ht="12.75" x14ac:dyDescent="0.2">
      <c r="A16" s="80"/>
      <c r="B16" s="23" t="s">
        <v>15</v>
      </c>
      <c r="C16" s="24"/>
      <c r="D16" s="80"/>
      <c r="E16" s="46">
        <f>'Master Lookup'!C25</f>
        <v>6809</v>
      </c>
      <c r="F16" s="32">
        <f>E16*E9</f>
        <v>7830.3500000000013</v>
      </c>
      <c r="G16" s="13"/>
    </row>
    <row r="17" spans="1:15" ht="12.75" x14ac:dyDescent="0.2">
      <c r="A17" s="80"/>
      <c r="B17" s="23" t="s">
        <v>116</v>
      </c>
      <c r="C17" s="24"/>
      <c r="D17" s="80"/>
      <c r="E17" s="47">
        <f>'Master Lookup'!C26</f>
        <v>1219</v>
      </c>
      <c r="F17" s="32">
        <f>E17*E9</f>
        <v>1401.8500000000001</v>
      </c>
      <c r="G17" s="13"/>
    </row>
    <row r="18" spans="1:15" ht="12.75" x14ac:dyDescent="0.2">
      <c r="A18" s="80"/>
      <c r="B18" s="36" t="s">
        <v>41</v>
      </c>
      <c r="C18" s="37"/>
      <c r="D18" s="37"/>
      <c r="E18" s="37"/>
      <c r="F18" s="39">
        <f>F13+F15+F16+F17</f>
        <v>64651.621999999996</v>
      </c>
      <c r="G18" s="13"/>
    </row>
    <row r="19" spans="1:15" ht="12.75" x14ac:dyDescent="0.2">
      <c r="A19" s="80"/>
      <c r="B19" s="48" t="s">
        <v>42</v>
      </c>
      <c r="C19" s="49"/>
      <c r="D19" s="50">
        <f>'Master Lookup'!C30</f>
        <v>0.1258</v>
      </c>
      <c r="E19" s="51"/>
      <c r="F19" s="52">
        <f>F18*D19</f>
        <v>8133.1740475999995</v>
      </c>
      <c r="G19" s="13"/>
    </row>
    <row r="20" spans="1:15" ht="15.75" thickBot="1" x14ac:dyDescent="0.3">
      <c r="A20" s="80"/>
      <c r="B20" s="53" t="s">
        <v>43</v>
      </c>
      <c r="C20" s="54"/>
      <c r="D20" s="54"/>
      <c r="E20" s="54"/>
      <c r="F20" s="55">
        <f>F18+F19</f>
        <v>72784.796047600001</v>
      </c>
      <c r="G20" s="14"/>
      <c r="J20"/>
      <c r="K20"/>
      <c r="L20"/>
      <c r="M20"/>
    </row>
    <row r="21" spans="1:15" ht="15.75" thickTop="1" x14ac:dyDescent="0.25">
      <c r="A21" s="80"/>
      <c r="B21" s="56" t="s">
        <v>117</v>
      </c>
      <c r="C21" s="57"/>
      <c r="D21" s="57"/>
      <c r="E21" s="57"/>
      <c r="F21" s="58">
        <f>F20/F3</f>
        <v>56.818732277595629</v>
      </c>
      <c r="G21" s="12"/>
      <c r="I21" s="353"/>
      <c r="J21"/>
      <c r="K21"/>
      <c r="L21"/>
      <c r="M21"/>
    </row>
    <row r="22" spans="1:15" ht="15.75" thickBot="1" x14ac:dyDescent="0.3">
      <c r="A22" s="80"/>
      <c r="B22" s="83" t="s">
        <v>118</v>
      </c>
      <c r="C22" s="84"/>
      <c r="D22" s="85"/>
      <c r="E22" s="84"/>
      <c r="F22" s="419">
        <f>F21*0.25</f>
        <v>14.204683069398907</v>
      </c>
      <c r="G22" s="15"/>
      <c r="I22" s="354"/>
      <c r="J22"/>
      <c r="K22"/>
      <c r="L22"/>
      <c r="M22"/>
      <c r="O22" s="352"/>
    </row>
    <row r="23" spans="1:15" ht="15.75" thickBot="1" x14ac:dyDescent="0.3">
      <c r="A23" s="80"/>
      <c r="B23" s="86" t="s">
        <v>123</v>
      </c>
      <c r="C23" s="87"/>
      <c r="D23" s="415">
        <f>'Master Lookup'!C33</f>
        <v>2.5600000000000001E-2</v>
      </c>
      <c r="E23" s="87"/>
      <c r="F23" s="88">
        <f>F22*(1+D23)</f>
        <v>14.568322955975519</v>
      </c>
      <c r="G23" s="16"/>
      <c r="I23" s="355"/>
      <c r="J23"/>
      <c r="K23"/>
      <c r="L23"/>
      <c r="M23"/>
    </row>
    <row r="24" spans="1:15" ht="15" x14ac:dyDescent="0.25">
      <c r="A24" s="80"/>
      <c r="B24" s="24"/>
      <c r="C24" s="24"/>
      <c r="D24" s="63"/>
      <c r="E24" s="24"/>
      <c r="F24" s="89"/>
      <c r="G24" s="16"/>
      <c r="J24"/>
      <c r="K24"/>
      <c r="L24"/>
      <c r="M24" s="351"/>
    </row>
    <row r="25" spans="1:15" ht="12.75" x14ac:dyDescent="0.2">
      <c r="A25" s="80"/>
      <c r="E25" s="91"/>
      <c r="F25" s="92"/>
      <c r="G25" s="15"/>
    </row>
    <row r="26" spans="1:15" x14ac:dyDescent="0.25">
      <c r="E26" s="93"/>
      <c r="F26" s="94"/>
    </row>
    <row r="27" spans="1:15" x14ac:dyDescent="0.25">
      <c r="A27" s="80"/>
      <c r="B27" s="81"/>
      <c r="C27" s="81"/>
      <c r="D27" s="81"/>
      <c r="E27" s="80"/>
      <c r="F27" s="80"/>
      <c r="G27" s="15"/>
      <c r="H27" s="81"/>
    </row>
    <row r="28" spans="1:15" x14ac:dyDescent="0.25">
      <c r="A28" s="80"/>
      <c r="B28" s="81"/>
      <c r="C28" s="81"/>
      <c r="D28" s="81"/>
      <c r="E28" s="80"/>
      <c r="F28" s="80"/>
      <c r="G28" s="15"/>
      <c r="H28" s="81"/>
    </row>
    <row r="29" spans="1:15" x14ac:dyDescent="0.25">
      <c r="A29" s="80"/>
      <c r="B29" s="81"/>
      <c r="C29" s="81"/>
      <c r="D29" s="81"/>
      <c r="E29" s="80"/>
      <c r="F29" s="80"/>
      <c r="G29" s="15"/>
      <c r="H29" s="81"/>
    </row>
    <row r="30" spans="1:15" x14ac:dyDescent="0.25">
      <c r="A30" s="80"/>
      <c r="B30" s="80"/>
      <c r="C30" s="80"/>
      <c r="D30" s="80"/>
      <c r="E30" s="80"/>
      <c r="F30" s="80"/>
      <c r="G30" s="17"/>
      <c r="H30" s="81"/>
    </row>
    <row r="31" spans="1:15" x14ac:dyDescent="0.25">
      <c r="A31" s="80"/>
      <c r="B31" s="80"/>
      <c r="C31" s="80"/>
      <c r="D31" s="80"/>
      <c r="E31" s="80"/>
      <c r="F31" s="80"/>
      <c r="G31" s="12"/>
      <c r="H31" s="81"/>
    </row>
    <row r="32" spans="1:15" x14ac:dyDescent="0.25">
      <c r="A32" s="80"/>
      <c r="B32" s="80"/>
      <c r="C32" s="80"/>
      <c r="D32" s="80"/>
      <c r="E32" s="80"/>
      <c r="F32" s="80"/>
      <c r="G32" s="14"/>
      <c r="H32" s="81"/>
    </row>
    <row r="33" spans="1:8" x14ac:dyDescent="0.25">
      <c r="A33" s="80"/>
      <c r="B33" s="80"/>
      <c r="C33" s="80"/>
      <c r="D33" s="80"/>
      <c r="E33" s="80"/>
      <c r="F33" s="80"/>
      <c r="G33" s="12"/>
      <c r="H33" s="81"/>
    </row>
    <row r="34" spans="1:8" x14ac:dyDescent="0.25">
      <c r="A34" s="95"/>
      <c r="B34" s="80"/>
      <c r="C34" s="80"/>
      <c r="D34" s="80"/>
      <c r="E34" s="80"/>
      <c r="F34" s="80"/>
      <c r="G34" s="13"/>
      <c r="H34" s="81"/>
    </row>
    <row r="35" spans="1:8" ht="12.75" x14ac:dyDescent="0.2">
      <c r="A35" s="95"/>
      <c r="B35" s="80"/>
      <c r="C35" s="80"/>
      <c r="D35" s="80"/>
      <c r="E35" s="80"/>
      <c r="F35" s="80"/>
      <c r="G35" s="13"/>
      <c r="H35" s="81"/>
    </row>
    <row r="36" spans="1:8" ht="12.75" x14ac:dyDescent="0.2">
      <c r="A36" s="95"/>
      <c r="B36" s="80"/>
      <c r="C36" s="80"/>
      <c r="D36" s="80"/>
      <c r="E36" s="80"/>
      <c r="F36" s="80"/>
      <c r="G36" s="12"/>
      <c r="H36" s="81"/>
    </row>
    <row r="37" spans="1:8" ht="12.75" x14ac:dyDescent="0.2">
      <c r="A37" s="95"/>
      <c r="B37" s="80"/>
      <c r="C37" s="80"/>
      <c r="D37" s="80"/>
      <c r="E37" s="80"/>
      <c r="F37" s="80"/>
      <c r="G37" s="14"/>
      <c r="H37" s="81"/>
    </row>
    <row r="38" spans="1:8" ht="12.75" x14ac:dyDescent="0.2">
      <c r="A38" s="95"/>
      <c r="B38" s="80"/>
      <c r="C38" s="80"/>
      <c r="D38" s="80"/>
      <c r="E38" s="80"/>
      <c r="F38" s="80"/>
      <c r="G38" s="12"/>
      <c r="H38" s="81"/>
    </row>
    <row r="39" spans="1:8" ht="12.75" x14ac:dyDescent="0.2">
      <c r="A39" s="95"/>
      <c r="B39" s="80"/>
      <c r="C39" s="80"/>
      <c r="D39" s="80"/>
      <c r="E39" s="80"/>
      <c r="F39" s="80"/>
      <c r="G39" s="80"/>
      <c r="H39" s="80"/>
    </row>
    <row r="40" spans="1:8" ht="12.75" x14ac:dyDescent="0.2">
      <c r="A40" s="80"/>
      <c r="B40" s="80"/>
      <c r="C40" s="80"/>
      <c r="D40" s="80"/>
      <c r="E40" s="80"/>
      <c r="F40" s="80"/>
      <c r="G40" s="80"/>
      <c r="H40" s="80"/>
    </row>
    <row r="41" spans="1:8" ht="12.75" x14ac:dyDescent="0.2">
      <c r="A41" s="80"/>
      <c r="B41" s="80"/>
      <c r="C41" s="80"/>
      <c r="D41" s="80"/>
      <c r="E41" s="80"/>
      <c r="F41" s="80"/>
      <c r="G41" s="80"/>
      <c r="H41" s="80"/>
    </row>
    <row r="42" spans="1:8" x14ac:dyDescent="0.25">
      <c r="A42" s="80"/>
      <c r="B42" s="80"/>
      <c r="C42" s="80"/>
      <c r="D42" s="80"/>
      <c r="E42" s="80"/>
      <c r="F42" s="80"/>
      <c r="G42" s="80"/>
      <c r="H42" s="80"/>
    </row>
    <row r="43" spans="1:8" x14ac:dyDescent="0.25">
      <c r="A43" s="80"/>
      <c r="B43" s="80"/>
      <c r="C43" s="80"/>
      <c r="D43" s="80"/>
      <c r="G43" s="80"/>
      <c r="H43" s="80"/>
    </row>
    <row r="44" spans="1:8" x14ac:dyDescent="0.25">
      <c r="A44" s="80"/>
      <c r="B44" s="80"/>
      <c r="C44" s="80"/>
      <c r="D44" s="80"/>
      <c r="G44" s="80"/>
      <c r="H44" s="80"/>
    </row>
    <row r="45" spans="1:8" x14ac:dyDescent="0.25">
      <c r="A45" s="80"/>
      <c r="B45" s="80"/>
      <c r="C45" s="80"/>
      <c r="D45" s="80"/>
      <c r="G45" s="80"/>
      <c r="H45" s="80"/>
    </row>
    <row r="46" spans="1:8" x14ac:dyDescent="0.25">
      <c r="A46" s="80"/>
      <c r="G46" s="80"/>
      <c r="H46" s="80"/>
    </row>
  </sheetData>
  <mergeCells count="1">
    <mergeCell ref="B2:F2"/>
  </mergeCells>
  <pageMargins left="0.7" right="0.7" top="0.75" bottom="0.75" header="0.3" footer="0.3"/>
  <pageSetup scale="8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Master Lookup</vt:lpstr>
      <vt:lpstr>Methadone Dosing</vt:lpstr>
      <vt:lpstr>Methadone Counseling</vt:lpstr>
      <vt:lpstr>Outpatient Counseling</vt:lpstr>
      <vt:lpstr>Family.Couple</vt:lpstr>
      <vt:lpstr>Psycho.Ed</vt:lpstr>
      <vt:lpstr>Day Treatments</vt:lpstr>
      <vt:lpstr>Telephone Rec</vt:lpstr>
      <vt:lpstr>Recovery Coaching</vt:lpstr>
      <vt:lpstr>InHome Therapy</vt:lpstr>
      <vt:lpstr>Case Management</vt:lpstr>
      <vt:lpstr>Spring 2018</vt:lpstr>
      <vt:lpstr>'Case Management'!Print_Area</vt:lpstr>
      <vt:lpstr>Family.Couple!Print_Area</vt:lpstr>
      <vt:lpstr>'InHome Therapy'!Print_Area</vt:lpstr>
      <vt:lpstr>'Outpatient Counseling'!Print_Area</vt:lpstr>
      <vt:lpstr>Psycho.Ed!Print_Area</vt:lpstr>
      <vt:lpstr>'Recovery Coaching'!Print_Area</vt:lpstr>
      <vt:lpstr>'Spring 2018'!Print_Area</vt:lpstr>
      <vt:lpstr>'Telephone Rec'!Print_Area</vt:lpstr>
      <vt:lpstr>'Spring 2018'!Print_Titles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DPH 3385 Ambulatory Service</dc:title>
  <dc:creator>kara</dc:creator>
  <cp:lastModifiedBy>AutoBVT</cp:lastModifiedBy>
  <cp:lastPrinted>2018-09-18T16:48:11Z</cp:lastPrinted>
  <dcterms:created xsi:type="dcterms:W3CDTF">2018-03-30T13:56:12Z</dcterms:created>
  <dcterms:modified xsi:type="dcterms:W3CDTF">2018-09-21T14:34:54Z</dcterms:modified>
</cp:coreProperties>
</file>